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4.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codeName="ThisWorkbook" defaultThemeVersion="124226"/>
  <mc:AlternateContent xmlns:mc="http://schemas.openxmlformats.org/markup-compatibility/2006">
    <mc:Choice Requires="x15">
      <x15ac:absPath xmlns:x15ac="http://schemas.microsoft.com/office/spreadsheetml/2010/11/ac" url="C:\Users\juan.celeita\Desktop\MAESTRIA MBA\SEGUNDO SEMESTRE\SEMINARIO DE INVESTIGACION\"/>
    </mc:Choice>
  </mc:AlternateContent>
  <xr:revisionPtr revIDLastSave="0" documentId="13_ncr:1_{8B0FC7D6-8C55-4379-BA95-4757C3A8E106}" xr6:coauthVersionLast="47" xr6:coauthVersionMax="47" xr10:uidLastSave="{00000000-0000-0000-0000-000000000000}"/>
  <bookViews>
    <workbookView showSheetTabs="0" xWindow="-120" yWindow="-120" windowWidth="29040" windowHeight="17640" tabRatio="703" xr2:uid="{00000000-000D-0000-FFFF-FFFF00000000}"/>
  </bookViews>
  <sheets>
    <sheet name="Menú" sheetId="7" r:id="rId1"/>
    <sheet name="1" sheetId="1" r:id="rId2"/>
    <sheet name="2" sheetId="4" r:id="rId3"/>
    <sheet name="3" sheetId="3" r:id="rId4"/>
    <sheet name="4" sheetId="5" r:id="rId5"/>
    <sheet name="5" sheetId="6" r:id="rId6"/>
  </sheets>
  <definedNames>
    <definedName name="_xlnm.Print_Area" localSheetId="0">Menú!$B$2:$J$24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4" i="4" l="1"/>
  <c r="F21" i="4"/>
  <c r="F20" i="4"/>
  <c r="F19" i="4"/>
  <c r="D21" i="1" l="1"/>
  <c r="D20" i="1"/>
  <c r="D19" i="1"/>
  <c r="D18" i="1"/>
  <c r="D17" i="1"/>
  <c r="F11" i="5" l="1"/>
  <c r="G11" i="5"/>
  <c r="E11" i="5" l="1"/>
  <c r="D11" i="5"/>
  <c r="C11" i="5"/>
  <c r="J15" i="6" l="1"/>
  <c r="J16" i="6"/>
  <c r="J17" i="6"/>
  <c r="J18" i="6"/>
  <c r="J19" i="6"/>
  <c r="J20" i="6"/>
  <c r="J21" i="6"/>
  <c r="J22" i="6"/>
  <c r="J23" i="6"/>
  <c r="J14" i="6"/>
  <c r="H15" i="6"/>
  <c r="H16" i="6"/>
  <c r="H17" i="6"/>
  <c r="H18" i="6"/>
  <c r="H19" i="6"/>
  <c r="H20" i="6"/>
  <c r="H21" i="6"/>
  <c r="H22" i="6"/>
  <c r="H23" i="6"/>
  <c r="H14" i="6"/>
  <c r="D32" i="6"/>
  <c r="G15" i="6"/>
  <c r="G16" i="6" s="1"/>
  <c r="G17" i="6" s="1"/>
  <c r="G18" i="6" s="1"/>
  <c r="G19" i="6" s="1"/>
  <c r="G20" i="6" s="1"/>
  <c r="G21" i="6" s="1"/>
  <c r="G22" i="6" s="1"/>
  <c r="G23" i="6" s="1"/>
  <c r="G24" i="6" s="1"/>
  <c r="C15" i="6"/>
  <c r="C16" i="6"/>
  <c r="C17" i="6"/>
  <c r="C18" i="6"/>
  <c r="C19" i="6"/>
  <c r="C20" i="6"/>
  <c r="C21" i="6"/>
  <c r="C22" i="6"/>
  <c r="C23" i="6"/>
  <c r="C14" i="6"/>
  <c r="B15" i="6"/>
  <c r="B16" i="6"/>
  <c r="B17" i="6"/>
  <c r="B18" i="6"/>
  <c r="B19" i="6"/>
  <c r="B20" i="6"/>
  <c r="B21" i="6"/>
  <c r="B22" i="6"/>
  <c r="B23" i="6"/>
  <c r="B14" i="6"/>
  <c r="B13" i="6"/>
  <c r="C23" i="4" l="1"/>
  <c r="C9" i="5" s="1"/>
  <c r="B49" i="5"/>
  <c r="B45" i="5"/>
  <c r="B23" i="5"/>
  <c r="C23" i="5" s="1"/>
  <c r="G6" i="4"/>
  <c r="G7" i="4"/>
  <c r="G8" i="4"/>
  <c r="G9" i="4"/>
  <c r="G10" i="4"/>
  <c r="G11" i="4"/>
  <c r="G5" i="4"/>
  <c r="B34" i="5"/>
  <c r="C34" i="5" s="1"/>
  <c r="B30" i="5"/>
  <c r="G12" i="4" l="1"/>
  <c r="C12" i="5" s="1"/>
  <c r="D23" i="5"/>
  <c r="B36" i="5"/>
  <c r="D34" i="5"/>
  <c r="E23" i="5" l="1"/>
  <c r="F23" i="5" s="1"/>
  <c r="E34" i="5"/>
  <c r="G23" i="5" l="1"/>
  <c r="F34" i="5"/>
  <c r="G34" i="5" l="1"/>
  <c r="D10" i="3" l="1"/>
  <c r="D9" i="3"/>
  <c r="F17" i="4"/>
  <c r="F31" i="4"/>
  <c r="C10" i="5" s="1"/>
  <c r="D10" i="5" s="1"/>
  <c r="E10" i="5" s="1"/>
  <c r="F10" i="5" s="1"/>
  <c r="G10" i="5" s="1"/>
  <c r="C12" i="4"/>
  <c r="D11" i="3" l="1"/>
  <c r="C32" i="6"/>
  <c r="C4" i="3"/>
  <c r="B24" i="5"/>
  <c r="C25" i="5"/>
  <c r="C49" i="5" s="1"/>
  <c r="D12" i="5"/>
  <c r="D9" i="5"/>
  <c r="E9" i="5" s="1"/>
  <c r="F9" i="5" s="1"/>
  <c r="R16" i="1"/>
  <c r="S16" i="1"/>
  <c r="V16" i="1"/>
  <c r="W16" i="1"/>
  <c r="G2" i="1"/>
  <c r="B31" i="1"/>
  <c r="P18" i="1"/>
  <c r="P19" i="1"/>
  <c r="Q19" i="1" s="1"/>
  <c r="R19" i="1" s="1"/>
  <c r="P20" i="1"/>
  <c r="Q20" i="1" s="1"/>
  <c r="R20" i="1" s="1"/>
  <c r="S20" i="1" s="1"/>
  <c r="P21" i="1"/>
  <c r="Q21" i="1" s="1"/>
  <c r="R21" i="1" s="1"/>
  <c r="P22" i="1"/>
  <c r="P23" i="1"/>
  <c r="P24" i="1"/>
  <c r="P25" i="1"/>
  <c r="Q25" i="1" s="1"/>
  <c r="R25" i="1" s="1"/>
  <c r="P26" i="1"/>
  <c r="Q26" i="1" s="1"/>
  <c r="R26" i="1" s="1"/>
  <c r="S26" i="1" s="1"/>
  <c r="P17" i="1"/>
  <c r="P16" i="1"/>
  <c r="Q16" i="1"/>
  <c r="T16" i="1"/>
  <c r="U16" i="1"/>
  <c r="P4" i="1"/>
  <c r="Q4" i="1" s="1"/>
  <c r="R4" i="1" s="1"/>
  <c r="S4" i="1" s="1"/>
  <c r="P5" i="1"/>
  <c r="Q5" i="1" s="1"/>
  <c r="R5" i="1" s="1"/>
  <c r="S5" i="1" s="1"/>
  <c r="P6" i="1"/>
  <c r="Q6" i="1" s="1"/>
  <c r="R6" i="1" s="1"/>
  <c r="S6" i="1" s="1"/>
  <c r="P7" i="1"/>
  <c r="Q7" i="1" s="1"/>
  <c r="R7" i="1" s="1"/>
  <c r="S7" i="1" s="1"/>
  <c r="P8" i="1"/>
  <c r="Q8" i="1" s="1"/>
  <c r="R8" i="1" s="1"/>
  <c r="S8" i="1" s="1"/>
  <c r="P9" i="1"/>
  <c r="Q9" i="1" s="1"/>
  <c r="R9" i="1" s="1"/>
  <c r="S9" i="1" s="1"/>
  <c r="P10" i="1"/>
  <c r="Q10" i="1" s="1"/>
  <c r="R10" i="1" s="1"/>
  <c r="S10" i="1" s="1"/>
  <c r="P11" i="1"/>
  <c r="Q11" i="1" s="1"/>
  <c r="R11" i="1" s="1"/>
  <c r="S11" i="1" s="1"/>
  <c r="P12" i="1"/>
  <c r="Q12" i="1" s="1"/>
  <c r="R12" i="1" s="1"/>
  <c r="S12" i="1" s="1"/>
  <c r="P3" i="1"/>
  <c r="Q3" i="1" s="1"/>
  <c r="R3" i="1" s="1"/>
  <c r="S3" i="1" s="1"/>
  <c r="L4" i="1"/>
  <c r="L5" i="1"/>
  <c r="M5" i="1" s="1"/>
  <c r="N5" i="1" s="1"/>
  <c r="O5" i="1" s="1"/>
  <c r="L6" i="1"/>
  <c r="M6" i="1" s="1"/>
  <c r="N6" i="1" s="1"/>
  <c r="O6" i="1" s="1"/>
  <c r="L7" i="1"/>
  <c r="M7" i="1" s="1"/>
  <c r="N7" i="1" s="1"/>
  <c r="O7" i="1" s="1"/>
  <c r="L8" i="1"/>
  <c r="L9" i="1"/>
  <c r="L10" i="1"/>
  <c r="M10" i="1" s="1"/>
  <c r="N10" i="1" s="1"/>
  <c r="O10" i="1" s="1"/>
  <c r="L11" i="1"/>
  <c r="M11" i="1" s="1"/>
  <c r="N11" i="1" s="1"/>
  <c r="O11" i="1" s="1"/>
  <c r="L12" i="1"/>
  <c r="M12" i="1" s="1"/>
  <c r="N12" i="1" s="1"/>
  <c r="O12" i="1" s="1"/>
  <c r="L3" i="1"/>
  <c r="M3" i="1" s="1"/>
  <c r="N3" i="1" s="1"/>
  <c r="O3" i="1" s="1"/>
  <c r="D27" i="1"/>
  <c r="E4" i="1"/>
  <c r="E5" i="1"/>
  <c r="E6" i="1"/>
  <c r="E7" i="1"/>
  <c r="E8" i="1"/>
  <c r="E9" i="1"/>
  <c r="E10" i="1"/>
  <c r="E11" i="1"/>
  <c r="E12" i="1"/>
  <c r="E3" i="1"/>
  <c r="B18" i="1"/>
  <c r="B19" i="1"/>
  <c r="B20" i="1"/>
  <c r="B21" i="1"/>
  <c r="B22" i="1"/>
  <c r="B23" i="1"/>
  <c r="B24" i="1"/>
  <c r="B25" i="1"/>
  <c r="B26" i="1"/>
  <c r="B17" i="1"/>
  <c r="C18" i="1"/>
  <c r="E18" i="1" s="1"/>
  <c r="C19" i="1"/>
  <c r="E19" i="1" s="1"/>
  <c r="C20" i="1"/>
  <c r="E20" i="1" s="1"/>
  <c r="C21" i="1"/>
  <c r="L21" i="1" s="1"/>
  <c r="M21" i="1" s="1"/>
  <c r="N21" i="1" s="1"/>
  <c r="O21" i="1" s="1"/>
  <c r="C22" i="1"/>
  <c r="E22" i="1" s="1"/>
  <c r="C23" i="1"/>
  <c r="E23" i="1" s="1"/>
  <c r="C24" i="1"/>
  <c r="E24" i="1" s="1"/>
  <c r="C25" i="1"/>
  <c r="E25" i="1" s="1"/>
  <c r="C26" i="1"/>
  <c r="E26" i="1" s="1"/>
  <c r="C17" i="1"/>
  <c r="E17" i="1" s="1"/>
  <c r="A17" i="1"/>
  <c r="A4" i="1"/>
  <c r="A18" i="1" s="1"/>
  <c r="C5" i="5" l="1"/>
  <c r="C20" i="5" s="1"/>
  <c r="D6" i="6" s="1"/>
  <c r="E9" i="3"/>
  <c r="G9" i="5"/>
  <c r="H2" i="1"/>
  <c r="I2" i="1" s="1"/>
  <c r="B28" i="4"/>
  <c r="C33" i="6"/>
  <c r="C34" i="6" s="1"/>
  <c r="F32" i="6"/>
  <c r="W12" i="1"/>
  <c r="W11" i="1"/>
  <c r="W10" i="1"/>
  <c r="W7" i="1"/>
  <c r="W6" i="1"/>
  <c r="W5" i="1"/>
  <c r="W3" i="1"/>
  <c r="B26" i="5"/>
  <c r="B48" i="5" s="1"/>
  <c r="B50" i="5" s="1"/>
  <c r="C24" i="5"/>
  <c r="E12" i="5"/>
  <c r="F12" i="5" s="1"/>
  <c r="D25" i="5"/>
  <c r="D49" i="5" s="1"/>
  <c r="C31" i="1"/>
  <c r="L2" i="1"/>
  <c r="L16" i="1" s="1"/>
  <c r="S25" i="1"/>
  <c r="S21" i="1"/>
  <c r="W21" i="1" s="1"/>
  <c r="V21" i="1"/>
  <c r="S19" i="1"/>
  <c r="V12" i="1"/>
  <c r="V10" i="1"/>
  <c r="V6" i="1"/>
  <c r="V3" i="1"/>
  <c r="V11" i="1"/>
  <c r="V7" i="1"/>
  <c r="V5" i="1"/>
  <c r="Z3" i="1"/>
  <c r="AA3" i="1" s="1"/>
  <c r="AB3" i="1" s="1"/>
  <c r="AC3" i="1" s="1"/>
  <c r="L19" i="1"/>
  <c r="M19" i="1" s="1"/>
  <c r="L17" i="1"/>
  <c r="M17" i="1" s="1"/>
  <c r="N17" i="1" s="1"/>
  <c r="O17" i="1" s="1"/>
  <c r="L18" i="1"/>
  <c r="M18" i="1" s="1"/>
  <c r="N18" i="1" s="1"/>
  <c r="O18" i="1" s="1"/>
  <c r="L23" i="1"/>
  <c r="M23" i="1" s="1"/>
  <c r="N23" i="1" s="1"/>
  <c r="O23" i="1" s="1"/>
  <c r="Q23" i="1"/>
  <c r="R23" i="1" s="1"/>
  <c r="S23" i="1" s="1"/>
  <c r="L22" i="1"/>
  <c r="M22" i="1" s="1"/>
  <c r="N22" i="1" s="1"/>
  <c r="O22" i="1" s="1"/>
  <c r="A5" i="1"/>
  <c r="A6" i="1" s="1"/>
  <c r="A7" i="1" s="1"/>
  <c r="A8" i="1" s="1"/>
  <c r="A9" i="1" s="1"/>
  <c r="A10" i="1" s="1"/>
  <c r="A11" i="1" s="1"/>
  <c r="A12" i="1" s="1"/>
  <c r="A26" i="1" s="1"/>
  <c r="E21" i="1"/>
  <c r="E27" i="1" s="1"/>
  <c r="L25" i="1"/>
  <c r="M25" i="1" s="1"/>
  <c r="U21" i="1"/>
  <c r="Q17" i="1"/>
  <c r="R17" i="1" s="1"/>
  <c r="S17" i="1" s="1"/>
  <c r="L26" i="1"/>
  <c r="M26" i="1" s="1"/>
  <c r="U6" i="1"/>
  <c r="L24" i="1"/>
  <c r="M24" i="1" s="1"/>
  <c r="N24" i="1" s="1"/>
  <c r="O24" i="1" s="1"/>
  <c r="L20" i="1"/>
  <c r="M20" i="1" s="1"/>
  <c r="Q24" i="1"/>
  <c r="R24" i="1" s="1"/>
  <c r="Q22" i="1"/>
  <c r="R22" i="1" s="1"/>
  <c r="S22" i="1" s="1"/>
  <c r="Q18" i="1"/>
  <c r="R18" i="1" s="1"/>
  <c r="T21" i="1"/>
  <c r="T9" i="1"/>
  <c r="U5" i="1"/>
  <c r="U10" i="1"/>
  <c r="T3" i="1"/>
  <c r="T10" i="1"/>
  <c r="T6" i="1"/>
  <c r="U11" i="1"/>
  <c r="U7" i="1"/>
  <c r="U3" i="1"/>
  <c r="T5" i="1"/>
  <c r="U12" i="1"/>
  <c r="T12" i="1"/>
  <c r="T8" i="1"/>
  <c r="T4" i="1"/>
  <c r="T11" i="1"/>
  <c r="M9" i="1"/>
  <c r="M8" i="1"/>
  <c r="T7" i="1"/>
  <c r="M4" i="1"/>
  <c r="E13" i="1"/>
  <c r="D5" i="5" l="1"/>
  <c r="D20" i="5" s="1"/>
  <c r="E6" i="6" s="1"/>
  <c r="E10" i="3"/>
  <c r="C43" i="5"/>
  <c r="G12" i="5"/>
  <c r="F25" i="5"/>
  <c r="J2" i="1"/>
  <c r="B31" i="4" s="1"/>
  <c r="B30" i="4"/>
  <c r="M2" i="1"/>
  <c r="B29" i="4"/>
  <c r="A21" i="1"/>
  <c r="F24" i="1"/>
  <c r="F21" i="1"/>
  <c r="F25" i="1"/>
  <c r="F18" i="1"/>
  <c r="F22" i="1"/>
  <c r="F26" i="1"/>
  <c r="F19" i="1"/>
  <c r="F23" i="1"/>
  <c r="F17" i="1"/>
  <c r="F20" i="1"/>
  <c r="F4" i="1"/>
  <c r="D15" i="6" s="1"/>
  <c r="E15" i="6" s="1"/>
  <c r="F5" i="1"/>
  <c r="D16" i="6" s="1"/>
  <c r="E16" i="6" s="1"/>
  <c r="F9" i="1"/>
  <c r="D20" i="6" s="1"/>
  <c r="E20" i="6" s="1"/>
  <c r="F3" i="1"/>
  <c r="D14" i="6" s="1"/>
  <c r="E14" i="6" s="1"/>
  <c r="F6" i="1"/>
  <c r="D17" i="6" s="1"/>
  <c r="E17" i="6" s="1"/>
  <c r="F10" i="1"/>
  <c r="D21" i="6" s="1"/>
  <c r="E21" i="6" s="1"/>
  <c r="F7" i="1"/>
  <c r="D18" i="6" s="1"/>
  <c r="E18" i="6" s="1"/>
  <c r="F11" i="1"/>
  <c r="D22" i="6" s="1"/>
  <c r="E22" i="6" s="1"/>
  <c r="F8" i="1"/>
  <c r="D19" i="6" s="1"/>
  <c r="E19" i="6" s="1"/>
  <c r="F12" i="1"/>
  <c r="D23" i="6" s="1"/>
  <c r="E23" i="6" s="1"/>
  <c r="B33" i="1"/>
  <c r="B32" i="1"/>
  <c r="C6" i="5" s="1"/>
  <c r="W23" i="1"/>
  <c r="W22" i="1"/>
  <c r="U26" i="1"/>
  <c r="N26" i="1"/>
  <c r="U25" i="1"/>
  <c r="N25" i="1"/>
  <c r="U9" i="1"/>
  <c r="N9" i="1"/>
  <c r="U8" i="1"/>
  <c r="N8" i="1"/>
  <c r="U20" i="1"/>
  <c r="N20" i="1"/>
  <c r="U19" i="1"/>
  <c r="N19" i="1"/>
  <c r="U4" i="1"/>
  <c r="N4" i="1"/>
  <c r="W17" i="1"/>
  <c r="D24" i="5"/>
  <c r="C26" i="5"/>
  <c r="C48" i="5" s="1"/>
  <c r="C50" i="5" s="1"/>
  <c r="E25" i="5"/>
  <c r="E49" i="5" s="1"/>
  <c r="D31" i="1"/>
  <c r="V23" i="1"/>
  <c r="S18" i="1"/>
  <c r="W18" i="1" s="1"/>
  <c r="V18" i="1"/>
  <c r="V22" i="1"/>
  <c r="V17" i="1"/>
  <c r="S24" i="1"/>
  <c r="W24" i="1" s="1"/>
  <c r="V24" i="1"/>
  <c r="T18" i="1"/>
  <c r="A24" i="1"/>
  <c r="A19" i="1"/>
  <c r="U23" i="1"/>
  <c r="U18" i="1"/>
  <c r="T25" i="1"/>
  <c r="U22" i="1"/>
  <c r="T22" i="1"/>
  <c r="A25" i="1"/>
  <c r="A22" i="1"/>
  <c r="T23" i="1"/>
  <c r="A23" i="1"/>
  <c r="A20" i="1"/>
  <c r="U24" i="1"/>
  <c r="T20" i="1"/>
  <c r="U17" i="1"/>
  <c r="T17" i="1"/>
  <c r="T26" i="1"/>
  <c r="T24" i="1"/>
  <c r="T19" i="1"/>
  <c r="T13" i="1"/>
  <c r="C32" i="1" s="1"/>
  <c r="D6" i="5" s="1"/>
  <c r="D43" i="5" l="1"/>
  <c r="E5" i="5"/>
  <c r="E20" i="5" s="1"/>
  <c r="F6" i="6" s="1"/>
  <c r="E11" i="3"/>
  <c r="G25" i="5"/>
  <c r="D8" i="3"/>
  <c r="D12" i="3" s="1"/>
  <c r="D14" i="3" s="1"/>
  <c r="C7" i="6" s="1"/>
  <c r="M16" i="1"/>
  <c r="N2" i="1"/>
  <c r="E26" i="6"/>
  <c r="E27" i="6" s="1"/>
  <c r="C7" i="5"/>
  <c r="C8" i="5" s="1"/>
  <c r="U13" i="1"/>
  <c r="D32" i="1" s="1"/>
  <c r="E6" i="5" s="1"/>
  <c r="F27" i="1"/>
  <c r="F13" i="1"/>
  <c r="B34" i="1"/>
  <c r="O26" i="1"/>
  <c r="W26" i="1" s="1"/>
  <c r="V26" i="1"/>
  <c r="O25" i="1"/>
  <c r="W25" i="1" s="1"/>
  <c r="V25" i="1"/>
  <c r="O9" i="1"/>
  <c r="W9" i="1" s="1"/>
  <c r="V9" i="1"/>
  <c r="O8" i="1"/>
  <c r="W8" i="1" s="1"/>
  <c r="V8" i="1"/>
  <c r="O20" i="1"/>
  <c r="W20" i="1" s="1"/>
  <c r="V20" i="1"/>
  <c r="O19" i="1"/>
  <c r="W19" i="1" s="1"/>
  <c r="V19" i="1"/>
  <c r="O4" i="1"/>
  <c r="W4" i="1" s="1"/>
  <c r="V4" i="1"/>
  <c r="E24" i="5"/>
  <c r="F24" i="5" s="1"/>
  <c r="D26" i="5"/>
  <c r="D48" i="5" s="1"/>
  <c r="D50" i="5" s="1"/>
  <c r="F49" i="5"/>
  <c r="E31" i="1"/>
  <c r="U27" i="1"/>
  <c r="D33" i="1" s="1"/>
  <c r="T27" i="1"/>
  <c r="C33" i="1" s="1"/>
  <c r="E43" i="5" l="1"/>
  <c r="F5" i="5"/>
  <c r="F20" i="5" s="1"/>
  <c r="G6" i="6" s="1"/>
  <c r="E12" i="3"/>
  <c r="G24" i="5"/>
  <c r="G26" i="5" s="1"/>
  <c r="F26" i="5"/>
  <c r="D16" i="3"/>
  <c r="N16" i="1"/>
  <c r="O2" i="1"/>
  <c r="O16" i="1" s="1"/>
  <c r="C13" i="5"/>
  <c r="C55" i="5" s="1"/>
  <c r="C56" i="5" s="1"/>
  <c r="C57" i="5" s="1"/>
  <c r="F22" i="6"/>
  <c r="F23" i="6"/>
  <c r="F18" i="6"/>
  <c r="F19" i="6"/>
  <c r="F15" i="6"/>
  <c r="F17" i="6"/>
  <c r="F14" i="6"/>
  <c r="F16" i="6"/>
  <c r="F20" i="6"/>
  <c r="F21" i="6"/>
  <c r="V13" i="1"/>
  <c r="F43" i="5"/>
  <c r="V27" i="1"/>
  <c r="E33" i="1" s="1"/>
  <c r="F7" i="5" s="1"/>
  <c r="W27" i="1"/>
  <c r="W13" i="1"/>
  <c r="E26" i="5"/>
  <c r="E48" i="5" s="1"/>
  <c r="E50" i="5" s="1"/>
  <c r="G49" i="5"/>
  <c r="C34" i="1"/>
  <c r="D7" i="5"/>
  <c r="D8" i="5" s="1"/>
  <c r="D34" i="1"/>
  <c r="E7" i="5"/>
  <c r="E8" i="5" s="1"/>
  <c r="F31" i="1"/>
  <c r="E13" i="3" s="1"/>
  <c r="J8" i="3" l="1"/>
  <c r="B31" i="5" s="1"/>
  <c r="B32" i="5" s="1"/>
  <c r="B38" i="5" s="1"/>
  <c r="B22" i="5" s="1"/>
  <c r="B44" i="5" s="1"/>
  <c r="B46" i="5" s="1"/>
  <c r="B52" i="5" s="1"/>
  <c r="F33" i="1"/>
  <c r="G7" i="5" s="1"/>
  <c r="F32" i="1"/>
  <c r="G6" i="5" s="1"/>
  <c r="E32" i="1"/>
  <c r="F6" i="5" s="1"/>
  <c r="F8" i="5" s="1"/>
  <c r="F13" i="5" s="1"/>
  <c r="D13" i="5"/>
  <c r="D55" i="5" s="1"/>
  <c r="D56" i="5" s="1"/>
  <c r="D57" i="5" s="1"/>
  <c r="E13" i="5"/>
  <c r="E55" i="5" s="1"/>
  <c r="E56" i="5" s="1"/>
  <c r="E57" i="5" s="1"/>
  <c r="E33" i="6"/>
  <c r="F33" i="6" s="1"/>
  <c r="D33" i="6"/>
  <c r="F24" i="6"/>
  <c r="B33" i="6" s="1"/>
  <c r="B34" i="6" s="1"/>
  <c r="G48" i="5"/>
  <c r="G50" i="5" s="1"/>
  <c r="F48" i="5"/>
  <c r="F50" i="5" s="1"/>
  <c r="G5" i="5"/>
  <c r="G20" i="5" s="1"/>
  <c r="H6" i="6" s="1"/>
  <c r="F34" i="1" l="1"/>
  <c r="E34" i="1"/>
  <c r="G8" i="5"/>
  <c r="G13" i="5" s="1"/>
  <c r="G55" i="5" s="1"/>
  <c r="G56" i="5" s="1"/>
  <c r="G57" i="5" s="1"/>
  <c r="B27" i="5"/>
  <c r="B39" i="5" s="1"/>
  <c r="I9" i="3"/>
  <c r="F9" i="3"/>
  <c r="G9" i="3" s="1"/>
  <c r="C14" i="5" s="1"/>
  <c r="C15" i="5" s="1"/>
  <c r="C16" i="5" s="1"/>
  <c r="C29" i="5" s="1"/>
  <c r="F55" i="5"/>
  <c r="F56" i="5" s="1"/>
  <c r="F57" i="5" s="1"/>
  <c r="I15" i="6"/>
  <c r="I16" i="6"/>
  <c r="I21" i="6"/>
  <c r="I19" i="6"/>
  <c r="I20" i="6"/>
  <c r="I22" i="6"/>
  <c r="I23" i="6"/>
  <c r="I14" i="6"/>
  <c r="I18" i="6"/>
  <c r="I17" i="6"/>
  <c r="G43" i="5"/>
  <c r="C17" i="5" l="1"/>
  <c r="C35" i="5" s="1"/>
  <c r="C36" i="5" s="1"/>
  <c r="H9" i="3"/>
  <c r="J9" i="3" s="1"/>
  <c r="I10" i="3" s="1"/>
  <c r="E34" i="6"/>
  <c r="F34" i="6" s="1"/>
  <c r="D34" i="6"/>
  <c r="C30" i="5"/>
  <c r="C45" i="5"/>
  <c r="F10" i="3" l="1"/>
  <c r="G10" i="3" s="1"/>
  <c r="D14" i="5" s="1"/>
  <c r="D15" i="5" s="1"/>
  <c r="D16" i="5" s="1"/>
  <c r="D29" i="5" s="1"/>
  <c r="D45" i="5" s="1"/>
  <c r="C31" i="5"/>
  <c r="C32" i="5" s="1"/>
  <c r="C38" i="5" s="1"/>
  <c r="C22" i="5" s="1"/>
  <c r="H10" i="3" l="1"/>
  <c r="J10" i="3" s="1"/>
  <c r="D31" i="5" s="1"/>
  <c r="D30" i="5"/>
  <c r="D17" i="5"/>
  <c r="D35" i="5" s="1"/>
  <c r="D36" i="5" s="1"/>
  <c r="C27" i="5"/>
  <c r="C39" i="5" s="1"/>
  <c r="C44" i="5"/>
  <c r="C46" i="5" s="1"/>
  <c r="C52" i="5" s="1"/>
  <c r="C58" i="5" s="1"/>
  <c r="I11" i="3" l="1"/>
  <c r="F11" i="3"/>
  <c r="G11" i="3" s="1"/>
  <c r="E14" i="5" s="1"/>
  <c r="E15" i="5" s="1"/>
  <c r="E16" i="5" s="1"/>
  <c r="E29" i="5" s="1"/>
  <c r="E30" i="5" s="1"/>
  <c r="D32" i="5"/>
  <c r="D38" i="5" s="1"/>
  <c r="D22" i="5" s="1"/>
  <c r="D27" i="5" s="1"/>
  <c r="D39" i="5" s="1"/>
  <c r="C59" i="5"/>
  <c r="D7" i="6" s="1"/>
  <c r="H11" i="3" l="1"/>
  <c r="J11" i="3" s="1"/>
  <c r="I12" i="3" s="1"/>
  <c r="D44" i="5"/>
  <c r="D46" i="5" s="1"/>
  <c r="D52" i="5" s="1"/>
  <c r="D58" i="5" s="1"/>
  <c r="D59" i="5" s="1"/>
  <c r="E7" i="6" s="1"/>
  <c r="E45" i="5"/>
  <c r="E17" i="5"/>
  <c r="E35" i="5" s="1"/>
  <c r="E36" i="5" s="1"/>
  <c r="E31" i="5" l="1"/>
  <c r="E32" i="5" s="1"/>
  <c r="E38" i="5" s="1"/>
  <c r="E22" i="5" s="1"/>
  <c r="E27" i="5" s="1"/>
  <c r="E39" i="5" s="1"/>
  <c r="F12" i="3"/>
  <c r="G12" i="3" s="1"/>
  <c r="F14" i="5" s="1"/>
  <c r="F15" i="5" s="1"/>
  <c r="F16" i="5" s="1"/>
  <c r="F17" i="5" s="1"/>
  <c r="F35" i="5" s="1"/>
  <c r="F36" i="5" s="1"/>
  <c r="H12" i="3" l="1"/>
  <c r="J12" i="3" s="1"/>
  <c r="F13" i="3" s="1"/>
  <c r="G13" i="3" s="1"/>
  <c r="G14" i="5" s="1"/>
  <c r="G15" i="5" s="1"/>
  <c r="G16" i="5" s="1"/>
  <c r="G17" i="5" s="1"/>
  <c r="F29" i="5"/>
  <c r="F45" i="5" s="1"/>
  <c r="E44" i="5"/>
  <c r="E46" i="5" s="1"/>
  <c r="E52" i="5" s="1"/>
  <c r="E58" i="5" s="1"/>
  <c r="E59" i="5" s="1"/>
  <c r="F7" i="6" s="1"/>
  <c r="F31" i="5" l="1"/>
  <c r="I13" i="3"/>
  <c r="H13" i="3" s="1"/>
  <c r="J13" i="3" s="1"/>
  <c r="G31" i="5" s="1"/>
  <c r="G29" i="5"/>
  <c r="G30" i="5" s="1"/>
  <c r="F30" i="5"/>
  <c r="G35" i="5"/>
  <c r="G36" i="5" s="1"/>
  <c r="F32" i="5" l="1"/>
  <c r="F38" i="5" s="1"/>
  <c r="F22" i="5" s="1"/>
  <c r="F44" i="5" s="1"/>
  <c r="F46" i="5" s="1"/>
  <c r="F52" i="5" s="1"/>
  <c r="F58" i="5" s="1"/>
  <c r="F59" i="5" s="1"/>
  <c r="G7" i="6" s="1"/>
  <c r="G32" i="5"/>
  <c r="G38" i="5" s="1"/>
  <c r="G22" i="5" s="1"/>
  <c r="G45" i="5"/>
  <c r="F27" i="5" l="1"/>
  <c r="F39" i="5" s="1"/>
  <c r="G27" i="5"/>
  <c r="G39" i="5" s="1"/>
  <c r="G44" i="5"/>
  <c r="G46" i="5" s="1"/>
  <c r="G52" i="5" s="1"/>
  <c r="G58" i="5" s="1"/>
  <c r="G59" i="5" l="1"/>
  <c r="H7" i="6" s="1"/>
  <c r="D10" i="6" s="1"/>
  <c r="C8" i="6" l="1"/>
  <c r="E8" i="6"/>
  <c r="D8" i="6"/>
  <c r="F8" i="6"/>
  <c r="G8" i="6"/>
  <c r="H8" i="6"/>
  <c r="D9" i="6"/>
  <c r="H10"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Z1" authorId="0" shapeId="0" xr:uid="{00000000-0006-0000-0100-000001000000}">
      <text>
        <r>
          <rPr>
            <b/>
            <sz val="9"/>
            <color indexed="81"/>
            <rFont val="Tahoma"/>
            <family val="2"/>
          </rPr>
          <t>DARIO MAURICIO REYES GIRALDO:</t>
        </r>
        <r>
          <rPr>
            <sz val="9"/>
            <color indexed="81"/>
            <rFont val="Tahoma"/>
            <family val="2"/>
          </rPr>
          <t xml:space="preserve">
Defina el año base o de inicio de la operación del negocio.</t>
        </r>
      </text>
    </comment>
    <comment ref="B3" authorId="0" shapeId="0" xr:uid="{00000000-0006-0000-0100-000002000000}">
      <text>
        <r>
          <rPr>
            <b/>
            <sz val="9"/>
            <color indexed="81"/>
            <rFont val="Tahoma"/>
            <family val="2"/>
          </rPr>
          <t>DARIO MAURICIO REYES GIRALDO:</t>
        </r>
        <r>
          <rPr>
            <sz val="9"/>
            <color indexed="81"/>
            <rFont val="Tahoma"/>
            <family val="2"/>
          </rPr>
          <t xml:space="preserve">
Digita el nombre de cada línea de producto o servicio a vender</t>
        </r>
      </text>
    </comment>
    <comment ref="C3" authorId="0" shapeId="0" xr:uid="{00000000-0006-0000-0100-000003000000}">
      <text>
        <r>
          <rPr>
            <b/>
            <sz val="9"/>
            <color indexed="81"/>
            <rFont val="Tahoma"/>
            <family val="2"/>
          </rPr>
          <t>DARIO MAURICIO REYES GIRALDO:</t>
        </r>
        <r>
          <rPr>
            <sz val="9"/>
            <color indexed="81"/>
            <rFont val="Tahoma"/>
            <family val="2"/>
          </rPr>
          <t xml:space="preserve">
Digita las cantidades a vender en el primer año de cada pdto/servicio.</t>
        </r>
      </text>
    </comment>
    <comment ref="D3" authorId="0" shapeId="0" xr:uid="{00000000-0006-0000-0100-000004000000}">
      <text>
        <r>
          <rPr>
            <b/>
            <sz val="9"/>
            <color indexed="81"/>
            <rFont val="Tahoma"/>
            <family val="2"/>
          </rPr>
          <t>DARIO MAURICIO REYES GIRALDO:</t>
        </r>
        <r>
          <rPr>
            <sz val="9"/>
            <color indexed="81"/>
            <rFont val="Tahoma"/>
            <family val="2"/>
          </rPr>
          <t xml:space="preserve">
Digita el precio UNITARIO, sin IVA, de cada pdto/servicio.</t>
        </r>
      </text>
    </comment>
    <comment ref="G3" authorId="0" shapeId="0" xr:uid="{00000000-0006-0000-0100-000005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3" authorId="0" shapeId="0" xr:uid="{00000000-0006-0000-0100-000006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3" authorId="0" shapeId="0" xr:uid="{00000000-0006-0000-0100-000007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3" authorId="0" shapeId="0" xr:uid="{00000000-0006-0000-0100-000008000000}">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B4" authorId="0" shapeId="0" xr:uid="{135A8D3C-2779-4E43-B749-90B5F33C904C}">
      <text>
        <r>
          <rPr>
            <b/>
            <sz val="9"/>
            <color indexed="81"/>
            <rFont val="Tahoma"/>
            <family val="2"/>
          </rPr>
          <t>DARIO MAURICIO REYES GIRALDO:</t>
        </r>
        <r>
          <rPr>
            <sz val="9"/>
            <color indexed="81"/>
            <rFont val="Tahoma"/>
            <family val="2"/>
          </rPr>
          <t xml:space="preserve">
Digita el nombre de cada línea de producto o servicio a vender</t>
        </r>
      </text>
    </comment>
    <comment ref="G4" authorId="0" shapeId="0" xr:uid="{06CA281B-3B63-449D-A9ED-6340519CE635}">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4" authorId="0" shapeId="0" xr:uid="{9EC90856-429D-441F-9B06-5DE1F311678A}">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4" authorId="0" shapeId="0" xr:uid="{F853E50B-75FE-4042-B895-6232F2636D95}">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4" authorId="0" shapeId="0" xr:uid="{8AD8183E-3338-4E5C-8CD9-E669AB3BB449}">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Y4" authorId="0" shapeId="0" xr:uid="{00000000-0006-0000-0100-000009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G5" authorId="0" shapeId="0" xr:uid="{4368A51D-B63E-4613-BB70-1D22223E7CB7}">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5" authorId="0" shapeId="0" xr:uid="{14796132-2CDF-4790-9B36-3D0BF00D72B4}">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5" authorId="0" shapeId="0" xr:uid="{B28225E6-71EA-425E-8454-E1EA74273BBB}">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5" authorId="0" shapeId="0" xr:uid="{F11C881D-2DD5-4399-BF0D-1DD9D5F009E2}">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Y5" authorId="0" shapeId="0" xr:uid="{00000000-0006-0000-0100-00000A000000}">
      <text>
        <r>
          <rPr>
            <b/>
            <sz val="9"/>
            <color indexed="81"/>
            <rFont val="Tahoma"/>
            <family val="2"/>
          </rPr>
          <t>DARIO MAURICIO REYES GIRALDO:</t>
        </r>
        <r>
          <rPr>
            <sz val="9"/>
            <color indexed="81"/>
            <rFont val="Tahoma"/>
            <family val="2"/>
          </rPr>
          <t xml:space="preserve">
Actualizar los datos según proyecciones macroeconómicas. Se pueden buscar en la página web del Banco de la República o del Banco de Colombia.</t>
        </r>
      </text>
    </comment>
    <comment ref="G6" authorId="0" shapeId="0" xr:uid="{A721BFCA-72DB-42AC-8F42-AF9E5F24A0CA}">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6" authorId="0" shapeId="0" xr:uid="{D496515D-7623-4D67-AC7C-51DE39049617}">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6" authorId="0" shapeId="0" xr:uid="{397CCBB0-871B-4D09-832F-F0F156C529E9}">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6" authorId="0" shapeId="0" xr:uid="{072F3D7C-2619-426C-8FA3-B1C8FB31D655}">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G7" authorId="0" shapeId="0" xr:uid="{0A1670D7-DC08-4E32-8186-99E09CC9F0C5}">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H7" authorId="0" shapeId="0" xr:uid="{6B6D8B36-0C5D-4D8F-B95F-8E0098308BDB}">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I7" authorId="0" shapeId="0" xr:uid="{A25639EC-0B89-4105-BBEA-75422C48C0BE}">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J7" authorId="0" shapeId="0" xr:uid="{C3870282-2F70-4831-AFF3-1728B3994129}">
      <text>
        <r>
          <rPr>
            <b/>
            <sz val="9"/>
            <color indexed="81"/>
            <rFont val="Tahoma"/>
            <family val="2"/>
          </rPr>
          <t>DARIO MAURICIO REYES GIRALDO:</t>
        </r>
        <r>
          <rPr>
            <sz val="9"/>
            <color indexed="81"/>
            <rFont val="Tahoma"/>
            <family val="2"/>
          </rPr>
          <t xml:space="preserve">
Ingrese en cada celda el crecimiento porcentual que se espera en las ventas para cada línea de producto o servicio, al pasar de un año a otro.</t>
        </r>
      </text>
    </comment>
    <comment ref="AB7" authorId="0" shapeId="0" xr:uid="{00000000-0006-0000-0100-00000B000000}">
      <text>
        <r>
          <rPr>
            <b/>
            <sz val="9"/>
            <color indexed="81"/>
            <rFont val="Tahoma"/>
            <family val="2"/>
          </rPr>
          <t>DARIO MAURICIO REYES GIRALDO:</t>
        </r>
        <r>
          <rPr>
            <sz val="9"/>
            <color indexed="81"/>
            <rFont val="Tahoma"/>
            <family val="2"/>
          </rPr>
          <t xml:space="preserve">
incluya la tasa de impuesto de Renta vigente.</t>
        </r>
      </text>
    </comment>
    <comment ref="D17" authorId="0" shapeId="0" xr:uid="{00000000-0006-0000-0100-00000C000000}">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 ref="D18" authorId="0" shapeId="0" xr:uid="{95D3BFC9-D743-4A7E-8D01-241E3C1E2998}">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 ref="D19" authorId="0" shapeId="0" xr:uid="{72DE2267-83A1-4ECF-9ED0-81C78F104DD2}">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 ref="D20" authorId="0" shapeId="0" xr:uid="{3DD2C854-BF58-4F8C-AE61-E4C6C2DB41F5}">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 ref="D21" authorId="0" shapeId="0" xr:uid="{315DEBE8-025F-4842-856F-7B316CF8701D}">
      <text>
        <r>
          <rPr>
            <b/>
            <sz val="9"/>
            <color indexed="81"/>
            <rFont val="Tahoma"/>
            <family val="2"/>
          </rPr>
          <t>DARIO MAURICIO REYES GIRALDO:</t>
        </r>
        <r>
          <rPr>
            <sz val="9"/>
            <color indexed="81"/>
            <rFont val="Tahoma"/>
            <family val="2"/>
          </rPr>
          <t xml:space="preserve">
INCLUIR  SOLO LOS COSTOS VARIABLES UNITARIOS DE PRODUCCIÓN, COMERCIALIZACIÓN O DE PRESTACIÓN DEL SERVICIO.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C4" authorId="0" shapeId="0" xr:uid="{00000000-0006-0000-0200-000001000000}">
      <text>
        <r>
          <rPr>
            <b/>
            <sz val="9"/>
            <color indexed="81"/>
            <rFont val="Tahoma"/>
            <family val="2"/>
          </rPr>
          <t>DARIO MAURICIO REYES GIRALDO:</t>
        </r>
        <r>
          <rPr>
            <sz val="9"/>
            <color indexed="81"/>
            <rFont val="Tahoma"/>
            <family val="2"/>
          </rPr>
          <t xml:space="preserve">
Todos los valores deben se anuales.</t>
        </r>
      </text>
    </comment>
    <comment ref="C18" authorId="0" shapeId="0" xr:uid="{00000000-0006-0000-0200-000002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F18" authorId="0" shapeId="0" xr:uid="{00000000-0006-0000-0200-000003000000}">
      <text>
        <r>
          <rPr>
            <b/>
            <sz val="9"/>
            <color indexed="81"/>
            <rFont val="Tahoma"/>
            <family val="2"/>
          </rPr>
          <t>DARIO MAURICIO REYES GIRALDO:</t>
        </r>
        <r>
          <rPr>
            <sz val="9"/>
            <color indexed="81"/>
            <rFont val="Tahoma"/>
            <family val="2"/>
          </rPr>
          <t xml:space="preserve">
Todos los valores deben se anuales.</t>
        </r>
      </text>
    </comment>
    <comment ref="C20" authorId="0" shapeId="0" xr:uid="{00000000-0006-0000-0200-000004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2" authorId="0" shapeId="0" xr:uid="{00000000-0006-0000-0200-000005000000}">
      <text>
        <r>
          <rPr>
            <b/>
            <sz val="9"/>
            <color indexed="81"/>
            <rFont val="Tahoma"/>
            <family val="2"/>
          </rPr>
          <t>DARIO MAURICIO REYES GIRALDO:</t>
        </r>
        <r>
          <rPr>
            <sz val="9"/>
            <color indexed="81"/>
            <rFont val="Tahoma"/>
            <family val="2"/>
          </rPr>
          <t xml:space="preserve">
Tengan en cuenta el valor de la nómina que deberá asumir como un pago fijo durante el año, indiferentemente del nivel de ventas o de producción. 
Calcule este valor  de forma apróximada teniendo en cuenta el factor prestacional actual, sí hay contratos directos con la empresa, de lo contrario calcule el valor como si fueran contratos de prestación de servicios o una mezcla de ambos si su modelo de negocio así lo ha definido.</t>
        </r>
      </text>
    </comment>
    <comment ref="C25" authorId="0" shapeId="0" xr:uid="{00000000-0006-0000-0200-000006000000}">
      <text>
        <r>
          <rPr>
            <b/>
            <sz val="9"/>
            <color indexed="81"/>
            <rFont val="Tahoma"/>
            <family val="2"/>
          </rPr>
          <t>DARIO MAURICIO REYES GIRALDO:</t>
        </r>
        <r>
          <rPr>
            <sz val="9"/>
            <color indexed="81"/>
            <rFont val="Tahoma"/>
            <family val="2"/>
          </rPr>
          <t xml:space="preserve">
Incluya el valor anual del presupuesto para el desarrollo de las estrategias de:
1. Producto (diseño, empaque, imagen)
2. Promoción.
3. Comunicación.
4. Servicio.
5. Precio (si hay presupuestos asociados para este proceso).</t>
        </r>
      </text>
    </comment>
    <comment ref="E25" authorId="0" shapeId="0" xr:uid="{00000000-0006-0000-0200-000007000000}">
      <text>
        <r>
          <rPr>
            <b/>
            <sz val="9"/>
            <color indexed="81"/>
            <rFont val="Tahoma"/>
            <family val="2"/>
          </rPr>
          <t>DARIO MAURICIO REYES GIRALDO:</t>
        </r>
        <r>
          <rPr>
            <sz val="9"/>
            <color indexed="81"/>
            <rFont val="Tahoma"/>
            <family val="2"/>
          </rPr>
          <t xml:space="preserve">
Digite el nombre de los rubros adicionales.</t>
        </r>
      </text>
    </comment>
    <comment ref="E26" authorId="0" shapeId="0" xr:uid="{00000000-0006-0000-0200-000008000000}">
      <text>
        <r>
          <rPr>
            <b/>
            <sz val="9"/>
            <color indexed="81"/>
            <rFont val="Tahoma"/>
            <family val="2"/>
          </rPr>
          <t>DARIO MAURICIO REYES GIRALDO:</t>
        </r>
        <r>
          <rPr>
            <sz val="9"/>
            <color indexed="81"/>
            <rFont val="Tahoma"/>
            <family val="2"/>
          </rPr>
          <t xml:space="preserve">
Digite el nombre de los rubros adicionales.</t>
        </r>
      </text>
    </comment>
    <comment ref="E27" authorId="0" shapeId="0" xr:uid="{00000000-0006-0000-0200-000009000000}">
      <text>
        <r>
          <rPr>
            <b/>
            <sz val="9"/>
            <color indexed="81"/>
            <rFont val="Tahoma"/>
            <family val="2"/>
          </rPr>
          <t>DARIO MAURICIO REYES GIRALDO:</t>
        </r>
        <r>
          <rPr>
            <sz val="9"/>
            <color indexed="81"/>
            <rFont val="Tahoma"/>
            <family val="2"/>
          </rPr>
          <t xml:space="preserve">
Digite el nombre de los rubros adicionales.</t>
        </r>
      </text>
    </comment>
    <comment ref="E28" authorId="0" shapeId="0" xr:uid="{00000000-0006-0000-0200-00000A000000}">
      <text>
        <r>
          <rPr>
            <b/>
            <sz val="9"/>
            <color indexed="81"/>
            <rFont val="Tahoma"/>
            <family val="2"/>
          </rPr>
          <t>DARIO MAURICIO REYES GIRALDO:</t>
        </r>
        <r>
          <rPr>
            <sz val="9"/>
            <color indexed="81"/>
            <rFont val="Tahoma"/>
            <family val="2"/>
          </rPr>
          <t xml:space="preserve">
Digite el nombre de los rubros adicionales.</t>
        </r>
      </text>
    </comment>
    <comment ref="E29" authorId="0" shapeId="0" xr:uid="{00000000-0006-0000-0200-00000B000000}">
      <text>
        <r>
          <rPr>
            <b/>
            <sz val="9"/>
            <color indexed="81"/>
            <rFont val="Tahoma"/>
            <family val="2"/>
          </rPr>
          <t>DARIO MAURICIO REYES GIRALDO:</t>
        </r>
        <r>
          <rPr>
            <sz val="9"/>
            <color indexed="81"/>
            <rFont val="Tahoma"/>
            <family val="2"/>
          </rPr>
          <t xml:space="preserve">
Digite el nombre de los rubros adicionales.</t>
        </r>
      </text>
    </comment>
    <comment ref="E30" authorId="0" shapeId="0" xr:uid="{00000000-0006-0000-0200-00000C000000}">
      <text>
        <r>
          <rPr>
            <b/>
            <sz val="9"/>
            <color indexed="81"/>
            <rFont val="Tahoma"/>
            <family val="2"/>
          </rPr>
          <t>DARIO MAURICIO REYES GIRALDO:</t>
        </r>
        <r>
          <rPr>
            <sz val="9"/>
            <color indexed="81"/>
            <rFont val="Tahoma"/>
            <family val="2"/>
          </rPr>
          <t xml:space="preserve">
Digite el nombre de los rubros adicionales.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F4" authorId="0" shapeId="0" xr:uid="{00000000-0006-0000-0300-000001000000}">
      <text>
        <r>
          <rPr>
            <b/>
            <sz val="9"/>
            <color indexed="81"/>
            <rFont val="Tahoma"/>
            <family val="2"/>
          </rPr>
          <t>DARIO MAURICIO REYES GIRALDO:</t>
        </r>
        <r>
          <rPr>
            <sz val="9"/>
            <color indexed="81"/>
            <rFont val="Tahoma"/>
            <family val="2"/>
          </rPr>
          <t xml:space="preserve">
Digite la tasa de interés anual a la que un banco les podría prestar esete dinero.</t>
        </r>
      </text>
    </comment>
    <comment ref="J4" authorId="0" shapeId="0" xr:uid="{00000000-0006-0000-0300-000002000000}">
      <text>
        <r>
          <rPr>
            <b/>
            <sz val="9"/>
            <color indexed="81"/>
            <rFont val="Tahoma"/>
            <family val="2"/>
          </rPr>
          <t>DARIO MAURICIO REYES GIRALDO:</t>
        </r>
        <r>
          <rPr>
            <sz val="9"/>
            <color indexed="81"/>
            <rFont val="Tahoma"/>
            <family val="2"/>
          </rPr>
          <t xml:space="preserve">
Escoja un valor entre 1 y 5.</t>
        </r>
      </text>
    </comment>
    <comment ref="C7" authorId="0" shapeId="0" xr:uid="{00000000-0006-0000-0300-000003000000}">
      <text>
        <r>
          <rPr>
            <b/>
            <sz val="9"/>
            <color indexed="81"/>
            <rFont val="Tahoma"/>
            <family val="2"/>
          </rPr>
          <t>DARIO MAURICIO REYES GIRALDO:</t>
        </r>
        <r>
          <rPr>
            <sz val="9"/>
            <color indexed="81"/>
            <rFont val="Tahoma"/>
            <family val="2"/>
          </rPr>
          <t xml:space="preserve">
Este valor debe ser el resultado de la política de Capital de Trabajo, es decir, deben calcular cuantos meses de efectivo  requieren para cubrir estas necesidades, hasta que se recuperen las primeras ventas. Luego el negocio debe ser autosuficiente por si mismo.</t>
        </r>
      </text>
    </comment>
    <comment ref="D15" authorId="0" shapeId="0" xr:uid="{00000000-0006-0000-0300-000004000000}">
      <text>
        <r>
          <rPr>
            <b/>
            <sz val="9"/>
            <color indexed="81"/>
            <rFont val="Tahoma"/>
            <family val="2"/>
          </rPr>
          <t>DARIO MAURICIO REYES GIRALDO:</t>
        </r>
        <r>
          <rPr>
            <sz val="9"/>
            <color indexed="81"/>
            <rFont val="Tahoma"/>
            <family val="2"/>
          </rPr>
          <t xml:space="preserve">
Digitar el valor del aporte realizado por los emprendedores.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DARIO MAURICIO REYES GIRALDO</author>
  </authors>
  <commentList>
    <comment ref="E3" authorId="0" shapeId="0" xr:uid="{00000000-0006-0000-0500-000001000000}">
      <text>
        <r>
          <rPr>
            <b/>
            <sz val="9"/>
            <color indexed="81"/>
            <rFont val="Tahoma"/>
            <family val="2"/>
          </rPr>
          <t>DARIO MAURICIO REYES GIRALDO:</t>
        </r>
        <r>
          <rPr>
            <sz val="9"/>
            <color indexed="81"/>
            <rFont val="Tahoma"/>
            <family val="2"/>
          </rPr>
          <t xml:space="preserve">
Esta es la tasa mínima que usted como emprendedor espera obtener al invertir en este plan de negocio.
Sea justo y realista en su determinación, revise la rentabilidad promedio de las empresas del sector, también tenga en cuenta que usted debe aspirar como mínimo a ganar rentabilidades por encima de las que ofrezcan las inversiones de bajo o cero riesgo, en nuestro caso puede tomar como punto de partida las tasas de los CDT.  A esta tasa le puede sumar la tasa de inflación promedio para los próximos 5 años, estos indicadores los puede consultar en la Página del Banco de la República o En la de estudios económicos de Bancolombia, por último puede sumar un porcentaje adicional debido al riesgo implícito en el tipo de actividad económica que usted como emprendedor piensa desarrollar, para ello consulte la rentabilidad promedio de la Industria. </t>
        </r>
      </text>
    </comment>
    <comment ref="H10" authorId="0" shapeId="0" xr:uid="{00000000-0006-0000-0500-000002000000}">
      <text>
        <r>
          <rPr>
            <b/>
            <sz val="9"/>
            <color indexed="81"/>
            <rFont val="Tahoma"/>
            <family val="2"/>
          </rPr>
          <t>DARIO MAURICIO REYES GIRALDO:</t>
        </r>
        <r>
          <rPr>
            <sz val="9"/>
            <color indexed="81"/>
            <rFont val="Tahoma"/>
            <family val="2"/>
          </rPr>
          <t xml:space="preserve">
Si el resultado es negativo, no es valido!</t>
        </r>
      </text>
    </comment>
  </commentList>
</comments>
</file>

<file path=xl/sharedStrings.xml><?xml version="1.0" encoding="utf-8"?>
<sst xmlns="http://schemas.openxmlformats.org/spreadsheetml/2006/main" count="164" uniqueCount="156">
  <si>
    <t>CANTIDADES</t>
  </si>
  <si>
    <t>INGRESOS TOTALES</t>
  </si>
  <si>
    <t>COSTOS TOTALES</t>
  </si>
  <si>
    <t>NOMBRE DEL PRODUCTO SERVICIO</t>
  </si>
  <si>
    <t>NOMBRE DEL PRODUCTO O SERVICIO</t>
  </si>
  <si>
    <t>INGRESOS/VENTAS DEL PRIMER AÑO</t>
  </si>
  <si>
    <t>COSTOS DE CADA PRODUCTO O SERVICIO</t>
  </si>
  <si>
    <t>PRECIO DE VENTA UNITARIO SIN IVA</t>
  </si>
  <si>
    <t>TOTAL</t>
  </si>
  <si>
    <t>AÑO BASE</t>
  </si>
  <si>
    <t>AÑO</t>
  </si>
  <si>
    <t>AÑO 3</t>
  </si>
  <si>
    <t>CRECIMIENTO PORCENTUAL  EN VTAS (CANTIDADES)</t>
  </si>
  <si>
    <t>AÑO 2</t>
  </si>
  <si>
    <t>INFLACIÓN</t>
  </si>
  <si>
    <t>IPP</t>
  </si>
  <si>
    <t>INCREMENTO EN PRECIO</t>
  </si>
  <si>
    <t>año 2</t>
  </si>
  <si>
    <t>año 3</t>
  </si>
  <si>
    <t>PROYECCIONES</t>
  </si>
  <si>
    <t>VENTAS ANUALES</t>
  </si>
  <si>
    <t>COSTOS ANUALES</t>
  </si>
  <si>
    <t>MARGEN OPERATIVO</t>
  </si>
  <si>
    <t>AÑO 4</t>
  </si>
  <si>
    <t>AÑO 5</t>
  </si>
  <si>
    <t>año 4</t>
  </si>
  <si>
    <t>año 5</t>
  </si>
  <si>
    <t>AÑO:</t>
  </si>
  <si>
    <t>NÓMINAS:</t>
  </si>
  <si>
    <t>ADMINISTRATIVA:</t>
  </si>
  <si>
    <t>VALOR AÑO 1</t>
  </si>
  <si>
    <t>VENTAS</t>
  </si>
  <si>
    <t>VENTAS:</t>
  </si>
  <si>
    <t>GASTOS FIJOS</t>
  </si>
  <si>
    <t>GASTOS FIJOS:</t>
  </si>
  <si>
    <t>SERVICIOS PÚBLICOS:</t>
  </si>
  <si>
    <t>TELEFONÍA CELULAR:</t>
  </si>
  <si>
    <t>INTERNET:</t>
  </si>
  <si>
    <t>PAPELERÍA:</t>
  </si>
  <si>
    <t>SERVICIOS DE SEGURIDAD:</t>
  </si>
  <si>
    <t>SERVICIOS DE ASEO:</t>
  </si>
  <si>
    <t>TOTAL GASTOS FIJOS</t>
  </si>
  <si>
    <t>INCLUYA EN CADA CATEGORÍA LOS COSTOS Y GASTOS FIJOS DEL PRIMER AÑO, EN LOS QUE DEBERÁN INCURRRIR PARA LA OPERACIÓN DEL NEGOCIO</t>
  </si>
  <si>
    <t>TERRENOS</t>
  </si>
  <si>
    <t>MUEBLES Y ENSERES</t>
  </si>
  <si>
    <t>EQUIPO DE OFICINA</t>
  </si>
  <si>
    <t>PROPIEDAD PLANTA Y EQUIPO</t>
  </si>
  <si>
    <t>EQUIPO DE TRANSPORTE</t>
  </si>
  <si>
    <t>FRANQUICIAS</t>
  </si>
  <si>
    <t>GASTOS DE PUESTA EN MARCHA</t>
  </si>
  <si>
    <t>TOTAL INVERSIONES</t>
  </si>
  <si>
    <t>INVERSIÓN INICIAL</t>
  </si>
  <si>
    <t>CALCULO DEL CAPITAL DE TRABAJO INICIAL</t>
  </si>
  <si>
    <t>COSTOS OPERATIVOS</t>
  </si>
  <si>
    <t>MESES</t>
  </si>
  <si>
    <t>VALOR</t>
  </si>
  <si>
    <t>TOTAL NÓMINAS</t>
  </si>
  <si>
    <t>NÓMINAS</t>
  </si>
  <si>
    <t>MARKETING MIX</t>
  </si>
  <si>
    <t>TOTAL INVERSIÓN</t>
  </si>
  <si>
    <t>APORTE DE LOS EMPRENDEDORES</t>
  </si>
  <si>
    <t>PRÉSTAMO A SOLICITAR</t>
  </si>
  <si>
    <t>TASA DE INT ANUAL CRÉDITO</t>
  </si>
  <si>
    <t>AÑOS</t>
  </si>
  <si>
    <t>BALANCE</t>
  </si>
  <si>
    <t xml:space="preserve">ACTIVO </t>
  </si>
  <si>
    <t>COSTO VENTAS</t>
  </si>
  <si>
    <t>UTILIDAD BRUTA</t>
  </si>
  <si>
    <t>GASTOS ADTIVOS Y VTAS</t>
  </si>
  <si>
    <t>OTROS GASTOS</t>
  </si>
  <si>
    <t>UTILIDAD OPERATIVA</t>
  </si>
  <si>
    <t>GASTOS FINACIEROS</t>
  </si>
  <si>
    <t>UTILIDAD ANTES DE IMPTOS</t>
  </si>
  <si>
    <t>IMPUESTOS</t>
  </si>
  <si>
    <t>UTILIDAD NETA</t>
  </si>
  <si>
    <t>PASIVO</t>
  </si>
  <si>
    <t>Impuestos X Pagar</t>
  </si>
  <si>
    <t>TOTAL PASIVO CORRIENTE</t>
  </si>
  <si>
    <t>Obligaciones Financieras</t>
  </si>
  <si>
    <t>PATRIMONIO</t>
  </si>
  <si>
    <t>Capital Social</t>
  </si>
  <si>
    <t>Utilidades del Ejercicio</t>
  </si>
  <si>
    <t>TOTAL PATRIMONIO</t>
  </si>
  <si>
    <t>TOTAL PAS + PAT</t>
  </si>
  <si>
    <t>AÑO 0</t>
  </si>
  <si>
    <t>TOTAL ACTIVO</t>
  </si>
  <si>
    <t>DEPRECIACIÓN</t>
  </si>
  <si>
    <t>DEPRECIACIÓN ACUMULADA</t>
  </si>
  <si>
    <t>ACTIVO FIJO NETO</t>
  </si>
  <si>
    <t>ESTADO DE RESULTADOS</t>
  </si>
  <si>
    <t>CUADRE (ACT = PAS+PAT)</t>
  </si>
  <si>
    <t>TASA IMPTO RENTA</t>
  </si>
  <si>
    <t>DEP</t>
  </si>
  <si>
    <t>FIJO NO DEPRECIABLE</t>
  </si>
  <si>
    <t>FIJO DEPRECIABLE</t>
  </si>
  <si>
    <t>CAJA/BANCOS</t>
  </si>
  <si>
    <t>FLUJO DE CAJA DEL PROYECTO:</t>
  </si>
  <si>
    <t>CAPITAL INVERTIDO</t>
  </si>
  <si>
    <t>Activos Corrientes</t>
  </si>
  <si>
    <t>Pasivos Corrientes</t>
  </si>
  <si>
    <t>KTNO</t>
  </si>
  <si>
    <t>Activo Fijo Neto</t>
  </si>
  <si>
    <t>Depreciación Acumulada</t>
  </si>
  <si>
    <t>Activo Fijo Bruto</t>
  </si>
  <si>
    <t>Total Capital Operativo Neto</t>
  </si>
  <si>
    <t>CALCULO DEL FLUJO DE CAJA LIBRE</t>
  </si>
  <si>
    <t>EBIT</t>
  </si>
  <si>
    <t>Impuestos</t>
  </si>
  <si>
    <t>NOPLAT</t>
  </si>
  <si>
    <t>Inversión Neta</t>
  </si>
  <si>
    <t>Flujo de Caja Libre del periódo</t>
  </si>
  <si>
    <t xml:space="preserve">Tasa mínima de rentabilidad esperada por los emprendedores (TMR):  </t>
  </si>
  <si>
    <t>FLUJO DE CAJA DE PROYECTO</t>
  </si>
  <si>
    <t>INVERSIÓN AÑO 0</t>
  </si>
  <si>
    <t>VALOR PRESENTE NETO DEL PROYECTO =</t>
  </si>
  <si>
    <t>TASA INTERNA DE RETORNO =</t>
  </si>
  <si>
    <t>INVERSIÓN TOTAL Y NECESIDADES DE FINANCIACIÓN</t>
  </si>
  <si>
    <t xml:space="preserve">CALCULO DEL PRÉSTAMO </t>
  </si>
  <si>
    <t>ESTADOS FINANCIEROS BÁSICOS PROYECTADOS</t>
  </si>
  <si>
    <t>PUNTO DE EQULIBRIO</t>
  </si>
  <si>
    <t>MARGEN DE CONTRIBUCIÓN UNITARIO</t>
  </si>
  <si>
    <t>PARTICIPACIÓN % EN VENTAS TOTALES</t>
  </si>
  <si>
    <t>MARGEN DE CONTRIBUCIÓN PONDERADO</t>
  </si>
  <si>
    <t>UNIDADES</t>
  </si>
  <si>
    <t>PTO EQUILIBRIO POR REFERENCIA DE PDTO O SERVICIO</t>
  </si>
  <si>
    <t>COSTOS FIJO</t>
  </si>
  <si>
    <t>INGRESOS</t>
  </si>
  <si>
    <t>COSTO TOTAL</t>
  </si>
  <si>
    <t>COSTO</t>
  </si>
  <si>
    <t>COSTO VAR</t>
  </si>
  <si>
    <t>PUNTO DE EQULIBRIO = COSTOS Y GTOS FIJO/MCPP    =</t>
  </si>
  <si>
    <t>TOTAL MARGEN DE CONTRIBUCIÓN PROMEDIO PONDERADO  =</t>
  </si>
  <si>
    <t>EVALUACIÓN FINANCIERA Y PUNTO DE EQULIBRIO</t>
  </si>
  <si>
    <t>Todos los datos de los Estados financieros se generan de forma automática.</t>
  </si>
  <si>
    <t>DEFINA LA INVERISIÓN INICIAL QUE REALIZARÁN PARA LA PUESTA EN MARCHA DEL NEGOCIO:</t>
  </si>
  <si>
    <t>GASTOS FIJOS DEL PERIODO</t>
  </si>
  <si>
    <t>TUTORIAL</t>
  </si>
  <si>
    <t>PERIODO DE RECUPERACIÓN:</t>
  </si>
  <si>
    <r>
      <t xml:space="preserve">COSTO UNITARIO DEL PDTO O </t>
    </r>
    <r>
      <rPr>
        <b/>
        <u/>
        <sz val="8"/>
        <color theme="1"/>
        <rFont val="Antique Olive"/>
      </rPr>
      <t>SERVICIO</t>
    </r>
  </si>
  <si>
    <t>PRODUCCIÓN/SERVICIO:</t>
  </si>
  <si>
    <t>ARRIENDO:</t>
  </si>
  <si>
    <t>polizas de seguro</t>
  </si>
  <si>
    <t>Outsourcing</t>
  </si>
  <si>
    <t>PATENTES /INV en INTANGIBLES</t>
  </si>
  <si>
    <t>PRESUPUESTO DEL MARKETING MIX año de INICIO.</t>
  </si>
  <si>
    <t>GASTO PUBLICITARIO AÑOS SIGUIENTES</t>
  </si>
  <si>
    <t>inicial</t>
  </si>
  <si>
    <t>interés</t>
  </si>
  <si>
    <t>amort</t>
  </si>
  <si>
    <t>cuota</t>
  </si>
  <si>
    <t>final</t>
  </si>
  <si>
    <t>AÑOS DE CRÉDITO</t>
  </si>
  <si>
    <t>Plan básico (Subir su HV, Ver Ofertas de empleo )</t>
  </si>
  <si>
    <t>Plan premium (Machine Learning, Diseño de HV, Orientación a entrevistas, Pruebas psicotécnicas e interpretación de personalidad, Identificacion de Habilidades, Diseño de Hojas de vida, Asesoria en Capacitacion Profesional )</t>
  </si>
  <si>
    <t>Empresas  (todos y servicios)</t>
  </si>
  <si>
    <t>a la medida  (todos y servicios a eleccion)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</si>
</sst>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8" formatCode="&quot;$&quot;#,##0.00;[Red]\-&quot;$&quot;#,##0.00"/>
    <numFmt numFmtId="164" formatCode="&quot;$&quot;\ #,##0.00_);[Red]\(&quot;$&quot;\ #,##0.00\)"/>
    <numFmt numFmtId="165" formatCode="_(&quot;$&quot;\ * #,##0.00_);_(&quot;$&quot;\ * \(#,##0.00\);_(&quot;$&quot;\ * &quot;-&quot;??_);_(@_)"/>
    <numFmt numFmtId="166" formatCode="_(* #,##0.00_);_(* \(#,##0.00\);_(* &quot;-&quot;??_);_(@_)"/>
    <numFmt numFmtId="167" formatCode="_(&quot;$&quot;\ * #,##0.0_);_(&quot;$&quot;\ * \(#,##0.0\);_(&quot;$&quot;\ * &quot;-&quot;??_);_(@_)"/>
    <numFmt numFmtId="168" formatCode="_(&quot;$&quot;\ * #,##0_);_(&quot;$&quot;\ * \(#,##0\);_(&quot;$&quot;\ * &quot;-&quot;??_);_(@_)"/>
    <numFmt numFmtId="169" formatCode="0.0%"/>
    <numFmt numFmtId="170" formatCode="_([$$-240A]\ * #,##0.00_);_([$$-240A]\ * \(#,##0.00\);_([$$-240A]\ * &quot;-&quot;??_);_(@_)"/>
    <numFmt numFmtId="171" formatCode="_(&quot;$&quot;\ * #,##0.00000_);_(&quot;$&quot;\ * \(#,##0.00000\);_(&quot;$&quot;\ * &quot;-&quot;??_);_(@_)"/>
    <numFmt numFmtId="172" formatCode="_ &quot;$&quot;\ * #,##0_ ;_ &quot;$&quot;\ * \-#,##0_ ;_ &quot;$&quot;\ * &quot;-&quot;??_ ;_ @_ "/>
    <numFmt numFmtId="173" formatCode="_(&quot;$&quot;\ * #,##0.0_);_(&quot;$&quot;\ * \(#,##0.0\);_(&quot;$&quot;\ * &quot;-&quot;?_);_(@_)"/>
    <numFmt numFmtId="174" formatCode="_(* #,##0_);_(* \(#,##0\);_(* &quot;-&quot;??_);_(@_)"/>
    <numFmt numFmtId="175" formatCode="_ &quot;$&quot;\ * #,##0.0_ ;_ &quot;$&quot;\ * \-#,##0.0_ ;_ &quot;$&quot;\ * &quot;-&quot;??_ ;_ @_ "/>
    <numFmt numFmtId="176" formatCode="_(* #,##0.0_);_(* \(#,##0.0\);_(* &quot;-&quot;??_);_(@_)"/>
    <numFmt numFmtId="177" formatCode="_ * #,##0.00_ ;_ * \-#,##0.00_ ;_ * &quot;-&quot;??_ ;_ @_ "/>
    <numFmt numFmtId="178" formatCode="&quot;$&quot;#,##0.00"/>
  </numFmts>
  <fonts count="51" x14ac:knownFonts="1">
    <font>
      <sz val="11"/>
      <color theme="1"/>
      <name val="Calibri"/>
      <family val="2"/>
      <scheme val="minor"/>
    </font>
    <font>
      <sz val="11"/>
      <color theme="1"/>
      <name val="Calibri"/>
      <family val="2"/>
      <scheme val="minor"/>
    </font>
    <font>
      <b/>
      <sz val="11"/>
      <color theme="1"/>
      <name val="Calibri"/>
      <family val="2"/>
      <scheme val="minor"/>
    </font>
    <font>
      <b/>
      <sz val="11"/>
      <color theme="1"/>
      <name val="Aharoni"/>
      <charset val="177"/>
    </font>
    <font>
      <sz val="11"/>
      <color theme="1"/>
      <name val="Aharoni"/>
      <charset val="177"/>
    </font>
    <font>
      <b/>
      <sz val="8"/>
      <color theme="1"/>
      <name val="Antique Olive"/>
      <family val="2"/>
    </font>
    <font>
      <sz val="11"/>
      <color theme="1"/>
      <name val="Arial"/>
      <family val="2"/>
    </font>
    <font>
      <b/>
      <sz val="11"/>
      <color theme="1"/>
      <name val="Arial"/>
      <family val="2"/>
    </font>
    <font>
      <sz val="18"/>
      <color theme="1"/>
      <name val="Aharoni"/>
      <charset val="177"/>
    </font>
    <font>
      <sz val="20"/>
      <color theme="1"/>
      <name val="Aharoni"/>
      <charset val="177"/>
    </font>
    <font>
      <b/>
      <sz val="10"/>
      <color theme="1"/>
      <name val="Aharoni"/>
      <charset val="177"/>
    </font>
    <font>
      <b/>
      <sz val="12"/>
      <color theme="1"/>
      <name val="Aharoni"/>
      <charset val="177"/>
    </font>
    <font>
      <b/>
      <sz val="14"/>
      <color theme="1"/>
      <name val="Aharoni"/>
      <charset val="177"/>
    </font>
    <font>
      <b/>
      <sz val="18"/>
      <color theme="1"/>
      <name val="Aharoni"/>
      <charset val="177"/>
    </font>
    <font>
      <sz val="9"/>
      <color indexed="81"/>
      <name val="Tahoma"/>
      <family val="2"/>
    </font>
    <font>
      <b/>
      <sz val="9"/>
      <color indexed="81"/>
      <name val="Tahoma"/>
      <family val="2"/>
    </font>
    <font>
      <sz val="10"/>
      <color theme="1"/>
      <name val="Aharoni"/>
      <charset val="177"/>
    </font>
    <font>
      <sz val="9"/>
      <color theme="1"/>
      <name val="Arial"/>
      <family val="2"/>
    </font>
    <font>
      <sz val="11"/>
      <color theme="0"/>
      <name val="Calibri"/>
      <family val="2"/>
      <scheme val="minor"/>
    </font>
    <font>
      <b/>
      <sz val="9"/>
      <color theme="1"/>
      <name val="Aharoni"/>
      <charset val="177"/>
    </font>
    <font>
      <sz val="10"/>
      <name val="Arial"/>
      <family val="2"/>
    </font>
    <font>
      <b/>
      <sz val="12"/>
      <color theme="1"/>
      <name val="Calibri"/>
      <family val="2"/>
      <scheme val="minor"/>
    </font>
    <font>
      <b/>
      <sz val="14"/>
      <color theme="1"/>
      <name val="Calibri"/>
      <family val="2"/>
      <scheme val="minor"/>
    </font>
    <font>
      <sz val="14"/>
      <color theme="1"/>
      <name val="Aharoni"/>
      <charset val="177"/>
    </font>
    <font>
      <b/>
      <sz val="10"/>
      <name val="Arial"/>
      <family val="2"/>
    </font>
    <font>
      <sz val="11"/>
      <name val="Arial"/>
      <family val="2"/>
    </font>
    <font>
      <b/>
      <sz val="11"/>
      <name val="Arial"/>
      <family val="2"/>
    </font>
    <font>
      <sz val="10"/>
      <color theme="1"/>
      <name val="Arial"/>
      <family val="2"/>
    </font>
    <font>
      <b/>
      <sz val="9"/>
      <name val="Arial"/>
      <family val="2"/>
    </font>
    <font>
      <sz val="11"/>
      <color theme="0"/>
      <name val="Arial"/>
      <family val="2"/>
    </font>
    <font>
      <sz val="18"/>
      <color theme="0"/>
      <name val="Aharoni"/>
      <charset val="177"/>
    </font>
    <font>
      <sz val="12"/>
      <color theme="0"/>
      <name val="Aharoni"/>
      <charset val="177"/>
    </font>
    <font>
      <sz val="12"/>
      <color theme="1"/>
      <name val="Aharoni"/>
      <charset val="177"/>
    </font>
    <font>
      <b/>
      <sz val="12"/>
      <color rgb="FFFF0000"/>
      <name val="Calibri"/>
      <family val="2"/>
      <scheme val="minor"/>
    </font>
    <font>
      <sz val="9"/>
      <color theme="1"/>
      <name val="Aharoni"/>
      <charset val="177"/>
    </font>
    <font>
      <b/>
      <sz val="20"/>
      <color theme="1"/>
      <name val="Aharoni"/>
      <charset val="177"/>
    </font>
    <font>
      <u/>
      <sz val="11"/>
      <color theme="10"/>
      <name val="Calibri"/>
      <family val="2"/>
      <scheme val="minor"/>
    </font>
    <font>
      <u/>
      <sz val="16"/>
      <color rgb="FF0070C0"/>
      <name val="Arial"/>
      <family val="2"/>
    </font>
    <font>
      <b/>
      <sz val="16"/>
      <color theme="1"/>
      <name val="Calibri"/>
      <family val="2"/>
      <scheme val="minor"/>
    </font>
    <font>
      <b/>
      <sz val="18"/>
      <color theme="1"/>
      <name val="Calibri"/>
      <family val="2"/>
      <scheme val="minor"/>
    </font>
    <font>
      <sz val="22"/>
      <color theme="1"/>
      <name val="Aharoni"/>
      <charset val="177"/>
    </font>
    <font>
      <b/>
      <sz val="12"/>
      <color theme="1"/>
      <name val="Aharoni"/>
      <charset val="177"/>
    </font>
    <font>
      <sz val="14"/>
      <color theme="1"/>
      <name val="Calibri"/>
      <family val="2"/>
      <scheme val="minor"/>
    </font>
    <font>
      <b/>
      <sz val="16"/>
      <color theme="0"/>
      <name val="Arial"/>
      <family val="2"/>
    </font>
    <font>
      <b/>
      <u/>
      <sz val="8"/>
      <color theme="1"/>
      <name val="Antique Olive"/>
    </font>
    <font>
      <b/>
      <sz val="8"/>
      <color theme="1"/>
      <name val="Antique Olive"/>
    </font>
    <font>
      <b/>
      <sz val="11"/>
      <color theme="1"/>
      <name val="Aharoni"/>
      <charset val="177"/>
    </font>
    <font>
      <b/>
      <sz val="9"/>
      <color theme="1"/>
      <name val="Aharoni"/>
      <charset val="177"/>
    </font>
    <font>
      <sz val="10"/>
      <color theme="1"/>
      <name val="Aharoni"/>
      <charset val="177"/>
    </font>
    <font>
      <b/>
      <sz val="8"/>
      <color theme="1"/>
      <name val="Aharoni"/>
      <charset val="177"/>
    </font>
    <font>
      <b/>
      <sz val="14"/>
      <color theme="1"/>
      <name val="Arial"/>
      <family val="2"/>
    </font>
  </fonts>
  <fills count="8">
    <fill>
      <patternFill patternType="none"/>
    </fill>
    <fill>
      <patternFill patternType="gray125"/>
    </fill>
    <fill>
      <patternFill patternType="solid">
        <fgColor rgb="FF92D050"/>
        <bgColor indexed="64"/>
      </patternFill>
    </fill>
    <fill>
      <patternFill patternType="solid">
        <fgColor theme="6" tint="0.59999389629810485"/>
        <bgColor indexed="64"/>
      </patternFill>
    </fill>
    <fill>
      <patternFill patternType="solid">
        <fgColor rgb="FF002060"/>
        <bgColor indexed="64"/>
      </patternFill>
    </fill>
    <fill>
      <patternFill patternType="solid">
        <fgColor theme="0" tint="-4.9989318521683403E-2"/>
        <bgColor indexed="64"/>
      </patternFill>
    </fill>
    <fill>
      <patternFill patternType="solid">
        <fgColor theme="3"/>
        <bgColor indexed="64"/>
      </patternFill>
    </fill>
    <fill>
      <patternFill patternType="solid">
        <fgColor rgb="FFFFFF00"/>
        <bgColor indexed="64"/>
      </patternFill>
    </fill>
  </fills>
  <borders count="17">
    <border>
      <left/>
      <right/>
      <top/>
      <bottom/>
      <diagonal/>
    </border>
    <border>
      <left/>
      <right/>
      <top style="thin">
        <color indexed="64"/>
      </top>
      <bottom style="double">
        <color indexed="64"/>
      </bottom>
      <diagonal/>
    </border>
    <border>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xf numFmtId="165" fontId="1" fillId="0" borderId="0" applyFont="0" applyFill="0" applyBorder="0" applyAlignment="0" applyProtection="0"/>
    <xf numFmtId="9" fontId="1" fillId="0" borderId="0" applyFont="0" applyFill="0" applyBorder="0" applyAlignment="0" applyProtection="0"/>
    <xf numFmtId="166" fontId="20" fillId="0" borderId="0" applyFont="0" applyFill="0" applyBorder="0" applyAlignment="0" applyProtection="0"/>
    <xf numFmtId="166" fontId="1" fillId="0" borderId="0" applyFont="0" applyFill="0" applyBorder="0" applyAlignment="0" applyProtection="0"/>
    <xf numFmtId="0" fontId="36" fillId="0" borderId="0" applyNumberFormat="0" applyFill="0" applyBorder="0" applyAlignment="0" applyProtection="0"/>
    <xf numFmtId="0" fontId="20" fillId="0" borderId="0"/>
  </cellStyleXfs>
  <cellXfs count="171">
    <xf numFmtId="0" fontId="0" fillId="0" borderId="0" xfId="0"/>
    <xf numFmtId="0" fontId="25" fillId="0" borderId="0" xfId="0" applyFont="1" applyFill="1" applyBorder="1" applyProtection="1">
      <protection hidden="1"/>
    </xf>
    <xf numFmtId="172" fontId="0" fillId="0" borderId="0" xfId="1" applyNumberFormat="1" applyFont="1" applyFill="1" applyProtection="1">
      <protection hidden="1"/>
    </xf>
    <xf numFmtId="172" fontId="0" fillId="0" borderId="7" xfId="1" applyNumberFormat="1" applyFont="1" applyFill="1" applyBorder="1" applyProtection="1">
      <protection hidden="1"/>
    </xf>
    <xf numFmtId="0" fontId="26" fillId="0" borderId="0" xfId="0" applyFont="1" applyFill="1" applyBorder="1" applyProtection="1">
      <protection hidden="1"/>
    </xf>
    <xf numFmtId="172" fontId="24" fillId="0" borderId="0" xfId="1" applyNumberFormat="1" applyFont="1" applyFill="1" applyProtection="1">
      <protection hidden="1"/>
    </xf>
    <xf numFmtId="172" fontId="24" fillId="0" borderId="1" xfId="1" applyNumberFormat="1" applyFont="1" applyFill="1" applyBorder="1" applyProtection="1">
      <protection hidden="1"/>
    </xf>
    <xf numFmtId="174" fontId="20" fillId="0" borderId="0" xfId="3" applyNumberFormat="1" applyFont="1" applyFill="1" applyProtection="1">
      <protection hidden="1"/>
    </xf>
    <xf numFmtId="0" fontId="0" fillId="0" borderId="0" xfId="0" applyFill="1" applyProtection="1">
      <protection hidden="1"/>
    </xf>
    <xf numFmtId="175" fontId="0" fillId="0" borderId="0" xfId="1" applyNumberFormat="1" applyFont="1" applyFill="1" applyProtection="1">
      <protection hidden="1"/>
    </xf>
    <xf numFmtId="175" fontId="0" fillId="0" borderId="7" xfId="1" applyNumberFormat="1" applyFont="1" applyFill="1" applyBorder="1" applyProtection="1">
      <protection hidden="1"/>
    </xf>
    <xf numFmtId="174" fontId="27" fillId="0" borderId="0" xfId="3" applyNumberFormat="1" applyFont="1" applyFill="1" applyBorder="1" applyProtection="1">
      <protection hidden="1"/>
    </xf>
    <xf numFmtId="0" fontId="28" fillId="0" borderId="0" xfId="0" applyFont="1" applyFill="1" applyBorder="1" applyProtection="1">
      <protection hidden="1"/>
    </xf>
    <xf numFmtId="0" fontId="29" fillId="4" borderId="0" xfId="0" applyFont="1" applyFill="1" applyProtection="1">
      <protection locked="0"/>
    </xf>
    <xf numFmtId="165" fontId="29" fillId="4" borderId="0" xfId="1" applyFont="1" applyFill="1" applyProtection="1">
      <protection locked="0"/>
    </xf>
    <xf numFmtId="0" fontId="0" fillId="0" borderId="0" xfId="0" applyProtection="1">
      <protection hidden="1"/>
    </xf>
    <xf numFmtId="0" fontId="31" fillId="6" borderId="0" xfId="0" applyFont="1" applyFill="1" applyProtection="1">
      <protection hidden="1"/>
    </xf>
    <xf numFmtId="0" fontId="4" fillId="0" borderId="0" xfId="0" applyFont="1" applyProtection="1">
      <protection hidden="1"/>
    </xf>
    <xf numFmtId="0" fontId="5" fillId="0" borderId="0" xfId="0" applyFont="1" applyAlignment="1" applyProtection="1">
      <alignment wrapText="1"/>
      <protection hidden="1"/>
    </xf>
    <xf numFmtId="0" fontId="5" fillId="0" borderId="0" xfId="0" applyFont="1" applyAlignment="1" applyProtection="1">
      <alignment vertical="center" wrapText="1"/>
      <protection hidden="1"/>
    </xf>
    <xf numFmtId="0" fontId="12" fillId="0" borderId="0" xfId="0" applyFont="1" applyFill="1" applyAlignment="1" applyProtection="1">
      <alignment horizontal="right"/>
      <protection hidden="1"/>
    </xf>
    <xf numFmtId="0" fontId="13" fillId="3" borderId="0" xfId="0" applyFont="1" applyFill="1" applyAlignment="1" applyProtection="1">
      <alignment wrapText="1"/>
      <protection hidden="1"/>
    </xf>
    <xf numFmtId="0" fontId="7" fillId="0" borderId="0" xfId="0" applyFont="1" applyAlignment="1" applyProtection="1">
      <alignment horizontal="center"/>
      <protection hidden="1"/>
    </xf>
    <xf numFmtId="168" fontId="6" fillId="0" borderId="0" xfId="1" applyNumberFormat="1" applyFont="1" applyProtection="1">
      <protection hidden="1"/>
    </xf>
    <xf numFmtId="9" fontId="0" fillId="0" borderId="0" xfId="2" applyFont="1" applyAlignment="1" applyProtection="1">
      <alignment horizontal="center"/>
      <protection hidden="1"/>
    </xf>
    <xf numFmtId="168" fontId="0" fillId="0" borderId="0" xfId="1" applyNumberFormat="1" applyFont="1" applyProtection="1">
      <protection hidden="1"/>
    </xf>
    <xf numFmtId="165" fontId="0" fillId="0" borderId="0" xfId="1" applyFont="1" applyProtection="1">
      <protection hidden="1"/>
    </xf>
    <xf numFmtId="165" fontId="0" fillId="0" borderId="0" xfId="0" applyNumberFormat="1" applyProtection="1">
      <protection hidden="1"/>
    </xf>
    <xf numFmtId="0" fontId="12" fillId="0" borderId="4" xfId="0" applyFont="1" applyFill="1" applyBorder="1" applyProtection="1">
      <protection hidden="1"/>
    </xf>
    <xf numFmtId="0" fontId="13" fillId="0" borderId="5" xfId="0" applyFont="1" applyFill="1" applyBorder="1" applyAlignment="1" applyProtection="1">
      <alignment horizontal="center"/>
      <protection hidden="1"/>
    </xf>
    <xf numFmtId="0" fontId="13" fillId="0" borderId="6" xfId="0" applyFont="1" applyFill="1" applyBorder="1" applyAlignment="1" applyProtection="1">
      <alignment horizontal="center"/>
      <protection hidden="1"/>
    </xf>
    <xf numFmtId="0" fontId="3" fillId="0" borderId="4" xfId="0" applyFont="1" applyBorder="1" applyProtection="1">
      <protection hidden="1"/>
    </xf>
    <xf numFmtId="0" fontId="0" fillId="0" borderId="5" xfId="0" applyBorder="1" applyProtection="1">
      <protection hidden="1"/>
    </xf>
    <xf numFmtId="0" fontId="0" fillId="0" borderId="6" xfId="0" applyBorder="1" applyProtection="1">
      <protection hidden="1"/>
    </xf>
    <xf numFmtId="168" fontId="7" fillId="5" borderId="0" xfId="0" applyNumberFormat="1" applyFont="1" applyFill="1" applyProtection="1">
      <protection hidden="1"/>
    </xf>
    <xf numFmtId="9" fontId="7" fillId="5" borderId="0" xfId="2" applyFont="1" applyFill="1" applyAlignment="1" applyProtection="1">
      <alignment horizontal="center"/>
      <protection hidden="1"/>
    </xf>
    <xf numFmtId="165" fontId="2" fillId="0" borderId="0" xfId="0" applyNumberFormat="1" applyFont="1" applyProtection="1">
      <protection hidden="1"/>
    </xf>
    <xf numFmtId="168" fontId="0" fillId="0" borderId="0" xfId="0" applyNumberFormat="1" applyProtection="1">
      <protection hidden="1"/>
    </xf>
    <xf numFmtId="0" fontId="5" fillId="0" borderId="0" xfId="0" applyFont="1" applyAlignment="1" applyProtection="1">
      <alignment vertical="center"/>
      <protection hidden="1"/>
    </xf>
    <xf numFmtId="0" fontId="6" fillId="0" borderId="0" xfId="0" applyFont="1" applyProtection="1">
      <protection hidden="1"/>
    </xf>
    <xf numFmtId="0" fontId="6" fillId="0" borderId="0" xfId="0" applyFont="1" applyAlignment="1" applyProtection="1">
      <alignment horizontal="center"/>
      <protection hidden="1"/>
    </xf>
    <xf numFmtId="170" fontId="0" fillId="0" borderId="0" xfId="0" applyNumberFormat="1" applyProtection="1">
      <protection hidden="1"/>
    </xf>
    <xf numFmtId="49" fontId="6" fillId="0" borderId="0" xfId="0" applyNumberFormat="1" applyFont="1" applyProtection="1">
      <protection hidden="1"/>
    </xf>
    <xf numFmtId="0" fontId="11" fillId="0" borderId="0" xfId="0" applyFont="1" applyProtection="1">
      <protection hidden="1"/>
    </xf>
    <xf numFmtId="0" fontId="9" fillId="0" borderId="0" xfId="0" applyFont="1" applyAlignment="1" applyProtection="1">
      <alignment horizontal="center"/>
      <protection hidden="1"/>
    </xf>
    <xf numFmtId="0" fontId="9" fillId="0" borderId="0" xfId="0" applyFont="1" applyProtection="1">
      <protection hidden="1"/>
    </xf>
    <xf numFmtId="0" fontId="17" fillId="0" borderId="0" xfId="0" applyFont="1" applyProtection="1">
      <protection hidden="1"/>
    </xf>
    <xf numFmtId="167" fontId="6" fillId="0" borderId="0" xfId="1" applyNumberFormat="1" applyFont="1" applyProtection="1">
      <protection hidden="1"/>
    </xf>
    <xf numFmtId="167" fontId="6" fillId="0" borderId="0" xfId="0" applyNumberFormat="1" applyFont="1" applyProtection="1">
      <protection hidden="1"/>
    </xf>
    <xf numFmtId="0" fontId="16" fillId="0" borderId="0" xfId="0" applyFont="1" applyProtection="1">
      <protection hidden="1"/>
    </xf>
    <xf numFmtId="0" fontId="30" fillId="6" borderId="0" xfId="0" applyFont="1" applyFill="1" applyProtection="1">
      <protection locked="0"/>
    </xf>
    <xf numFmtId="169" fontId="30" fillId="6" borderId="3" xfId="2" applyNumberFormat="1" applyFont="1" applyFill="1" applyBorder="1" applyProtection="1">
      <protection locked="0"/>
    </xf>
    <xf numFmtId="169" fontId="30" fillId="6" borderId="5" xfId="2" applyNumberFormat="1" applyFont="1" applyFill="1" applyBorder="1" applyProtection="1">
      <protection locked="0"/>
    </xf>
    <xf numFmtId="166" fontId="29" fillId="4" borderId="0" xfId="4" applyFont="1" applyFill="1" applyProtection="1">
      <protection locked="0"/>
    </xf>
    <xf numFmtId="176" fontId="29" fillId="4" borderId="0" xfId="4" applyNumberFormat="1" applyFont="1" applyFill="1" applyAlignment="1" applyProtection="1">
      <alignment horizontal="center"/>
      <protection locked="0"/>
    </xf>
    <xf numFmtId="0" fontId="13" fillId="0" borderId="0" xfId="0" applyFont="1" applyAlignment="1" applyProtection="1">
      <alignment horizontal="center" vertical="center"/>
      <protection hidden="1"/>
    </xf>
    <xf numFmtId="0" fontId="26" fillId="5" borderId="0" xfId="0" applyFont="1" applyFill="1" applyBorder="1" applyProtection="1">
      <protection hidden="1"/>
    </xf>
    <xf numFmtId="0" fontId="0" fillId="5" borderId="0" xfId="0" applyFill="1" applyProtection="1">
      <protection hidden="1"/>
    </xf>
    <xf numFmtId="172" fontId="24" fillId="5" borderId="1" xfId="1" applyNumberFormat="1" applyFont="1" applyFill="1" applyBorder="1" applyProtection="1">
      <protection hidden="1"/>
    </xf>
    <xf numFmtId="0" fontId="8" fillId="0" borderId="0" xfId="0" applyFont="1" applyAlignment="1" applyProtection="1">
      <alignment horizontal="center" vertical="center"/>
      <protection hidden="1"/>
    </xf>
    <xf numFmtId="167" fontId="0" fillId="0" borderId="0" xfId="1" applyNumberFormat="1" applyFont="1" applyProtection="1">
      <protection hidden="1"/>
    </xf>
    <xf numFmtId="0" fontId="2" fillId="0" borderId="1" xfId="0" applyFont="1" applyBorder="1" applyProtection="1">
      <protection hidden="1"/>
    </xf>
    <xf numFmtId="167" fontId="0" fillId="0" borderId="1" xfId="0" applyNumberFormat="1" applyBorder="1" applyProtection="1">
      <protection hidden="1"/>
    </xf>
    <xf numFmtId="173" fontId="0" fillId="0" borderId="1" xfId="0" applyNumberFormat="1" applyBorder="1" applyProtection="1">
      <protection hidden="1"/>
    </xf>
    <xf numFmtId="173" fontId="0" fillId="0" borderId="0" xfId="0" applyNumberFormat="1" applyProtection="1">
      <protection hidden="1"/>
    </xf>
    <xf numFmtId="0" fontId="2" fillId="0" borderId="2" xfId="0" applyFont="1" applyBorder="1" applyProtection="1">
      <protection hidden="1"/>
    </xf>
    <xf numFmtId="173" fontId="2" fillId="0" borderId="2" xfId="0" applyNumberFormat="1" applyFont="1" applyBorder="1" applyProtection="1">
      <protection hidden="1"/>
    </xf>
    <xf numFmtId="0" fontId="23" fillId="0" borderId="0" xfId="0" applyFont="1" applyAlignment="1" applyProtection="1">
      <alignment horizontal="center" vertical="center"/>
      <protection hidden="1"/>
    </xf>
    <xf numFmtId="165" fontId="2" fillId="0" borderId="1" xfId="0" applyNumberFormat="1" applyFont="1" applyBorder="1" applyProtection="1">
      <protection hidden="1"/>
    </xf>
    <xf numFmtId="165" fontId="0" fillId="5" borderId="0" xfId="0" applyNumberFormat="1" applyFill="1" applyProtection="1">
      <protection hidden="1"/>
    </xf>
    <xf numFmtId="0" fontId="18" fillId="0" borderId="0" xfId="0" applyFont="1" applyProtection="1">
      <protection hidden="1"/>
    </xf>
    <xf numFmtId="165" fontId="18" fillId="0" borderId="0" xfId="0" applyNumberFormat="1" applyFont="1" applyProtection="1">
      <protection hidden="1"/>
    </xf>
    <xf numFmtId="0" fontId="7" fillId="0" borderId="0" xfId="0" applyFont="1" applyProtection="1">
      <protection hidden="1"/>
    </xf>
    <xf numFmtId="165" fontId="21" fillId="0" borderId="0" xfId="0" applyNumberFormat="1" applyFont="1" applyProtection="1">
      <protection hidden="1"/>
    </xf>
    <xf numFmtId="0" fontId="3" fillId="0" borderId="0" xfId="0" applyFont="1" applyAlignment="1" applyProtection="1">
      <alignment horizontal="left" wrapText="1"/>
      <protection hidden="1"/>
    </xf>
    <xf numFmtId="0" fontId="3" fillId="0" borderId="0" xfId="0" applyFont="1" applyProtection="1">
      <protection hidden="1"/>
    </xf>
    <xf numFmtId="0" fontId="19" fillId="0" borderId="0" xfId="0" applyFont="1" applyAlignment="1" applyProtection="1">
      <alignment wrapText="1"/>
      <protection hidden="1"/>
    </xf>
    <xf numFmtId="171" fontId="0" fillId="0" borderId="0" xfId="1" applyNumberFormat="1" applyFont="1" applyProtection="1">
      <protection hidden="1"/>
    </xf>
    <xf numFmtId="0" fontId="16" fillId="0" borderId="0" xfId="0" applyFont="1" applyAlignment="1" applyProtection="1">
      <alignment horizontal="center"/>
      <protection hidden="1"/>
    </xf>
    <xf numFmtId="0" fontId="32" fillId="5" borderId="0" xfId="0" applyFont="1" applyFill="1" applyProtection="1">
      <protection hidden="1"/>
    </xf>
    <xf numFmtId="0" fontId="23" fillId="0" borderId="9" xfId="0" applyFont="1" applyBorder="1" applyAlignment="1" applyProtection="1">
      <alignment horizontal="center" vertical="center"/>
      <protection hidden="1"/>
    </xf>
    <xf numFmtId="0" fontId="8" fillId="0" borderId="9"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0" fillId="0" borderId="11" xfId="0" applyBorder="1" applyProtection="1">
      <protection hidden="1"/>
    </xf>
    <xf numFmtId="0" fontId="34" fillId="0" borderId="0" xfId="0" applyFont="1" applyAlignment="1" applyProtection="1">
      <alignment wrapText="1"/>
      <protection hidden="1"/>
    </xf>
    <xf numFmtId="0" fontId="6" fillId="0" borderId="0" xfId="0" applyFont="1" applyAlignment="1" applyProtection="1">
      <protection hidden="1"/>
    </xf>
    <xf numFmtId="165" fontId="6" fillId="0" borderId="0" xfId="0" applyNumberFormat="1" applyFont="1" applyAlignment="1" applyProtection="1">
      <protection hidden="1"/>
    </xf>
    <xf numFmtId="9" fontId="6" fillId="0" borderId="0" xfId="0" applyNumberFormat="1" applyFont="1" applyProtection="1">
      <protection hidden="1"/>
    </xf>
    <xf numFmtId="165" fontId="6" fillId="0" borderId="0" xfId="0" applyNumberFormat="1" applyFont="1" applyProtection="1">
      <protection hidden="1"/>
    </xf>
    <xf numFmtId="166" fontId="6" fillId="0" borderId="0" xfId="0" applyNumberFormat="1" applyFont="1" applyProtection="1">
      <protection hidden="1"/>
    </xf>
    <xf numFmtId="166" fontId="18" fillId="0" borderId="0" xfId="0" applyNumberFormat="1" applyFont="1" applyProtection="1">
      <protection hidden="1"/>
    </xf>
    <xf numFmtId="0" fontId="6" fillId="0" borderId="0" xfId="0" applyFont="1" applyAlignment="1" applyProtection="1">
      <alignment horizontal="left"/>
      <protection hidden="1"/>
    </xf>
    <xf numFmtId="0" fontId="0" fillId="0" borderId="0" xfId="0" applyAlignment="1" applyProtection="1">
      <protection hidden="1"/>
    </xf>
    <xf numFmtId="165" fontId="0" fillId="0" borderId="0" xfId="0" applyNumberFormat="1" applyAlignment="1" applyProtection="1">
      <protection hidden="1"/>
    </xf>
    <xf numFmtId="9" fontId="0" fillId="0" borderId="0" xfId="0" applyNumberFormat="1" applyProtection="1">
      <protection hidden="1"/>
    </xf>
    <xf numFmtId="166" fontId="35" fillId="0" borderId="0" xfId="4" applyFont="1" applyProtection="1">
      <protection hidden="1"/>
    </xf>
    <xf numFmtId="165" fontId="35" fillId="0" borderId="0" xfId="1" applyFont="1" applyProtection="1">
      <protection hidden="1"/>
    </xf>
    <xf numFmtId="0" fontId="2" fillId="0" borderId="0" xfId="0" applyFont="1" applyProtection="1">
      <protection hidden="1"/>
    </xf>
    <xf numFmtId="166" fontId="2" fillId="0" borderId="0" xfId="4" applyFont="1" applyProtection="1">
      <protection hidden="1"/>
    </xf>
    <xf numFmtId="165" fontId="18" fillId="0" borderId="0" xfId="1" applyFont="1" applyProtection="1">
      <protection hidden="1"/>
    </xf>
    <xf numFmtId="0" fontId="19" fillId="0" borderId="0" xfId="0" applyFont="1" applyAlignment="1" applyProtection="1">
      <alignment wrapText="1"/>
      <protection locked="0"/>
    </xf>
    <xf numFmtId="0" fontId="21" fillId="0" borderId="8" xfId="0" applyFont="1" applyBorder="1" applyProtection="1">
      <protection hidden="1"/>
    </xf>
    <xf numFmtId="8" fontId="0" fillId="0" borderId="0" xfId="0" applyNumberFormat="1" applyProtection="1">
      <protection hidden="1"/>
    </xf>
    <xf numFmtId="0" fontId="20" fillId="0" borderId="0" xfId="6"/>
    <xf numFmtId="177" fontId="20" fillId="0" borderId="0" xfId="6" applyNumberFormat="1"/>
    <xf numFmtId="8" fontId="20" fillId="0" borderId="0" xfId="6" applyNumberFormat="1"/>
    <xf numFmtId="0" fontId="18" fillId="0" borderId="0" xfId="0" applyNumberFormat="1" applyFont="1" applyProtection="1">
      <protection hidden="1"/>
    </xf>
    <xf numFmtId="0" fontId="22" fillId="0" borderId="4" xfId="0" applyFont="1" applyBorder="1" applyProtection="1">
      <protection hidden="1"/>
    </xf>
    <xf numFmtId="2" fontId="39" fillId="7" borderId="5" xfId="0" applyNumberFormat="1" applyFont="1" applyFill="1" applyBorder="1" applyProtection="1">
      <protection hidden="1"/>
    </xf>
    <xf numFmtId="0" fontId="38" fillId="0" borderId="6" xfId="0" applyFont="1" applyBorder="1" applyProtection="1">
      <protection hidden="1"/>
    </xf>
    <xf numFmtId="0" fontId="41" fillId="0" borderId="4" xfId="0" applyFont="1" applyBorder="1" applyProtection="1">
      <protection hidden="1"/>
    </xf>
    <xf numFmtId="178" fontId="42" fillId="0" borderId="3" xfId="0" applyNumberFormat="1" applyFont="1" applyBorder="1" applyProtection="1">
      <protection hidden="1"/>
    </xf>
    <xf numFmtId="178" fontId="42" fillId="0" borderId="12" xfId="0" applyNumberFormat="1" applyFont="1" applyBorder="1" applyProtection="1">
      <protection hidden="1"/>
    </xf>
    <xf numFmtId="0" fontId="0" fillId="0" borderId="0" xfId="0" applyNumberFormat="1" applyProtection="1">
      <protection hidden="1"/>
    </xf>
    <xf numFmtId="164" fontId="39" fillId="5" borderId="6" xfId="0" applyNumberFormat="1" applyFont="1" applyFill="1" applyBorder="1" applyProtection="1">
      <protection hidden="1"/>
    </xf>
    <xf numFmtId="10" fontId="40" fillId="0" borderId="6" xfId="2" applyNumberFormat="1" applyFont="1" applyBorder="1" applyAlignment="1" applyProtection="1">
      <alignment horizontal="center" vertical="center"/>
      <protection hidden="1"/>
    </xf>
    <xf numFmtId="0" fontId="45" fillId="0" borderId="0" xfId="0" applyFont="1" applyAlignment="1" applyProtection="1">
      <alignment wrapText="1"/>
      <protection hidden="1"/>
    </xf>
    <xf numFmtId="0" fontId="46" fillId="0" borderId="0" xfId="0" applyFont="1" applyProtection="1">
      <protection hidden="1"/>
    </xf>
    <xf numFmtId="0" fontId="47" fillId="0" borderId="0" xfId="0" applyFont="1" applyAlignment="1" applyProtection="1">
      <alignment wrapText="1"/>
      <protection hidden="1"/>
    </xf>
    <xf numFmtId="0" fontId="2" fillId="0" borderId="0" xfId="0" applyFont="1" applyAlignment="1" applyProtection="1">
      <alignment horizontal="center"/>
      <protection hidden="1"/>
    </xf>
    <xf numFmtId="0" fontId="47" fillId="0" borderId="0" xfId="0" applyFont="1" applyAlignment="1" applyProtection="1">
      <alignment wrapText="1"/>
      <protection locked="0"/>
    </xf>
    <xf numFmtId="0" fontId="48" fillId="0" borderId="0" xfId="0" applyFont="1" applyProtection="1">
      <protection hidden="1"/>
    </xf>
    <xf numFmtId="0" fontId="49" fillId="0" borderId="13" xfId="0" applyFont="1" applyBorder="1" applyAlignment="1" applyProtection="1">
      <alignment wrapText="1"/>
      <protection hidden="1"/>
    </xf>
    <xf numFmtId="0" fontId="49" fillId="0" borderId="11" xfId="0" applyFont="1" applyBorder="1" applyProtection="1">
      <protection hidden="1"/>
    </xf>
    <xf numFmtId="0" fontId="0" fillId="0" borderId="8" xfId="0" applyBorder="1" applyProtection="1">
      <protection hidden="1"/>
    </xf>
    <xf numFmtId="0" fontId="26" fillId="0" borderId="15" xfId="0" applyFont="1" applyFill="1" applyBorder="1" applyAlignment="1">
      <alignment horizontal="center"/>
    </xf>
    <xf numFmtId="0" fontId="26" fillId="0" borderId="16" xfId="0" applyFont="1" applyFill="1" applyBorder="1" applyAlignment="1">
      <alignment horizontal="center"/>
    </xf>
    <xf numFmtId="0" fontId="2" fillId="0" borderId="13" xfId="0" applyFont="1" applyBorder="1" applyAlignment="1" applyProtection="1">
      <alignment horizontal="center"/>
      <protection hidden="1"/>
    </xf>
    <xf numFmtId="0" fontId="2" fillId="0" borderId="11" xfId="0" applyFont="1" applyBorder="1" applyAlignment="1" applyProtection="1">
      <alignment horizontal="center"/>
      <protection hidden="1"/>
    </xf>
    <xf numFmtId="0" fontId="18" fillId="4" borderId="0" xfId="0" applyFont="1" applyFill="1" applyProtection="1">
      <protection locked="0" hidden="1"/>
    </xf>
    <xf numFmtId="166" fontId="6" fillId="0" borderId="0" xfId="4" applyFont="1" applyAlignment="1" applyProtection="1">
      <alignment horizontal="center"/>
      <protection hidden="1"/>
    </xf>
    <xf numFmtId="9" fontId="29" fillId="4" borderId="0" xfId="2" applyNumberFormat="1" applyFont="1" applyFill="1" applyProtection="1">
      <protection locked="0"/>
    </xf>
    <xf numFmtId="176" fontId="29" fillId="4" borderId="0" xfId="4" applyNumberFormat="1" applyFont="1" applyFill="1" applyProtection="1">
      <protection locked="0"/>
    </xf>
    <xf numFmtId="176" fontId="29" fillId="4" borderId="0" xfId="1" applyNumberFormat="1" applyFont="1" applyFill="1" applyProtection="1">
      <protection locked="0"/>
    </xf>
    <xf numFmtId="167" fontId="50" fillId="7" borderId="1" xfId="1" applyNumberFormat="1" applyFont="1" applyFill="1" applyBorder="1" applyProtection="1">
      <protection hidden="1"/>
    </xf>
    <xf numFmtId="174" fontId="0" fillId="0" borderId="0" xfId="4" applyNumberFormat="1" applyFont="1" applyProtection="1">
      <protection hidden="1"/>
    </xf>
    <xf numFmtId="174" fontId="21" fillId="5" borderId="0" xfId="4" applyNumberFormat="1" applyFont="1" applyFill="1" applyProtection="1">
      <protection hidden="1"/>
    </xf>
    <xf numFmtId="174" fontId="21" fillId="0" borderId="0" xfId="4" applyNumberFormat="1" applyFont="1" applyProtection="1">
      <protection hidden="1"/>
    </xf>
    <xf numFmtId="174" fontId="29" fillId="4" borderId="0" xfId="4" applyNumberFormat="1" applyFont="1" applyFill="1" applyAlignment="1" applyProtection="1">
      <alignment horizontal="center"/>
      <protection locked="0"/>
    </xf>
    <xf numFmtId="174" fontId="33" fillId="0" borderId="0" xfId="4" applyNumberFormat="1" applyFont="1" applyProtection="1">
      <protection hidden="1"/>
    </xf>
    <xf numFmtId="174" fontId="6" fillId="0" borderId="0" xfId="4" applyNumberFormat="1" applyFont="1" applyBorder="1"/>
    <xf numFmtId="174" fontId="6" fillId="0" borderId="14" xfId="4" applyNumberFormat="1" applyFont="1" applyBorder="1"/>
    <xf numFmtId="174" fontId="6" fillId="0" borderId="0" xfId="4" applyNumberFormat="1" applyFont="1" applyFill="1" applyBorder="1" applyProtection="1">
      <protection hidden="1"/>
    </xf>
    <xf numFmtId="174" fontId="6" fillId="0" borderId="14" xfId="4" applyNumberFormat="1" applyFont="1" applyFill="1" applyBorder="1" applyProtection="1">
      <protection hidden="1"/>
    </xf>
    <xf numFmtId="174" fontId="6" fillId="0" borderId="3" xfId="4" applyNumberFormat="1" applyFont="1" applyFill="1" applyBorder="1" applyProtection="1">
      <protection hidden="1"/>
    </xf>
    <xf numFmtId="174" fontId="6" fillId="0" borderId="12" xfId="4" applyNumberFormat="1" applyFont="1" applyFill="1" applyBorder="1" applyProtection="1">
      <protection hidden="1"/>
    </xf>
    <xf numFmtId="167" fontId="29" fillId="4" borderId="0" xfId="1" applyNumberFormat="1" applyFont="1" applyFill="1" applyProtection="1">
      <protection locked="0"/>
    </xf>
    <xf numFmtId="167" fontId="21" fillId="0" borderId="0" xfId="0" applyNumberFormat="1" applyFont="1" applyProtection="1">
      <protection hidden="1"/>
    </xf>
    <xf numFmtId="0" fontId="37" fillId="7" borderId="0" xfId="5" applyFont="1" applyFill="1" applyAlignment="1">
      <alignment horizontal="center"/>
    </xf>
    <xf numFmtId="0" fontId="4" fillId="0" borderId="0" xfId="0" applyFont="1" applyAlignment="1" applyProtection="1">
      <alignment horizontal="center"/>
      <protection hidden="1"/>
    </xf>
    <xf numFmtId="0" fontId="12" fillId="0" borderId="0" xfId="0" applyFont="1" applyAlignment="1" applyProtection="1">
      <alignment horizontal="center" vertical="center"/>
      <protection hidden="1"/>
    </xf>
    <xf numFmtId="0" fontId="10" fillId="0" borderId="0" xfId="0" applyFont="1" applyAlignment="1" applyProtection="1">
      <alignment horizontal="center" wrapText="1"/>
      <protection hidden="1"/>
    </xf>
    <xf numFmtId="0" fontId="12" fillId="0" borderId="0" xfId="0" applyFont="1" applyFill="1" applyAlignment="1" applyProtection="1">
      <alignment horizontal="left" wrapText="1"/>
      <protection hidden="1"/>
    </xf>
    <xf numFmtId="0" fontId="3" fillId="2" borderId="8" xfId="0" applyFont="1" applyFill="1" applyBorder="1" applyAlignment="1" applyProtection="1">
      <alignment horizontal="left" wrapText="1"/>
      <protection hidden="1"/>
    </xf>
    <xf numFmtId="0" fontId="3" fillId="2" borderId="9" xfId="0" applyFont="1" applyFill="1" applyBorder="1" applyAlignment="1" applyProtection="1">
      <alignment horizontal="left" wrapText="1"/>
      <protection hidden="1"/>
    </xf>
    <xf numFmtId="0" fontId="3" fillId="2" borderId="10" xfId="0" applyFont="1" applyFill="1" applyBorder="1" applyAlignment="1" applyProtection="1">
      <alignment horizontal="left" wrapText="1"/>
      <protection hidden="1"/>
    </xf>
    <xf numFmtId="0" fontId="3" fillId="2" borderId="11" xfId="0" applyFont="1" applyFill="1" applyBorder="1" applyAlignment="1" applyProtection="1">
      <alignment horizontal="left" wrapText="1"/>
      <protection hidden="1"/>
    </xf>
    <xf numFmtId="0" fontId="3" fillId="2" borderId="3" xfId="0" applyFont="1" applyFill="1" applyBorder="1" applyAlignment="1" applyProtection="1">
      <alignment horizontal="left" wrapText="1"/>
      <protection hidden="1"/>
    </xf>
    <xf numFmtId="0" fontId="3" fillId="2" borderId="12" xfId="0" applyFont="1" applyFill="1" applyBorder="1" applyAlignment="1" applyProtection="1">
      <alignment horizontal="left" wrapText="1"/>
      <protection hidden="1"/>
    </xf>
    <xf numFmtId="0" fontId="4" fillId="0" borderId="0" xfId="0" applyFont="1" applyBorder="1" applyAlignment="1" applyProtection="1">
      <alignment horizontal="center"/>
      <protection hidden="1"/>
    </xf>
    <xf numFmtId="0" fontId="0" fillId="0" borderId="0" xfId="0" applyAlignment="1" applyProtection="1">
      <alignment horizontal="center"/>
      <protection hidden="1"/>
    </xf>
    <xf numFmtId="10" fontId="29" fillId="4" borderId="0" xfId="2" applyNumberFormat="1" applyFont="1" applyFill="1" applyAlignment="1" applyProtection="1">
      <alignment horizontal="center"/>
      <protection locked="0"/>
    </xf>
    <xf numFmtId="0" fontId="13" fillId="0" borderId="0" xfId="0" applyFont="1" applyAlignment="1" applyProtection="1">
      <alignment horizontal="center" vertical="center"/>
      <protection hidden="1"/>
    </xf>
    <xf numFmtId="0" fontId="13" fillId="5" borderId="0" xfId="0" applyFont="1" applyFill="1" applyAlignment="1" applyProtection="1">
      <alignment horizontal="center" vertical="center"/>
      <protection hidden="1"/>
    </xf>
    <xf numFmtId="0" fontId="11" fillId="0" borderId="0" xfId="0" applyFont="1" applyAlignment="1" applyProtection="1">
      <alignment horizontal="center"/>
      <protection hidden="1"/>
    </xf>
    <xf numFmtId="0" fontId="2" fillId="0" borderId="0" xfId="0" applyFont="1" applyAlignment="1" applyProtection="1">
      <alignment horizontal="center"/>
      <protection hidden="1"/>
    </xf>
    <xf numFmtId="0" fontId="3" fillId="0" borderId="0" xfId="0" applyFont="1" applyAlignment="1" applyProtection="1">
      <alignment horizontal="center"/>
      <protection hidden="1"/>
    </xf>
    <xf numFmtId="0" fontId="3" fillId="0" borderId="0" xfId="0" applyFont="1" applyAlignment="1" applyProtection="1">
      <alignment horizontal="left"/>
      <protection hidden="1"/>
    </xf>
    <xf numFmtId="0" fontId="11" fillId="0" borderId="0" xfId="0" applyFont="1" applyAlignment="1" applyProtection="1">
      <alignment wrapText="1"/>
      <protection hidden="1"/>
    </xf>
    <xf numFmtId="10" fontId="43" fillId="4" borderId="0" xfId="2" applyNumberFormat="1" applyFont="1" applyFill="1" applyAlignment="1" applyProtection="1">
      <alignment horizontal="center" vertical="center"/>
      <protection locked="0"/>
    </xf>
    <xf numFmtId="0" fontId="12" fillId="5" borderId="0" xfId="0" applyFont="1" applyFill="1" applyAlignment="1" applyProtection="1">
      <alignment horizontal="center"/>
      <protection hidden="1"/>
    </xf>
  </cellXfs>
  <cellStyles count="7">
    <cellStyle name="Hipervínculo" xfId="5" builtinId="8"/>
    <cellStyle name="Millares" xfId="4" builtinId="3"/>
    <cellStyle name="Millares_Modelo Financiero ACME Final 2" xfId="3" xr:uid="{00000000-0005-0000-0000-000002000000}"/>
    <cellStyle name="Moneda" xfId="1" builtinId="4"/>
    <cellStyle name="Normal" xfId="0" builtinId="0"/>
    <cellStyle name="Normal 2" xfId="6" xr:uid="{00000000-0005-0000-0000-000005000000}"/>
    <cellStyle name="Porcentaje" xfId="2" builtinId="5"/>
  </cellStyles>
  <dxfs count="1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tint="4.9989318521683403E-2"/>
      </font>
      <fill>
        <patternFill>
          <bgColor rgb="FF00B050"/>
        </patternFill>
      </fill>
    </dxf>
    <dxf>
      <font>
        <color rgb="FF9C6500"/>
      </font>
      <fill>
        <patternFill>
          <bgColor rgb="FFFFEB9C"/>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dxf>
    <dxf>
      <font>
        <color rgb="FF9C0006"/>
      </font>
      <fill>
        <patternFill>
          <bgColor rgb="FFFFC7CE"/>
        </patternFill>
      </fill>
    </dxf>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2"/>
    </mc:Choice>
    <mc:Fallback>
      <c:style val="42"/>
    </mc:Fallback>
  </mc:AlternateContent>
  <c:chart>
    <c:autoTitleDeleted val="0"/>
    <c:plotArea>
      <c:layout>
        <c:manualLayout>
          <c:layoutTarget val="inner"/>
          <c:xMode val="edge"/>
          <c:yMode val="edge"/>
          <c:x val="0.20978299507161174"/>
          <c:y val="4.2355815040486779E-2"/>
          <c:w val="0.70800194207522693"/>
          <c:h val="0.80141434497983866"/>
        </c:manualLayout>
      </c:layout>
      <c:lineChart>
        <c:grouping val="standard"/>
        <c:varyColors val="0"/>
        <c:ser>
          <c:idx val="0"/>
          <c:order val="0"/>
          <c:tx>
            <c:strRef>
              <c:f>'5'!$C$31</c:f>
              <c:strCache>
                <c:ptCount val="1"/>
                <c:pt idx="0">
                  <c:v>COSTOS FIJO</c:v>
                </c:pt>
              </c:strCache>
            </c:strRef>
          </c:tx>
          <c:marker>
            <c:symbol val="none"/>
          </c:marker>
          <c:cat>
            <c:numRef>
              <c:f>'5'!$B$32:$B$34</c:f>
              <c:numCache>
                <c:formatCode>_(* #,##0.00_);_(* \(#,##0.00\);_(* "-"??_);_(@_)</c:formatCode>
                <c:ptCount val="3"/>
                <c:pt idx="0" formatCode="General">
                  <c:v>0</c:v>
                </c:pt>
                <c:pt idx="1">
                  <c:v>1994.3611929380995</c:v>
                </c:pt>
                <c:pt idx="2">
                  <c:v>3988.722385876199</c:v>
                </c:pt>
              </c:numCache>
            </c:numRef>
          </c:cat>
          <c:val>
            <c:numRef>
              <c:f>'5'!$C$32:$C$34</c:f>
              <c:numCache>
                <c:formatCode>_("$"\ * #,##0.00_);_("$"\ * \(#,##0.00\);_("$"\ * "-"??_);_(@_)</c:formatCode>
                <c:ptCount val="3"/>
                <c:pt idx="0">
                  <c:v>727424000</c:v>
                </c:pt>
                <c:pt idx="1">
                  <c:v>727424000</c:v>
                </c:pt>
                <c:pt idx="2">
                  <c:v>727424000</c:v>
                </c:pt>
              </c:numCache>
            </c:numRef>
          </c:val>
          <c:smooth val="0"/>
          <c:extLst>
            <c:ext xmlns:c16="http://schemas.microsoft.com/office/drawing/2014/chart" uri="{C3380CC4-5D6E-409C-BE32-E72D297353CC}">
              <c16:uniqueId val="{00000000-8A79-4BFE-9417-0186D0F8B071}"/>
            </c:ext>
          </c:extLst>
        </c:ser>
        <c:ser>
          <c:idx val="1"/>
          <c:order val="1"/>
          <c:tx>
            <c:strRef>
              <c:f>'5'!$D$31</c:f>
              <c:strCache>
                <c:ptCount val="1"/>
                <c:pt idx="0">
                  <c:v>INGRESOS</c:v>
                </c:pt>
              </c:strCache>
            </c:strRef>
          </c:tx>
          <c:marker>
            <c:symbol val="none"/>
          </c:marker>
          <c:cat>
            <c:numRef>
              <c:f>'5'!$B$32:$B$34</c:f>
              <c:numCache>
                <c:formatCode>_(* #,##0.00_);_(* \(#,##0.00\);_(* "-"??_);_(@_)</c:formatCode>
                <c:ptCount val="3"/>
                <c:pt idx="0" formatCode="General">
                  <c:v>0</c:v>
                </c:pt>
                <c:pt idx="1">
                  <c:v>1994.3611929380995</c:v>
                </c:pt>
                <c:pt idx="2">
                  <c:v>3988.722385876199</c:v>
                </c:pt>
              </c:numCache>
            </c:numRef>
          </c:cat>
          <c:val>
            <c:numRef>
              <c:f>'5'!$D$32:$D$34</c:f>
              <c:numCache>
                <c:formatCode>_("$"\ * #,##0.00_);_("$"\ * \(#,##0.00\);_("$"\ * "-"??_);_(@_)</c:formatCode>
                <c:ptCount val="3"/>
                <c:pt idx="0" formatCode="General">
                  <c:v>0</c:v>
                </c:pt>
                <c:pt idx="1">
                  <c:v>4041244444.4444423</c:v>
                </c:pt>
                <c:pt idx="2">
                  <c:v>8082488888.8888845</c:v>
                </c:pt>
              </c:numCache>
            </c:numRef>
          </c:val>
          <c:smooth val="0"/>
          <c:extLst>
            <c:ext xmlns:c16="http://schemas.microsoft.com/office/drawing/2014/chart" uri="{C3380CC4-5D6E-409C-BE32-E72D297353CC}">
              <c16:uniqueId val="{00000001-8A79-4BFE-9417-0186D0F8B071}"/>
            </c:ext>
          </c:extLst>
        </c:ser>
        <c:ser>
          <c:idx val="2"/>
          <c:order val="2"/>
          <c:tx>
            <c:strRef>
              <c:f>'5'!$F$31</c:f>
              <c:strCache>
                <c:ptCount val="1"/>
                <c:pt idx="0">
                  <c:v>COSTO TOTAL</c:v>
                </c:pt>
              </c:strCache>
            </c:strRef>
          </c:tx>
          <c:marker>
            <c:symbol val="none"/>
          </c:marker>
          <c:cat>
            <c:numRef>
              <c:f>'5'!$B$32:$B$34</c:f>
              <c:numCache>
                <c:formatCode>_(* #,##0.00_);_(* \(#,##0.00\);_(* "-"??_);_(@_)</c:formatCode>
                <c:ptCount val="3"/>
                <c:pt idx="0" formatCode="General">
                  <c:v>0</c:v>
                </c:pt>
                <c:pt idx="1">
                  <c:v>1994.3611929380995</c:v>
                </c:pt>
                <c:pt idx="2">
                  <c:v>3988.722385876199</c:v>
                </c:pt>
              </c:numCache>
            </c:numRef>
          </c:cat>
          <c:val>
            <c:numRef>
              <c:f>'5'!$F$32:$F$34</c:f>
              <c:numCache>
                <c:formatCode>_("$"\ * #,##0.00_);_("$"\ * \(#,##0.00\);_("$"\ * "-"??_);_(@_)</c:formatCode>
                <c:ptCount val="3"/>
                <c:pt idx="0">
                  <c:v>727424000</c:v>
                </c:pt>
                <c:pt idx="1">
                  <c:v>4041244444.4444418</c:v>
                </c:pt>
                <c:pt idx="2">
                  <c:v>7355064888.8888836</c:v>
                </c:pt>
              </c:numCache>
            </c:numRef>
          </c:val>
          <c:smooth val="0"/>
          <c:extLst>
            <c:ext xmlns:c16="http://schemas.microsoft.com/office/drawing/2014/chart" uri="{C3380CC4-5D6E-409C-BE32-E72D297353CC}">
              <c16:uniqueId val="{00000002-8A79-4BFE-9417-0186D0F8B071}"/>
            </c:ext>
          </c:extLst>
        </c:ser>
        <c:dLbls>
          <c:showLegendKey val="0"/>
          <c:showVal val="0"/>
          <c:showCatName val="0"/>
          <c:showSerName val="0"/>
          <c:showPercent val="0"/>
          <c:showBubbleSize val="0"/>
        </c:dLbls>
        <c:smooth val="0"/>
        <c:axId val="123640448"/>
        <c:axId val="123654528"/>
      </c:lineChart>
      <c:catAx>
        <c:axId val="123640448"/>
        <c:scaling>
          <c:orientation val="minMax"/>
        </c:scaling>
        <c:delete val="0"/>
        <c:axPos val="b"/>
        <c:numFmt formatCode="General" sourceLinked="1"/>
        <c:majorTickMark val="out"/>
        <c:minorTickMark val="none"/>
        <c:tickLblPos val="nextTo"/>
        <c:crossAx val="123654528"/>
        <c:crosses val="autoZero"/>
        <c:auto val="1"/>
        <c:lblAlgn val="ctr"/>
        <c:lblOffset val="100"/>
        <c:noMultiLvlLbl val="0"/>
      </c:catAx>
      <c:valAx>
        <c:axId val="123654528"/>
        <c:scaling>
          <c:orientation val="minMax"/>
        </c:scaling>
        <c:delete val="0"/>
        <c:axPos val="l"/>
        <c:majorGridlines/>
        <c:numFmt formatCode="_(&quot;$&quot;\ * #,##0.00_);_(&quot;$&quot;\ * \(#,##0.00\);_(&quot;$&quot;\ * &quot;-&quot;??_);_(@_)" sourceLinked="1"/>
        <c:majorTickMark val="out"/>
        <c:minorTickMark val="none"/>
        <c:tickLblPos val="nextTo"/>
        <c:txPr>
          <a:bodyPr/>
          <a:lstStyle/>
          <a:p>
            <a:pPr>
              <a:defRPr sz="800">
                <a:latin typeface="Arial" pitchFamily="34" charset="0"/>
                <a:cs typeface="Arial" pitchFamily="34" charset="0"/>
              </a:defRPr>
            </a:pPr>
            <a:endParaRPr lang="es-MX"/>
          </a:p>
        </c:txPr>
        <c:crossAx val="123640448"/>
        <c:crosses val="autoZero"/>
        <c:crossBetween val="midCat"/>
      </c:valAx>
    </c:plotArea>
    <c:legend>
      <c:legendPos val="r"/>
      <c:layout>
        <c:manualLayout>
          <c:xMode val="edge"/>
          <c:yMode val="edge"/>
          <c:x val="2.2698594538394724E-2"/>
          <c:y val="0.93824729917921001"/>
          <c:w val="0.95884696821386661"/>
          <c:h val="5.8173535020252409E-2"/>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mailto:dmreyes@ean.edu.co" TargetMode="External"/><Relationship Id="rId3" Type="http://schemas.openxmlformats.org/officeDocument/2006/relationships/hyperlink" Target="#'3'!A1"/><Relationship Id="rId7" Type="http://schemas.openxmlformats.org/officeDocument/2006/relationships/image" Target="../media/image2.png"/><Relationship Id="rId2" Type="http://schemas.openxmlformats.org/officeDocument/2006/relationships/hyperlink" Target="#'2'!A1"/><Relationship Id="rId1" Type="http://schemas.openxmlformats.org/officeDocument/2006/relationships/hyperlink" Target="#'1'!A1"/><Relationship Id="rId6" Type="http://schemas.openxmlformats.org/officeDocument/2006/relationships/image" Target="../media/image1.jpeg"/><Relationship Id="rId5" Type="http://schemas.openxmlformats.org/officeDocument/2006/relationships/hyperlink" Target="#'5'!A1"/><Relationship Id="rId4" Type="http://schemas.openxmlformats.org/officeDocument/2006/relationships/hyperlink" Target="#'4'!A1"/></Relationships>
</file>

<file path=xl/drawings/_rels/drawing2.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3.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4.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5.xml.rels><?xml version="1.0" encoding="UTF-8" standalone="yes"?>
<Relationships xmlns="http://schemas.openxmlformats.org/package/2006/relationships"><Relationship Id="rId2" Type="http://schemas.openxmlformats.org/officeDocument/2006/relationships/hyperlink" Target="mailto:dmreyes@ean.edu.co" TargetMode="External"/><Relationship Id="rId1" Type="http://schemas.openxmlformats.org/officeDocument/2006/relationships/hyperlink" Target="#Men&#250;!A1"/></Relationships>
</file>

<file path=xl/drawings/_rels/drawing6.xml.rels><?xml version="1.0" encoding="UTF-8" standalone="yes"?>
<Relationships xmlns="http://schemas.openxmlformats.org/package/2006/relationships"><Relationship Id="rId3" Type="http://schemas.openxmlformats.org/officeDocument/2006/relationships/hyperlink" Target="mailto:dmreyes@ean.edu.co" TargetMode="External"/><Relationship Id="rId2" Type="http://schemas.openxmlformats.org/officeDocument/2006/relationships/hyperlink" Target="#Men&#250;!A1"/><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200025</xdr:colOff>
      <xdr:row>2</xdr:row>
      <xdr:rowOff>19050</xdr:rowOff>
    </xdr:from>
    <xdr:to>
      <xdr:col>5</xdr:col>
      <xdr:colOff>190500</xdr:colOff>
      <xdr:row>22</xdr:row>
      <xdr:rowOff>95250</xdr:rowOff>
    </xdr:to>
    <xdr:sp macro="" textlink="">
      <xdr:nvSpPr>
        <xdr:cNvPr id="2" name="1 CuadroTexto">
          <a:extLst>
            <a:ext uri="{FF2B5EF4-FFF2-40B4-BE49-F238E27FC236}">
              <a16:creationId xmlns:a16="http://schemas.microsoft.com/office/drawing/2014/main" id="{00000000-0008-0000-0000-000002000000}"/>
            </a:ext>
          </a:extLst>
        </xdr:cNvPr>
        <xdr:cNvSpPr txBox="1"/>
      </xdr:nvSpPr>
      <xdr:spPr>
        <a:xfrm>
          <a:off x="962025" y="400050"/>
          <a:ext cx="3038475" cy="38862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r>
            <a:rPr lang="es-CO" sz="1200">
              <a:latin typeface="Aharoni" pitchFamily="2" charset="-79"/>
              <a:cs typeface="Aharoni" pitchFamily="2" charset="-79"/>
            </a:rPr>
            <a:t>BIENVENIDO A LA SIMULACIÓN</a:t>
          </a:r>
          <a:r>
            <a:rPr lang="es-CO" sz="1200" baseline="0">
              <a:latin typeface="Aharoni" pitchFamily="2" charset="-79"/>
              <a:cs typeface="Aharoni" pitchFamily="2" charset="-79"/>
            </a:rPr>
            <a:t> FINANCIERA BÁSICA DE TU MODELO DE NEGOCIO.</a:t>
          </a:r>
        </a:p>
        <a:p>
          <a:pPr algn="just"/>
          <a:endParaRPr lang="es-CO" sz="1200" baseline="0">
            <a:latin typeface="Aharoni" pitchFamily="2" charset="-79"/>
            <a:cs typeface="Aharoni" pitchFamily="2" charset="-79"/>
          </a:endParaRPr>
        </a:p>
        <a:p>
          <a:pPr algn="just"/>
          <a:r>
            <a:rPr lang="es-CO" sz="1200" baseline="0">
              <a:latin typeface="Aharoni" pitchFamily="2" charset="-79"/>
              <a:cs typeface="Aharoni" pitchFamily="2" charset="-79"/>
            </a:rPr>
            <a:t>ANTES DE DIGITAR LA INFORMACIÓN EN ESTE SIMULADOR, TEN EN CUENTA QUE:</a:t>
          </a:r>
        </a:p>
        <a:p>
          <a:pPr algn="just"/>
          <a:endParaRPr lang="es-CO" sz="1200" baseline="0">
            <a:latin typeface="Aharoni" pitchFamily="2" charset="-79"/>
            <a:cs typeface="Aharoni" pitchFamily="2" charset="-79"/>
          </a:endParaRPr>
        </a:p>
        <a:p>
          <a:pPr algn="just"/>
          <a:r>
            <a:rPr lang="es-CO" sz="1800" baseline="0">
              <a:latin typeface="Aharoni" pitchFamily="2" charset="-79"/>
              <a:cs typeface="Aharoni" pitchFamily="2" charset="-79"/>
            </a:rPr>
            <a:t>1. </a:t>
          </a:r>
          <a:r>
            <a:rPr lang="es-CO" sz="1100" baseline="0">
              <a:latin typeface="Aharoni" pitchFamily="2" charset="-79"/>
              <a:cs typeface="Aharoni" pitchFamily="2" charset="-79"/>
            </a:rPr>
            <a:t>SOLO SE PODRÁN MODIFICAR LAS CELDAS RESALTAS CON COLOR AZUL</a:t>
          </a:r>
          <a:r>
            <a:rPr lang="es-CO" sz="1200" baseline="0">
              <a:latin typeface="Aharoni" pitchFamily="2" charset="-79"/>
              <a:cs typeface="Aharoni" pitchFamily="2" charset="-79"/>
            </a:rPr>
            <a:t>.</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2. </a:t>
          </a:r>
          <a:r>
            <a:rPr lang="es-CO" sz="1100" baseline="0">
              <a:latin typeface="Aharoni" pitchFamily="2" charset="-79"/>
              <a:cs typeface="Aharoni" pitchFamily="2" charset="-79"/>
            </a:rPr>
            <a:t>REVISA LOS COMENTARIOS DE LAS CELDAS, TE DARÁN CLAVES PARA EL CORRECTO DILIGENCIAMIENTO DE LA INFORMACIÓN.</a:t>
          </a:r>
        </a:p>
        <a:p>
          <a:pPr algn="just"/>
          <a:endParaRPr lang="es-CO" sz="1200" baseline="0">
            <a:latin typeface="Aharoni" pitchFamily="2" charset="-79"/>
            <a:cs typeface="Aharoni" pitchFamily="2" charset="-79"/>
          </a:endParaRPr>
        </a:p>
        <a:p>
          <a:pPr algn="just"/>
          <a:r>
            <a:rPr lang="es-CO" sz="1600" baseline="0">
              <a:latin typeface="Aharoni" pitchFamily="2" charset="-79"/>
              <a:cs typeface="Aharoni" pitchFamily="2" charset="-79"/>
            </a:rPr>
            <a:t>3. </a:t>
          </a:r>
          <a:r>
            <a:rPr lang="es-CO" sz="1100" baseline="0">
              <a:latin typeface="Aharoni" pitchFamily="2" charset="-79"/>
              <a:cs typeface="Aharoni" pitchFamily="2" charset="-79"/>
            </a:rPr>
            <a:t>LOS ESTADOS FINANCIEROS SE ELABORAN DE FORMA AUTÓMATICA Y NO REQUIEREN NINGUNA INTERVENCIÓN DEL EMPRENDEDOR.</a:t>
          </a:r>
        </a:p>
        <a:p>
          <a:pPr algn="just"/>
          <a:endParaRPr lang="es-CO" sz="1200" baseline="0">
            <a:latin typeface="Aharoni" pitchFamily="2" charset="-79"/>
            <a:cs typeface="Aharoni" pitchFamily="2" charset="-79"/>
          </a:endParaRPr>
        </a:p>
        <a:p>
          <a:endParaRPr lang="es-CO" sz="1100" baseline="0"/>
        </a:p>
        <a:p>
          <a:endParaRPr lang="es-CO" sz="1100"/>
        </a:p>
      </xdr:txBody>
    </xdr:sp>
    <xdr:clientData/>
  </xdr:twoCellAnchor>
  <xdr:oneCellAnchor>
    <xdr:from>
      <xdr:col>9</xdr:col>
      <xdr:colOff>257175</xdr:colOff>
      <xdr:row>19</xdr:row>
      <xdr:rowOff>66675</xdr:rowOff>
    </xdr:from>
    <xdr:ext cx="184731" cy="264560"/>
    <xdr:sp macro="" textlink="">
      <xdr:nvSpPr>
        <xdr:cNvPr id="3" name="2 CuadroTexto">
          <a:extLst>
            <a:ext uri="{FF2B5EF4-FFF2-40B4-BE49-F238E27FC236}">
              <a16:creationId xmlns:a16="http://schemas.microsoft.com/office/drawing/2014/main" id="{00000000-0008-0000-0000-000003000000}"/>
            </a:ext>
          </a:extLst>
        </xdr:cNvPr>
        <xdr:cNvSpPr txBox="1"/>
      </xdr:nvSpPr>
      <xdr:spPr>
        <a:xfrm>
          <a:off x="6353175" y="34956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CO" sz="1100"/>
        </a:p>
      </xdr:txBody>
    </xdr:sp>
    <xdr:clientData/>
  </xdr:oneCellAnchor>
  <xdr:twoCellAnchor>
    <xdr:from>
      <xdr:col>5</xdr:col>
      <xdr:colOff>238124</xdr:colOff>
      <xdr:row>2</xdr:row>
      <xdr:rowOff>171450</xdr:rowOff>
    </xdr:from>
    <xdr:to>
      <xdr:col>8</xdr:col>
      <xdr:colOff>514349</xdr:colOff>
      <xdr:row>5</xdr:row>
      <xdr:rowOff>152400</xdr:rowOff>
    </xdr:to>
    <xdr:sp macro="" textlink="">
      <xdr:nvSpPr>
        <xdr:cNvPr id="4" name="3 CuadroTexto">
          <a:hlinkClick xmlns:r="http://schemas.openxmlformats.org/officeDocument/2006/relationships" r:id="rId1"/>
          <a:extLst>
            <a:ext uri="{FF2B5EF4-FFF2-40B4-BE49-F238E27FC236}">
              <a16:creationId xmlns:a16="http://schemas.microsoft.com/office/drawing/2014/main" id="{00000000-0008-0000-0000-000004000000}"/>
            </a:ext>
          </a:extLst>
        </xdr:cNvPr>
        <xdr:cNvSpPr txBox="1"/>
      </xdr:nvSpPr>
      <xdr:spPr>
        <a:xfrm>
          <a:off x="3286124" y="361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PROYECCIÓN</a:t>
          </a:r>
          <a:r>
            <a:rPr lang="es-CO" sz="1400" b="1" baseline="0">
              <a:latin typeface="Arial" pitchFamily="34" charset="0"/>
              <a:cs typeface="Arial" pitchFamily="34" charset="0"/>
            </a:rPr>
            <a:t> DE VENTAS Y PREMISAS</a:t>
          </a:r>
          <a:endParaRPr lang="es-CO" sz="1400" b="1">
            <a:latin typeface="Arial" pitchFamily="34" charset="0"/>
            <a:cs typeface="Arial" pitchFamily="34" charset="0"/>
          </a:endParaRPr>
        </a:p>
      </xdr:txBody>
    </xdr:sp>
    <xdr:clientData/>
  </xdr:twoCellAnchor>
  <xdr:twoCellAnchor>
    <xdr:from>
      <xdr:col>5</xdr:col>
      <xdr:colOff>228600</xdr:colOff>
      <xdr:row>6</xdr:row>
      <xdr:rowOff>171450</xdr:rowOff>
    </xdr:from>
    <xdr:to>
      <xdr:col>8</xdr:col>
      <xdr:colOff>504825</xdr:colOff>
      <xdr:row>9</xdr:row>
      <xdr:rowOff>152400</xdr:rowOff>
    </xdr:to>
    <xdr:sp macro="" textlink="">
      <xdr:nvSpPr>
        <xdr:cNvPr id="5" name="4 CuadroTexto">
          <a:hlinkClick xmlns:r="http://schemas.openxmlformats.org/officeDocument/2006/relationships" r:id="rId2"/>
          <a:extLst>
            <a:ext uri="{FF2B5EF4-FFF2-40B4-BE49-F238E27FC236}">
              <a16:creationId xmlns:a16="http://schemas.microsoft.com/office/drawing/2014/main" id="{00000000-0008-0000-0000-000005000000}"/>
            </a:ext>
          </a:extLst>
        </xdr:cNvPr>
        <xdr:cNvSpPr txBox="1"/>
      </xdr:nvSpPr>
      <xdr:spPr>
        <a:xfrm>
          <a:off x="3276600" y="11239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INFRAESTRUCTURA</a:t>
          </a:r>
          <a:r>
            <a:rPr lang="es-CO" sz="1400" b="1" baseline="0">
              <a:latin typeface="Arial" pitchFamily="34" charset="0"/>
              <a:cs typeface="Arial" pitchFamily="34" charset="0"/>
            </a:rPr>
            <a:t>  Y GASTOS</a:t>
          </a:r>
          <a:endParaRPr lang="es-CO" sz="1400" b="1">
            <a:latin typeface="Arial" pitchFamily="34" charset="0"/>
            <a:cs typeface="Arial" pitchFamily="34" charset="0"/>
          </a:endParaRPr>
        </a:p>
      </xdr:txBody>
    </xdr:sp>
    <xdr:clientData/>
  </xdr:twoCellAnchor>
  <xdr:twoCellAnchor>
    <xdr:from>
      <xdr:col>5</xdr:col>
      <xdr:colOff>209550</xdr:colOff>
      <xdr:row>10</xdr:row>
      <xdr:rowOff>123825</xdr:rowOff>
    </xdr:from>
    <xdr:to>
      <xdr:col>8</xdr:col>
      <xdr:colOff>485775</xdr:colOff>
      <xdr:row>13</xdr:row>
      <xdr:rowOff>104775</xdr:rowOff>
    </xdr:to>
    <xdr:sp macro="" textlink="">
      <xdr:nvSpPr>
        <xdr:cNvPr id="6" name="5 CuadroTexto">
          <a:hlinkClick xmlns:r="http://schemas.openxmlformats.org/officeDocument/2006/relationships" r:id="rId3"/>
          <a:extLst>
            <a:ext uri="{FF2B5EF4-FFF2-40B4-BE49-F238E27FC236}">
              <a16:creationId xmlns:a16="http://schemas.microsoft.com/office/drawing/2014/main" id="{00000000-0008-0000-0000-000006000000}"/>
            </a:ext>
          </a:extLst>
        </xdr:cNvPr>
        <xdr:cNvSpPr txBox="1"/>
      </xdr:nvSpPr>
      <xdr:spPr>
        <a:xfrm>
          <a:off x="3257550" y="1838325"/>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INVERSIÓN</a:t>
          </a:r>
          <a:r>
            <a:rPr lang="es-CO" sz="1400" b="1" baseline="0">
              <a:latin typeface="Arial" pitchFamily="34" charset="0"/>
              <a:cs typeface="Arial" pitchFamily="34" charset="0"/>
            </a:rPr>
            <a:t> TOTAL Y FINANCIACIÓN</a:t>
          </a:r>
          <a:endParaRPr lang="es-CO" sz="1400" b="1">
            <a:latin typeface="Arial" pitchFamily="34" charset="0"/>
            <a:cs typeface="Arial" pitchFamily="34" charset="0"/>
          </a:endParaRPr>
        </a:p>
      </xdr:txBody>
    </xdr:sp>
    <xdr:clientData/>
  </xdr:twoCellAnchor>
  <xdr:twoCellAnchor>
    <xdr:from>
      <xdr:col>5</xdr:col>
      <xdr:colOff>200025</xdr:colOff>
      <xdr:row>14</xdr:row>
      <xdr:rowOff>38100</xdr:rowOff>
    </xdr:from>
    <xdr:to>
      <xdr:col>8</xdr:col>
      <xdr:colOff>476250</xdr:colOff>
      <xdr:row>17</xdr:row>
      <xdr:rowOff>19050</xdr:rowOff>
    </xdr:to>
    <xdr:sp macro="" textlink="">
      <xdr:nvSpPr>
        <xdr:cNvPr id="7" name="6 CuadroTexto">
          <a:hlinkClick xmlns:r="http://schemas.openxmlformats.org/officeDocument/2006/relationships" r:id="rId4"/>
          <a:extLst>
            <a:ext uri="{FF2B5EF4-FFF2-40B4-BE49-F238E27FC236}">
              <a16:creationId xmlns:a16="http://schemas.microsoft.com/office/drawing/2014/main" id="{00000000-0008-0000-0000-000007000000}"/>
            </a:ext>
          </a:extLst>
        </xdr:cNvPr>
        <xdr:cNvSpPr txBox="1"/>
      </xdr:nvSpPr>
      <xdr:spPr>
        <a:xfrm>
          <a:off x="3248025" y="251460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ESTADOS</a:t>
          </a:r>
          <a:r>
            <a:rPr lang="es-CO" sz="1400" b="1" baseline="0">
              <a:latin typeface="Arial" pitchFamily="34" charset="0"/>
              <a:cs typeface="Arial" pitchFamily="34" charset="0"/>
            </a:rPr>
            <a:t> FINANCIEROS</a:t>
          </a:r>
          <a:endParaRPr lang="es-CO" sz="1400" b="1">
            <a:latin typeface="Arial" pitchFamily="34" charset="0"/>
            <a:cs typeface="Arial" pitchFamily="34" charset="0"/>
          </a:endParaRPr>
        </a:p>
      </xdr:txBody>
    </xdr:sp>
    <xdr:clientData/>
  </xdr:twoCellAnchor>
  <xdr:twoCellAnchor>
    <xdr:from>
      <xdr:col>5</xdr:col>
      <xdr:colOff>180975</xdr:colOff>
      <xdr:row>18</xdr:row>
      <xdr:rowOff>19050</xdr:rowOff>
    </xdr:from>
    <xdr:to>
      <xdr:col>8</xdr:col>
      <xdr:colOff>457200</xdr:colOff>
      <xdr:row>21</xdr:row>
      <xdr:rowOff>0</xdr:rowOff>
    </xdr:to>
    <xdr:sp macro="" textlink="">
      <xdr:nvSpPr>
        <xdr:cNvPr id="8" name="7 CuadroTexto">
          <a:hlinkClick xmlns:r="http://schemas.openxmlformats.org/officeDocument/2006/relationships" r:id="rId5"/>
          <a:extLst>
            <a:ext uri="{FF2B5EF4-FFF2-40B4-BE49-F238E27FC236}">
              <a16:creationId xmlns:a16="http://schemas.microsoft.com/office/drawing/2014/main" id="{00000000-0008-0000-0000-000008000000}"/>
            </a:ext>
          </a:extLst>
        </xdr:cNvPr>
        <xdr:cNvSpPr txBox="1"/>
      </xdr:nvSpPr>
      <xdr:spPr>
        <a:xfrm>
          <a:off x="3228975" y="3257550"/>
          <a:ext cx="2562225" cy="5524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RESULTADOS DE LA SIMULACIÓN </a:t>
          </a:r>
        </a:p>
      </xdr:txBody>
    </xdr:sp>
    <xdr:clientData/>
  </xdr:twoCellAnchor>
  <xdr:twoCellAnchor editAs="oneCell">
    <xdr:from>
      <xdr:col>8</xdr:col>
      <xdr:colOff>666750</xdr:colOff>
      <xdr:row>1</xdr:row>
      <xdr:rowOff>47625</xdr:rowOff>
    </xdr:from>
    <xdr:to>
      <xdr:col>9</xdr:col>
      <xdr:colOff>742950</xdr:colOff>
      <xdr:row>5</xdr:row>
      <xdr:rowOff>123825</xdr:rowOff>
    </xdr:to>
    <xdr:pic>
      <xdr:nvPicPr>
        <xdr:cNvPr id="10" name="9 Imagen">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000750" y="47625"/>
          <a:ext cx="838200" cy="838200"/>
        </a:xfrm>
        <a:prstGeom prst="rect">
          <a:avLst/>
        </a:prstGeom>
      </xdr:spPr>
    </xdr:pic>
    <xdr:clientData/>
  </xdr:twoCellAnchor>
  <xdr:twoCellAnchor editAs="oneCell">
    <xdr:from>
      <xdr:col>8</xdr:col>
      <xdr:colOff>476250</xdr:colOff>
      <xdr:row>18</xdr:row>
      <xdr:rowOff>171450</xdr:rowOff>
    </xdr:from>
    <xdr:to>
      <xdr:col>9</xdr:col>
      <xdr:colOff>733425</xdr:colOff>
      <xdr:row>23</xdr:row>
      <xdr:rowOff>95250</xdr:rowOff>
    </xdr:to>
    <xdr:pic>
      <xdr:nvPicPr>
        <xdr:cNvPr id="11" name="10 Imagen">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7">
          <a:extLst>
            <a:ext uri="{28A0092B-C50C-407E-A947-70E740481C1C}">
              <a14:useLocalDpi xmlns:a14="http://schemas.microsoft.com/office/drawing/2010/main" val="0"/>
            </a:ext>
          </a:extLst>
        </a:blip>
        <a:srcRect/>
        <a:stretch>
          <a:fillRect/>
        </a:stretch>
      </xdr:blipFill>
      <xdr:spPr bwMode="auto">
        <a:xfrm>
          <a:off x="5810250" y="3409950"/>
          <a:ext cx="1019175" cy="942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28575</xdr:colOff>
      <xdr:row>20</xdr:row>
      <xdr:rowOff>38100</xdr:rowOff>
    </xdr:from>
    <xdr:to>
      <xdr:col>5</xdr:col>
      <xdr:colOff>19050</xdr:colOff>
      <xdr:row>23</xdr:row>
      <xdr:rowOff>174625</xdr:rowOff>
    </xdr:to>
    <xdr:sp macro="" textlink="">
      <xdr:nvSpPr>
        <xdr:cNvPr id="13" name="12 CuadroTexto">
          <a:hlinkClick xmlns:r="http://schemas.openxmlformats.org/officeDocument/2006/relationships" r:id="rId8"/>
          <a:extLst>
            <a:ext uri="{FF2B5EF4-FFF2-40B4-BE49-F238E27FC236}">
              <a16:creationId xmlns:a16="http://schemas.microsoft.com/office/drawing/2014/main" id="{00000000-0008-0000-0000-00000D000000}"/>
            </a:ext>
          </a:extLst>
        </xdr:cNvPr>
        <xdr:cNvSpPr txBox="1"/>
      </xdr:nvSpPr>
      <xdr:spPr>
        <a:xfrm>
          <a:off x="790575" y="384810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47625</xdr:colOff>
      <xdr:row>13</xdr:row>
      <xdr:rowOff>142866</xdr:rowOff>
    </xdr:from>
    <xdr:to>
      <xdr:col>9</xdr:col>
      <xdr:colOff>180975</xdr:colOff>
      <xdr:row>35</xdr:row>
      <xdr:rowOff>57149</xdr:rowOff>
    </xdr:to>
    <xdr:sp macro="" textlink="">
      <xdr:nvSpPr>
        <xdr:cNvPr id="6" name="5 Flecha doblada">
          <a:extLst>
            <a:ext uri="{FF2B5EF4-FFF2-40B4-BE49-F238E27FC236}">
              <a16:creationId xmlns:a16="http://schemas.microsoft.com/office/drawing/2014/main" id="{00000000-0008-0000-0100-000006000000}"/>
            </a:ext>
          </a:extLst>
        </xdr:cNvPr>
        <xdr:cNvSpPr/>
      </xdr:nvSpPr>
      <xdr:spPr>
        <a:xfrm rot="10800000">
          <a:off x="8296275" y="3495666"/>
          <a:ext cx="1066800" cy="4476758"/>
        </a:xfrm>
        <a:prstGeom prst="ben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solidFill>
              <a:schemeClr val="tx1"/>
            </a:solidFill>
          </a:endParaRPr>
        </a:p>
      </xdr:txBody>
    </xdr:sp>
    <xdr:clientData/>
  </xdr:twoCellAnchor>
  <xdr:twoCellAnchor>
    <xdr:from>
      <xdr:col>8</xdr:col>
      <xdr:colOff>400050</xdr:colOff>
      <xdr:row>13</xdr:row>
      <xdr:rowOff>152399</xdr:rowOff>
    </xdr:from>
    <xdr:to>
      <xdr:col>9</xdr:col>
      <xdr:colOff>171450</xdr:colOff>
      <xdr:row>32</xdr:row>
      <xdr:rowOff>161925</xdr:rowOff>
    </xdr:to>
    <xdr:sp macro="" textlink="">
      <xdr:nvSpPr>
        <xdr:cNvPr id="7" name="6 CuadroTexto">
          <a:extLst>
            <a:ext uri="{FF2B5EF4-FFF2-40B4-BE49-F238E27FC236}">
              <a16:creationId xmlns:a16="http://schemas.microsoft.com/office/drawing/2014/main" id="{00000000-0008-0000-0100-000007000000}"/>
            </a:ext>
          </a:extLst>
        </xdr:cNvPr>
        <xdr:cNvSpPr txBox="1"/>
      </xdr:nvSpPr>
      <xdr:spPr>
        <a:xfrm>
          <a:off x="9115425" y="3505199"/>
          <a:ext cx="238125" cy="398145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CO" sz="900">
              <a:latin typeface="Arial Black" pitchFamily="34" charset="0"/>
              <a:cs typeface="Aharoni" pitchFamily="2" charset="-79"/>
            </a:rPr>
            <a:t>REVISA</a:t>
          </a:r>
          <a:r>
            <a:rPr lang="es-CO" sz="900" baseline="0">
              <a:latin typeface="Arial Black" pitchFamily="34" charset="0"/>
              <a:cs typeface="Aharoni" pitchFamily="2" charset="-79"/>
            </a:rPr>
            <a:t> LAS PROYECCIONES</a:t>
          </a:r>
          <a:endParaRPr lang="es-CO" sz="900">
            <a:latin typeface="Arial Black" pitchFamily="34" charset="0"/>
            <a:cs typeface="Aharoni" pitchFamily="2" charset="-79"/>
          </a:endParaRPr>
        </a:p>
      </xdr:txBody>
    </xdr:sp>
    <xdr:clientData/>
  </xdr:twoCellAnchor>
  <xdr:twoCellAnchor>
    <xdr:from>
      <xdr:col>10</xdr:col>
      <xdr:colOff>257175</xdr:colOff>
      <xdr:row>9</xdr:row>
      <xdr:rowOff>76200</xdr:rowOff>
    </xdr:from>
    <xdr:to>
      <xdr:col>27</xdr:col>
      <xdr:colOff>447675</xdr:colOff>
      <xdr:row>11</xdr:row>
      <xdr:rowOff>104775</xdr:rowOff>
    </xdr:to>
    <xdr:sp macro="" textlink="">
      <xdr:nvSpPr>
        <xdr:cNvPr id="5" name="4 CuadroTexto">
          <a:hlinkClick xmlns:r="http://schemas.openxmlformats.org/officeDocument/2006/relationships" r:id="rId1"/>
          <a:extLst>
            <a:ext uri="{FF2B5EF4-FFF2-40B4-BE49-F238E27FC236}">
              <a16:creationId xmlns:a16="http://schemas.microsoft.com/office/drawing/2014/main" id="{00000000-0008-0000-0100-000005000000}"/>
            </a:ext>
          </a:extLst>
        </xdr:cNvPr>
        <xdr:cNvSpPr txBox="1"/>
      </xdr:nvSpPr>
      <xdr:spPr>
        <a:xfrm>
          <a:off x="9505950" y="2667000"/>
          <a:ext cx="223837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304800</xdr:colOff>
      <xdr:row>12</xdr:row>
      <xdr:rowOff>142875</xdr:rowOff>
    </xdr:from>
    <xdr:to>
      <xdr:col>7</xdr:col>
      <xdr:colOff>295275</xdr:colOff>
      <xdr:row>18</xdr:row>
      <xdr:rowOff>152400</xdr:rowOff>
    </xdr:to>
    <xdr:sp macro="" textlink="">
      <xdr:nvSpPr>
        <xdr:cNvPr id="2" name="1 Flecha abajo">
          <a:extLst>
            <a:ext uri="{FF2B5EF4-FFF2-40B4-BE49-F238E27FC236}">
              <a16:creationId xmlns:a16="http://schemas.microsoft.com/office/drawing/2014/main" id="{00000000-0008-0000-0100-000002000000}"/>
            </a:ext>
          </a:extLst>
        </xdr:cNvPr>
        <xdr:cNvSpPr/>
      </xdr:nvSpPr>
      <xdr:spPr>
        <a:xfrm>
          <a:off x="7686675" y="3305175"/>
          <a:ext cx="457200" cy="136207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11</xdr:col>
      <xdr:colOff>0</xdr:colOff>
      <xdr:row>37</xdr:row>
      <xdr:rowOff>0</xdr:rowOff>
    </xdr:from>
    <xdr:to>
      <xdr:col>29</xdr:col>
      <xdr:colOff>255058</xdr:colOff>
      <xdr:row>40</xdr:row>
      <xdr:rowOff>136525</xdr:rowOff>
    </xdr:to>
    <xdr:sp macro="" textlink="">
      <xdr:nvSpPr>
        <xdr:cNvPr id="9" name="12 CuadroTexto">
          <a:hlinkClick xmlns:r="http://schemas.openxmlformats.org/officeDocument/2006/relationships" r:id="rId2"/>
          <a:extLst>
            <a:ext uri="{FF2B5EF4-FFF2-40B4-BE49-F238E27FC236}">
              <a16:creationId xmlns:a16="http://schemas.microsoft.com/office/drawing/2014/main" id="{00000000-0008-0000-0100-000009000000}"/>
            </a:ext>
          </a:extLst>
        </xdr:cNvPr>
        <xdr:cNvSpPr txBox="1"/>
      </xdr:nvSpPr>
      <xdr:spPr>
        <a:xfrm>
          <a:off x="9937750" y="831850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5</xdr:row>
      <xdr:rowOff>0</xdr:rowOff>
    </xdr:from>
    <xdr:to>
      <xdr:col>5</xdr:col>
      <xdr:colOff>1009650</xdr:colOff>
      <xdr:row>7</xdr:row>
      <xdr:rowOff>28575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200-000002000000}"/>
            </a:ext>
          </a:extLst>
        </xdr:cNvPr>
        <xdr:cNvSpPr txBox="1"/>
      </xdr:nvSpPr>
      <xdr:spPr>
        <a:xfrm>
          <a:off x="4438650" y="809625"/>
          <a:ext cx="2562225" cy="4095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685800</xdr:colOff>
      <xdr:row>19</xdr:row>
      <xdr:rowOff>171450</xdr:rowOff>
    </xdr:from>
    <xdr:to>
      <xdr:col>12</xdr:col>
      <xdr:colOff>676275</xdr:colOff>
      <xdr:row>23</xdr:row>
      <xdr:rowOff>107950</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200-000004000000}"/>
            </a:ext>
          </a:extLst>
        </xdr:cNvPr>
        <xdr:cNvSpPr txBox="1"/>
      </xdr:nvSpPr>
      <xdr:spPr>
        <a:xfrm>
          <a:off x="9658350" y="3676650"/>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781050</xdr:colOff>
      <xdr:row>13</xdr:row>
      <xdr:rowOff>152400</xdr:rowOff>
    </xdr:from>
    <xdr:to>
      <xdr:col>8</xdr:col>
      <xdr:colOff>504825</xdr:colOff>
      <xdr:row>15</xdr:row>
      <xdr:rowOff>133350</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300-000002000000}"/>
            </a:ext>
          </a:extLst>
        </xdr:cNvPr>
        <xdr:cNvSpPr txBox="1"/>
      </xdr:nvSpPr>
      <xdr:spPr>
        <a:xfrm>
          <a:off x="6115050" y="2771775"/>
          <a:ext cx="2562225" cy="371475"/>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8</xdr:col>
      <xdr:colOff>638175</xdr:colOff>
      <xdr:row>17</xdr:row>
      <xdr:rowOff>19050</xdr:rowOff>
    </xdr:from>
    <xdr:to>
      <xdr:col>12</xdr:col>
      <xdr:colOff>171450</xdr:colOff>
      <xdr:row>20</xdr:row>
      <xdr:rowOff>155575</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300-000004000000}"/>
            </a:ext>
          </a:extLst>
        </xdr:cNvPr>
        <xdr:cNvSpPr txBox="1"/>
      </xdr:nvSpPr>
      <xdr:spPr>
        <a:xfrm>
          <a:off x="9572625" y="3609975"/>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76201</xdr:colOff>
      <xdr:row>0</xdr:row>
      <xdr:rowOff>66675</xdr:rowOff>
    </xdr:from>
    <xdr:to>
      <xdr:col>9</xdr:col>
      <xdr:colOff>666750</xdr:colOff>
      <xdr:row>0</xdr:row>
      <xdr:rowOff>371475</xdr:rowOff>
    </xdr:to>
    <xdr:sp macro="" textlink="">
      <xdr:nvSpPr>
        <xdr:cNvPr id="2" name="1 CuadroTexto">
          <a:hlinkClick xmlns:r="http://schemas.openxmlformats.org/officeDocument/2006/relationships" r:id="rId1"/>
          <a:extLst>
            <a:ext uri="{FF2B5EF4-FFF2-40B4-BE49-F238E27FC236}">
              <a16:creationId xmlns:a16="http://schemas.microsoft.com/office/drawing/2014/main" id="{00000000-0008-0000-0400-000002000000}"/>
            </a:ext>
          </a:extLst>
        </xdr:cNvPr>
        <xdr:cNvSpPr txBox="1"/>
      </xdr:nvSpPr>
      <xdr:spPr>
        <a:xfrm>
          <a:off x="9486901" y="66675"/>
          <a:ext cx="2114549" cy="30480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a:t>
          </a:r>
          <a:r>
            <a:rPr lang="es-CO" sz="1400" b="1" baseline="0">
              <a:latin typeface="Arial" pitchFamily="34" charset="0"/>
              <a:cs typeface="Arial" pitchFamily="34" charset="0"/>
            </a:rPr>
            <a:t> AL MENÚ</a:t>
          </a:r>
          <a:endParaRPr lang="es-CO" sz="1400" b="1">
            <a:latin typeface="Arial" pitchFamily="34" charset="0"/>
            <a:cs typeface="Arial" pitchFamily="34" charset="0"/>
          </a:endParaRPr>
        </a:p>
      </xdr:txBody>
    </xdr:sp>
    <xdr:clientData/>
  </xdr:twoCellAnchor>
  <xdr:twoCellAnchor>
    <xdr:from>
      <xdr:col>7</xdr:col>
      <xdr:colOff>190500</xdr:colOff>
      <xdr:row>51</xdr:row>
      <xdr:rowOff>158750</xdr:rowOff>
    </xdr:from>
    <xdr:to>
      <xdr:col>11</xdr:col>
      <xdr:colOff>180975</xdr:colOff>
      <xdr:row>55</xdr:row>
      <xdr:rowOff>83609</xdr:rowOff>
    </xdr:to>
    <xdr:sp macro="" textlink="">
      <xdr:nvSpPr>
        <xdr:cNvPr id="4" name="12 CuadroTexto">
          <a:hlinkClick xmlns:r="http://schemas.openxmlformats.org/officeDocument/2006/relationships" r:id="rId2"/>
          <a:extLst>
            <a:ext uri="{FF2B5EF4-FFF2-40B4-BE49-F238E27FC236}">
              <a16:creationId xmlns:a16="http://schemas.microsoft.com/office/drawing/2014/main" id="{00000000-0008-0000-0400-000004000000}"/>
            </a:ext>
          </a:extLst>
        </xdr:cNvPr>
        <xdr:cNvSpPr txBox="1"/>
      </xdr:nvSpPr>
      <xdr:spPr>
        <a:xfrm>
          <a:off x="9842500" y="10689167"/>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6</xdr:col>
      <xdr:colOff>857248</xdr:colOff>
      <xdr:row>12</xdr:row>
      <xdr:rowOff>128589</xdr:rowOff>
    </xdr:from>
    <xdr:to>
      <xdr:col>12</xdr:col>
      <xdr:colOff>190498</xdr:colOff>
      <xdr:row>25</xdr:row>
      <xdr:rowOff>28576</xdr:rowOff>
    </xdr:to>
    <xdr:graphicFrame macro="">
      <xdr:nvGraphicFramePr>
        <xdr:cNvPr id="2" name="1 Gráfico">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561976</xdr:colOff>
      <xdr:row>1</xdr:row>
      <xdr:rowOff>200025</xdr:rowOff>
    </xdr:from>
    <xdr:to>
      <xdr:col>8</xdr:col>
      <xdr:colOff>676276</xdr:colOff>
      <xdr:row>2</xdr:row>
      <xdr:rowOff>76200</xdr:rowOff>
    </xdr:to>
    <xdr:sp macro="" textlink="">
      <xdr:nvSpPr>
        <xdr:cNvPr id="3" name="2 CuadroTexto">
          <a:hlinkClick xmlns:r="http://schemas.openxmlformats.org/officeDocument/2006/relationships" r:id="rId2"/>
          <a:extLst>
            <a:ext uri="{FF2B5EF4-FFF2-40B4-BE49-F238E27FC236}">
              <a16:creationId xmlns:a16="http://schemas.microsoft.com/office/drawing/2014/main" id="{00000000-0008-0000-0500-000003000000}"/>
            </a:ext>
          </a:extLst>
        </xdr:cNvPr>
        <xdr:cNvSpPr txBox="1"/>
      </xdr:nvSpPr>
      <xdr:spPr>
        <a:xfrm>
          <a:off x="8334376" y="2000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6</xdr:col>
      <xdr:colOff>866776</xdr:colOff>
      <xdr:row>25</xdr:row>
      <xdr:rowOff>161925</xdr:rowOff>
    </xdr:from>
    <xdr:to>
      <xdr:col>9</xdr:col>
      <xdr:colOff>219076</xdr:colOff>
      <xdr:row>27</xdr:row>
      <xdr:rowOff>9525</xdr:rowOff>
    </xdr:to>
    <xdr:sp macro="" textlink="">
      <xdr:nvSpPr>
        <xdr:cNvPr id="4" name="3 CuadroTexto">
          <a:hlinkClick xmlns:r="http://schemas.openxmlformats.org/officeDocument/2006/relationships" r:id="rId2"/>
          <a:extLst>
            <a:ext uri="{FF2B5EF4-FFF2-40B4-BE49-F238E27FC236}">
              <a16:creationId xmlns:a16="http://schemas.microsoft.com/office/drawing/2014/main" id="{00000000-0008-0000-0500-000004000000}"/>
            </a:ext>
          </a:extLst>
        </xdr:cNvPr>
        <xdr:cNvSpPr txBox="1"/>
      </xdr:nvSpPr>
      <xdr:spPr>
        <a:xfrm>
          <a:off x="8639176" y="5800725"/>
          <a:ext cx="2152650" cy="361950"/>
        </a:xfrm>
        <a:prstGeom prst="rect">
          <a:avLst/>
        </a:prstGeom>
        <a:ln/>
      </xdr:spPr>
      <xdr:style>
        <a:lnRef idx="0">
          <a:schemeClr val="accent3"/>
        </a:lnRef>
        <a:fillRef idx="3">
          <a:schemeClr val="accent3"/>
        </a:fillRef>
        <a:effectRef idx="3">
          <a:schemeClr val="accent3"/>
        </a:effectRef>
        <a:fontRef idx="minor">
          <a:schemeClr val="lt1"/>
        </a:fontRef>
      </xdr:style>
      <xdr:txBody>
        <a:bodyPr vertOverflow="clip" horzOverflow="clip" wrap="square" rtlCol="0" anchor="ctr"/>
        <a:lstStyle/>
        <a:p>
          <a:pPr algn="ctr"/>
          <a:r>
            <a:rPr lang="es-CO" sz="1400" b="1">
              <a:latin typeface="Arial" pitchFamily="34" charset="0"/>
              <a:cs typeface="Arial" pitchFamily="34" charset="0"/>
            </a:rPr>
            <a:t>VOLVER AL MENÚ</a:t>
          </a:r>
        </a:p>
      </xdr:txBody>
    </xdr:sp>
    <xdr:clientData/>
  </xdr:twoCellAnchor>
  <xdr:twoCellAnchor>
    <xdr:from>
      <xdr:col>8</xdr:col>
      <xdr:colOff>59531</xdr:colOff>
      <xdr:row>29</xdr:row>
      <xdr:rowOff>154781</xdr:rowOff>
    </xdr:from>
    <xdr:to>
      <xdr:col>12</xdr:col>
      <xdr:colOff>14288</xdr:colOff>
      <xdr:row>33</xdr:row>
      <xdr:rowOff>100806</xdr:rowOff>
    </xdr:to>
    <xdr:sp macro="" textlink="">
      <xdr:nvSpPr>
        <xdr:cNvPr id="6" name="12 CuadroTexto">
          <a:hlinkClick xmlns:r="http://schemas.openxmlformats.org/officeDocument/2006/relationships" r:id="rId3"/>
          <a:extLst>
            <a:ext uri="{FF2B5EF4-FFF2-40B4-BE49-F238E27FC236}">
              <a16:creationId xmlns:a16="http://schemas.microsoft.com/office/drawing/2014/main" id="{00000000-0008-0000-0500-000006000000}"/>
            </a:ext>
          </a:extLst>
        </xdr:cNvPr>
        <xdr:cNvSpPr txBox="1"/>
      </xdr:nvSpPr>
      <xdr:spPr>
        <a:xfrm>
          <a:off x="10751344" y="6893719"/>
          <a:ext cx="3038475" cy="7080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900"/>
            </a:lnSpc>
          </a:pPr>
          <a:r>
            <a:rPr lang="es-CO" sz="800" b="1"/>
            <a:t>Desarrollado por: Magíster Mauricio</a:t>
          </a:r>
          <a:r>
            <a:rPr lang="es-CO" sz="800" b="1" baseline="0"/>
            <a:t> Reyes Giraldo.</a:t>
          </a:r>
        </a:p>
        <a:p>
          <a:pPr>
            <a:lnSpc>
              <a:spcPts val="900"/>
            </a:lnSpc>
          </a:pPr>
          <a:r>
            <a:rPr lang="es-CO" sz="800" b="1" baseline="0"/>
            <a:t>Docente de Tiempo Completo Universidad EAN.</a:t>
          </a:r>
        </a:p>
        <a:p>
          <a:pPr>
            <a:lnSpc>
              <a:spcPts val="900"/>
            </a:lnSpc>
          </a:pPr>
          <a:r>
            <a:rPr lang="es-CO" sz="800" b="1" baseline="0"/>
            <a:t>Coordinador Núcleo de Emprendimiento Universidad  FEAV Univerisdad  -EAN.</a:t>
          </a:r>
        </a:p>
        <a:p>
          <a:pPr>
            <a:lnSpc>
              <a:spcPts val="900"/>
            </a:lnSpc>
          </a:pPr>
          <a:r>
            <a:rPr lang="es-CO" sz="800" b="1" baseline="0"/>
            <a:t>contacto: dmreyes@ean.edu.co</a:t>
          </a:r>
        </a:p>
        <a:p>
          <a:pPr>
            <a:lnSpc>
              <a:spcPts val="900"/>
            </a:lnSpc>
          </a:pPr>
          <a:r>
            <a:rPr lang="es-CO" sz="800" b="1" baseline="0"/>
            <a:t> </a:t>
          </a:r>
        </a:p>
        <a:p>
          <a:pPr>
            <a:lnSpc>
              <a:spcPts val="500"/>
            </a:lnSpc>
          </a:pPr>
          <a:endParaRPr lang="es-CO" sz="5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youtube.com/watch?v=m2meVNuuANI"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6.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G23:H23"/>
  <sheetViews>
    <sheetView showGridLines="0" showRowColHeaders="0" tabSelected="1" view="pageBreakPreview" zoomScaleNormal="100" zoomScaleSheetLayoutView="100" workbookViewId="0">
      <selection activeCell="L9" sqref="L9"/>
    </sheetView>
  </sheetViews>
  <sheetFormatPr baseColWidth="10" defaultRowHeight="15" x14ac:dyDescent="0.25"/>
  <sheetData>
    <row r="23" spans="7:8" ht="20.25" x14ac:dyDescent="0.3">
      <c r="G23" s="148" t="s">
        <v>136</v>
      </c>
      <c r="H23" s="148"/>
    </row>
  </sheetData>
  <sheetProtection algorithmName="SHA-512" hashValue="w7o8B0vDoULacAT6Rz/HbImcUGMOf7RSirm2RUdrsBQIMz1K5MNXoDhp0Uj9KZq+Cddi/1PrV9/mPlTX0Qb5oQ==" saltValue="v95PXxlUZ7BcDNRqIygo5A==" spinCount="100000" sheet="1" objects="1" scenarios="1"/>
  <mergeCells count="1">
    <mergeCell ref="G23:H23"/>
  </mergeCells>
  <hyperlinks>
    <hyperlink ref="G23" r:id="rId1" xr:uid="{00000000-0004-0000-0000-000000000000}"/>
  </hyperlinks>
  <pageMargins left="0.7" right="0.7" top="0.75" bottom="0.75" header="0.3" footer="0.3"/>
  <pageSetup paperSize="9" scale="69" orientation="portrait"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
  <dimension ref="A1:AC35"/>
  <sheetViews>
    <sheetView showGridLines="0" zoomScale="80" zoomScaleNormal="80" workbookViewId="0">
      <selection activeCell="C4" sqref="C4"/>
    </sheetView>
  </sheetViews>
  <sheetFormatPr baseColWidth="10" defaultRowHeight="15" x14ac:dyDescent="0.25"/>
  <cols>
    <col min="1" max="1" width="22.5703125" style="15" customWidth="1"/>
    <col min="2" max="2" width="49.28515625" style="15" bestFit="1" customWidth="1"/>
    <col min="3" max="3" width="30.42578125" style="15" bestFit="1" customWidth="1"/>
    <col min="4" max="4" width="26.140625" style="15" bestFit="1" customWidth="1"/>
    <col min="5" max="6" width="27.42578125" style="15" bestFit="1" customWidth="1"/>
    <col min="7" max="10" width="9.42578125" style="15" bestFit="1" customWidth="1"/>
    <col min="11" max="11" width="4.28515625" style="15" customWidth="1"/>
    <col min="12" max="15" width="11.42578125" style="15" hidden="1" customWidth="1"/>
    <col min="16" max="19" width="12" style="15" hidden="1" customWidth="1"/>
    <col min="20" max="24" width="15.5703125" style="15" hidden="1" customWidth="1"/>
    <col min="25" max="25" width="22.140625" style="15" bestFit="1" customWidth="1"/>
    <col min="26" max="27" width="9.42578125" style="15" bestFit="1" customWidth="1"/>
    <col min="28" max="28" width="11.42578125" style="15" bestFit="1" customWidth="1"/>
    <col min="29" max="29" width="9.42578125" style="15" bestFit="1" customWidth="1"/>
    <col min="30" max="16384" width="11.42578125" style="15"/>
  </cols>
  <sheetData>
    <row r="1" spans="1:29" ht="30.75" customHeight="1" x14ac:dyDescent="0.35">
      <c r="A1" s="150" t="s">
        <v>5</v>
      </c>
      <c r="B1" s="150"/>
      <c r="C1" s="150"/>
      <c r="D1" s="150"/>
      <c r="E1" s="150"/>
      <c r="G1" s="151" t="s">
        <v>12</v>
      </c>
      <c r="H1" s="151"/>
      <c r="I1" s="151"/>
      <c r="J1" s="151"/>
      <c r="P1" s="15" t="s">
        <v>16</v>
      </c>
      <c r="Y1" s="16" t="s">
        <v>9</v>
      </c>
      <c r="Z1" s="50">
        <v>2021</v>
      </c>
      <c r="AA1" s="17"/>
    </row>
    <row r="2" spans="1:29" ht="32.25" customHeight="1" thickBot="1" x14ac:dyDescent="0.4">
      <c r="B2" s="18" t="s">
        <v>4</v>
      </c>
      <c r="C2" s="19" t="s">
        <v>0</v>
      </c>
      <c r="D2" s="18" t="s">
        <v>7</v>
      </c>
      <c r="E2" s="19" t="s">
        <v>1</v>
      </c>
      <c r="F2" s="20" t="s">
        <v>27</v>
      </c>
      <c r="G2" s="21">
        <f>'1'!Z1+1</f>
        <v>2022</v>
      </c>
      <c r="H2" s="21">
        <f>G2+1</f>
        <v>2023</v>
      </c>
      <c r="I2" s="21">
        <f t="shared" ref="I2:J2" si="0">H2+1</f>
        <v>2024</v>
      </c>
      <c r="J2" s="21">
        <f t="shared" si="0"/>
        <v>2025</v>
      </c>
      <c r="L2" s="15">
        <f>G2</f>
        <v>2022</v>
      </c>
      <c r="M2" s="15">
        <f>H2</f>
        <v>2023</v>
      </c>
      <c r="N2" s="15">
        <f>M2+1</f>
        <v>2024</v>
      </c>
      <c r="O2" s="15">
        <f>N2+1</f>
        <v>2025</v>
      </c>
      <c r="P2" s="15" t="s">
        <v>13</v>
      </c>
      <c r="Q2" s="15" t="s">
        <v>11</v>
      </c>
      <c r="R2" s="15" t="s">
        <v>23</v>
      </c>
      <c r="S2" s="15" t="s">
        <v>24</v>
      </c>
      <c r="T2" s="15" t="s">
        <v>17</v>
      </c>
      <c r="U2" s="15" t="s">
        <v>18</v>
      </c>
      <c r="V2" s="15" t="s">
        <v>25</v>
      </c>
      <c r="W2" s="15" t="s">
        <v>26</v>
      </c>
      <c r="Y2" s="17"/>
      <c r="Z2" s="17"/>
      <c r="AA2" s="17"/>
    </row>
    <row r="3" spans="1:29" ht="24" thickBot="1" x14ac:dyDescent="0.4">
      <c r="A3" s="22">
        <v>1</v>
      </c>
      <c r="B3" s="13" t="s">
        <v>152</v>
      </c>
      <c r="C3" s="132">
        <v>50000</v>
      </c>
      <c r="D3" s="133">
        <v>0</v>
      </c>
      <c r="E3" s="23">
        <f>C3*D3</f>
        <v>0</v>
      </c>
      <c r="F3" s="24">
        <f>IF($E$13=0,0,E3/$E$13)</f>
        <v>0</v>
      </c>
      <c r="G3" s="131">
        <v>0.3</v>
      </c>
      <c r="H3" s="131">
        <v>0.4</v>
      </c>
      <c r="I3" s="131">
        <v>0.5</v>
      </c>
      <c r="J3" s="131">
        <v>0.6</v>
      </c>
      <c r="K3" s="25"/>
      <c r="L3" s="15">
        <f t="shared" ref="L3:L12" si="1">C3*(1+G3)</f>
        <v>65000</v>
      </c>
      <c r="M3" s="15">
        <f>L3*(1+H3)</f>
        <v>91000</v>
      </c>
      <c r="N3" s="15">
        <f t="shared" ref="N3:O3" si="2">M3*(1+I3)</f>
        <v>136500</v>
      </c>
      <c r="O3" s="15">
        <f t="shared" si="2"/>
        <v>218400</v>
      </c>
      <c r="P3" s="26">
        <f>D3*(1+'1'!$Z$4)</f>
        <v>0</v>
      </c>
      <c r="Q3" s="26">
        <f>P3*(1+'1'!$AA$4)</f>
        <v>0</v>
      </c>
      <c r="R3" s="26">
        <f>Q3*(1+'1'!$AB$4)</f>
        <v>0</v>
      </c>
      <c r="S3" s="26">
        <f>R3*(1+'1'!$AC$4)</f>
        <v>0</v>
      </c>
      <c r="T3" s="27">
        <f>L3*P3</f>
        <v>0</v>
      </c>
      <c r="U3" s="27">
        <f>M3*Q3</f>
        <v>0</v>
      </c>
      <c r="V3" s="27">
        <f>N3*R3</f>
        <v>0</v>
      </c>
      <c r="W3" s="27">
        <f>O3*S3</f>
        <v>0</v>
      </c>
      <c r="X3" s="27"/>
      <c r="Y3" s="28" t="s">
        <v>10</v>
      </c>
      <c r="Z3" s="29">
        <f>G2</f>
        <v>2022</v>
      </c>
      <c r="AA3" s="29">
        <f>Z3+1</f>
        <v>2023</v>
      </c>
      <c r="AB3" s="29">
        <f t="shared" ref="AB3:AC3" si="3">AA3+1</f>
        <v>2024</v>
      </c>
      <c r="AC3" s="30">
        <f t="shared" si="3"/>
        <v>2025</v>
      </c>
    </row>
    <row r="4" spans="1:29" ht="24" thickBot="1" x14ac:dyDescent="0.4">
      <c r="A4" s="22">
        <f>A3+1</f>
        <v>2</v>
      </c>
      <c r="B4" s="13" t="s">
        <v>153</v>
      </c>
      <c r="C4" s="132">
        <v>25000</v>
      </c>
      <c r="D4" s="133">
        <v>29900</v>
      </c>
      <c r="E4" s="23">
        <f t="shared" ref="E4:E12" si="4">C4*D4</f>
        <v>747500000</v>
      </c>
      <c r="F4" s="24">
        <f t="shared" ref="F4:F12" si="5">IF($E$13=0,0,E4/$E$13)</f>
        <v>2.943203071168422E-2</v>
      </c>
      <c r="G4" s="131">
        <v>0.3</v>
      </c>
      <c r="H4" s="131">
        <v>0.4</v>
      </c>
      <c r="I4" s="131">
        <v>0.5</v>
      </c>
      <c r="J4" s="131">
        <v>0.6</v>
      </c>
      <c r="K4" s="25"/>
      <c r="L4" s="15">
        <f t="shared" si="1"/>
        <v>32500</v>
      </c>
      <c r="M4" s="15">
        <f t="shared" ref="M4:M12" si="6">L4*(1+H4)</f>
        <v>45500</v>
      </c>
      <c r="N4" s="15">
        <f t="shared" ref="N4:N12" si="7">M4*(1+I4)</f>
        <v>68250</v>
      </c>
      <c r="O4" s="15">
        <f t="shared" ref="O4:O12" si="8">N4*(1+J4)</f>
        <v>109200</v>
      </c>
      <c r="P4" s="26">
        <f>D4*(1+'1'!$Z$4)</f>
        <v>30707.299999999996</v>
      </c>
      <c r="Q4" s="26">
        <f>P4*(1+'1'!$AA$4)</f>
        <v>31474.982499999995</v>
      </c>
      <c r="R4" s="26">
        <f>Q4*(1+'1'!$AB$4)</f>
        <v>32230.382079999996</v>
      </c>
      <c r="S4" s="26">
        <f>R4*(1+'1'!$AC$4)</f>
        <v>32939.450485759997</v>
      </c>
      <c r="T4" s="27">
        <f t="shared" ref="T4:T12" si="9">L4*P4</f>
        <v>997987249.99999988</v>
      </c>
      <c r="U4" s="27">
        <f t="shared" ref="U4:U12" si="10">M4*Q4</f>
        <v>1432111703.7499998</v>
      </c>
      <c r="V4" s="27">
        <f t="shared" ref="V4:V12" si="11">N4*R4</f>
        <v>2199723576.9599996</v>
      </c>
      <c r="W4" s="27">
        <f t="shared" ref="W4:W12" si="12">O4*S4</f>
        <v>3596987993.0449915</v>
      </c>
      <c r="X4" s="27"/>
      <c r="Y4" s="122" t="s">
        <v>14</v>
      </c>
      <c r="Z4" s="51">
        <v>2.7E-2</v>
      </c>
      <c r="AA4" s="51">
        <v>2.5000000000000001E-2</v>
      </c>
      <c r="AB4" s="51">
        <v>2.4E-2</v>
      </c>
      <c r="AC4" s="51">
        <v>2.1999999999999999E-2</v>
      </c>
    </row>
    <row r="5" spans="1:29" ht="24" thickBot="1" x14ac:dyDescent="0.4">
      <c r="A5" s="22">
        <f t="shared" ref="A5:A12" si="13">A4+1</f>
        <v>3</v>
      </c>
      <c r="B5" s="13" t="s">
        <v>154</v>
      </c>
      <c r="C5" s="132">
        <v>15000</v>
      </c>
      <c r="D5" s="133">
        <v>310000</v>
      </c>
      <c r="E5" s="23">
        <f>C5*D5</f>
        <v>4650000000</v>
      </c>
      <c r="F5" s="24">
        <f t="shared" si="5"/>
        <v>0.18308888670144699</v>
      </c>
      <c r="G5" s="131">
        <v>0.3</v>
      </c>
      <c r="H5" s="131">
        <v>0.4</v>
      </c>
      <c r="I5" s="131">
        <v>0.5</v>
      </c>
      <c r="J5" s="131">
        <v>0.6</v>
      </c>
      <c r="K5" s="25"/>
      <c r="L5" s="15">
        <f>C5*(1+G5)</f>
        <v>19500</v>
      </c>
      <c r="M5" s="15">
        <f t="shared" si="6"/>
        <v>27300</v>
      </c>
      <c r="N5" s="15">
        <f t="shared" si="7"/>
        <v>40950</v>
      </c>
      <c r="O5" s="15">
        <f t="shared" si="8"/>
        <v>65520</v>
      </c>
      <c r="P5" s="26">
        <f>D5*(1+'1'!$Z$4)</f>
        <v>318370</v>
      </c>
      <c r="Q5" s="26">
        <f>P5*(1+'1'!$AA$4)</f>
        <v>326329.25</v>
      </c>
      <c r="R5" s="26">
        <f>Q5*(1+'1'!$AB$4)</f>
        <v>334161.152</v>
      </c>
      <c r="S5" s="26">
        <f>R5*(1+'1'!$AC$4)</f>
        <v>341512.69734399999</v>
      </c>
      <c r="T5" s="27">
        <f t="shared" si="9"/>
        <v>6208215000</v>
      </c>
      <c r="U5" s="27">
        <f t="shared" si="10"/>
        <v>8908788525</v>
      </c>
      <c r="V5" s="27">
        <f t="shared" si="11"/>
        <v>13683899174.4</v>
      </c>
      <c r="W5" s="27">
        <f t="shared" si="12"/>
        <v>22375911929.978878</v>
      </c>
      <c r="X5" s="27"/>
      <c r="Y5" s="123" t="s">
        <v>15</v>
      </c>
      <c r="Z5" s="51">
        <v>5.2699999999999997E-2</v>
      </c>
      <c r="AA5" s="51">
        <v>4.9200000000000001E-2</v>
      </c>
      <c r="AB5" s="51">
        <v>4.5699999999999998E-2</v>
      </c>
      <c r="AC5" s="51">
        <v>4.2200000000000001E-2</v>
      </c>
    </row>
    <row r="6" spans="1:29" ht="15.75" thickBot="1" x14ac:dyDescent="0.3">
      <c r="A6" s="22">
        <f t="shared" si="13"/>
        <v>4</v>
      </c>
      <c r="B6" s="13" t="s">
        <v>155</v>
      </c>
      <c r="C6" s="132">
        <v>8000</v>
      </c>
      <c r="D6" s="133">
        <v>2500000</v>
      </c>
      <c r="E6" s="23">
        <f t="shared" si="4"/>
        <v>20000000000</v>
      </c>
      <c r="F6" s="24">
        <f t="shared" si="5"/>
        <v>0.78747908258686883</v>
      </c>
      <c r="G6" s="131">
        <v>0.3</v>
      </c>
      <c r="H6" s="131">
        <v>0.4</v>
      </c>
      <c r="I6" s="131">
        <v>0.5</v>
      </c>
      <c r="J6" s="131">
        <v>0.6</v>
      </c>
      <c r="K6" s="25"/>
      <c r="L6" s="15">
        <f t="shared" si="1"/>
        <v>10400</v>
      </c>
      <c r="M6" s="15">
        <f t="shared" si="6"/>
        <v>14559.999999999998</v>
      </c>
      <c r="N6" s="15">
        <f t="shared" si="7"/>
        <v>21839.999999999996</v>
      </c>
      <c r="O6" s="15">
        <f t="shared" si="8"/>
        <v>34943.999999999993</v>
      </c>
      <c r="P6" s="26">
        <f>D6*(1+'1'!$Z$4)</f>
        <v>2567500</v>
      </c>
      <c r="Q6" s="26">
        <f>P6*(1+'1'!$AA$4)</f>
        <v>2631687.5</v>
      </c>
      <c r="R6" s="26">
        <f>Q6*(1+'1'!$AB$4)</f>
        <v>2694848</v>
      </c>
      <c r="S6" s="26">
        <f>R6*(1+'1'!$AC$4)</f>
        <v>2754134.656</v>
      </c>
      <c r="T6" s="27">
        <f t="shared" si="9"/>
        <v>26702000000</v>
      </c>
      <c r="U6" s="27">
        <f t="shared" si="10"/>
        <v>38317369999.999992</v>
      </c>
      <c r="V6" s="27">
        <f t="shared" si="11"/>
        <v>58855480319.999992</v>
      </c>
      <c r="W6" s="27">
        <f t="shared" si="12"/>
        <v>96240481419.263977</v>
      </c>
      <c r="X6" s="27"/>
    </row>
    <row r="7" spans="1:29" ht="24" thickBot="1" x14ac:dyDescent="0.4">
      <c r="A7" s="22">
        <f t="shared" si="13"/>
        <v>5</v>
      </c>
      <c r="B7" s="13"/>
      <c r="C7" s="53">
        <v>0</v>
      </c>
      <c r="D7" s="14">
        <v>0</v>
      </c>
      <c r="E7" s="23">
        <f t="shared" si="4"/>
        <v>0</v>
      </c>
      <c r="F7" s="24">
        <f t="shared" si="5"/>
        <v>0</v>
      </c>
      <c r="G7" s="131">
        <v>0.3</v>
      </c>
      <c r="H7" s="131">
        <v>0.4</v>
      </c>
      <c r="I7" s="131">
        <v>0.5</v>
      </c>
      <c r="J7" s="131">
        <v>0.6</v>
      </c>
      <c r="K7" s="25"/>
      <c r="L7" s="15">
        <f t="shared" si="1"/>
        <v>0</v>
      </c>
      <c r="M7" s="15">
        <f t="shared" si="6"/>
        <v>0</v>
      </c>
      <c r="N7" s="15">
        <f t="shared" si="7"/>
        <v>0</v>
      </c>
      <c r="O7" s="15">
        <f t="shared" si="8"/>
        <v>0</v>
      </c>
      <c r="P7" s="26">
        <f>D7*(1+'1'!$Z$4)</f>
        <v>0</v>
      </c>
      <c r="Q7" s="26">
        <f>P7*(1+'1'!$AA$4)</f>
        <v>0</v>
      </c>
      <c r="R7" s="26">
        <f>Q7*(1+'1'!$AB$4)</f>
        <v>0</v>
      </c>
      <c r="S7" s="26">
        <f>R7*(1+'1'!$AC$4)</f>
        <v>0</v>
      </c>
      <c r="T7" s="27">
        <f t="shared" si="9"/>
        <v>0</v>
      </c>
      <c r="U7" s="27">
        <f t="shared" si="10"/>
        <v>0</v>
      </c>
      <c r="V7" s="27">
        <f t="shared" si="11"/>
        <v>0</v>
      </c>
      <c r="W7" s="27">
        <f t="shared" si="12"/>
        <v>0</v>
      </c>
      <c r="X7" s="27"/>
      <c r="Y7" s="31" t="s">
        <v>91</v>
      </c>
      <c r="Z7" s="32"/>
      <c r="AA7" s="32"/>
      <c r="AB7" s="52">
        <v>0.33</v>
      </c>
      <c r="AC7" s="33"/>
    </row>
    <row r="8" spans="1:29" x14ac:dyDescent="0.25">
      <c r="A8" s="22">
        <f t="shared" si="13"/>
        <v>6</v>
      </c>
      <c r="B8" s="13"/>
      <c r="C8" s="53">
        <v>0</v>
      </c>
      <c r="D8" s="14">
        <v>0</v>
      </c>
      <c r="E8" s="23">
        <f>C8*D8</f>
        <v>0</v>
      </c>
      <c r="F8" s="24">
        <f t="shared" si="5"/>
        <v>0</v>
      </c>
      <c r="G8" s="131">
        <v>0.2</v>
      </c>
      <c r="H8" s="131">
        <v>0.4</v>
      </c>
      <c r="I8" s="131">
        <v>0.1</v>
      </c>
      <c r="J8" s="131">
        <v>0.1</v>
      </c>
      <c r="K8" s="25"/>
      <c r="L8" s="15">
        <f>C8*(1+G8)</f>
        <v>0</v>
      </c>
      <c r="M8" s="15">
        <f t="shared" si="6"/>
        <v>0</v>
      </c>
      <c r="N8" s="15">
        <f t="shared" si="7"/>
        <v>0</v>
      </c>
      <c r="O8" s="15">
        <f t="shared" si="8"/>
        <v>0</v>
      </c>
      <c r="P8" s="26">
        <f>D8*(1+'1'!$Z$4)</f>
        <v>0</v>
      </c>
      <c r="Q8" s="26">
        <f>P8*(1+'1'!$AA$4)</f>
        <v>0</v>
      </c>
      <c r="R8" s="26">
        <f>Q8*(1+'1'!$AB$4)</f>
        <v>0</v>
      </c>
      <c r="S8" s="26">
        <f>R8*(1+'1'!$AC$4)</f>
        <v>0</v>
      </c>
      <c r="T8" s="27">
        <f t="shared" si="9"/>
        <v>0</v>
      </c>
      <c r="U8" s="27">
        <f t="shared" si="10"/>
        <v>0</v>
      </c>
      <c r="V8" s="27">
        <f t="shared" si="11"/>
        <v>0</v>
      </c>
      <c r="W8" s="27">
        <f t="shared" si="12"/>
        <v>0</v>
      </c>
      <c r="X8" s="27"/>
    </row>
    <row r="9" spans="1:29" x14ac:dyDescent="0.25">
      <c r="A9" s="22">
        <f t="shared" si="13"/>
        <v>7</v>
      </c>
      <c r="B9" s="13"/>
      <c r="C9" s="53">
        <v>0</v>
      </c>
      <c r="D9" s="14">
        <v>0</v>
      </c>
      <c r="E9" s="23">
        <f t="shared" si="4"/>
        <v>0</v>
      </c>
      <c r="F9" s="24">
        <f t="shared" si="5"/>
        <v>0</v>
      </c>
      <c r="G9" s="131">
        <v>0</v>
      </c>
      <c r="H9" s="131">
        <v>0</v>
      </c>
      <c r="I9" s="131">
        <v>0</v>
      </c>
      <c r="J9" s="131">
        <v>0</v>
      </c>
      <c r="K9" s="25"/>
      <c r="L9" s="15">
        <f t="shared" si="1"/>
        <v>0</v>
      </c>
      <c r="M9" s="15">
        <f t="shared" si="6"/>
        <v>0</v>
      </c>
      <c r="N9" s="15">
        <f t="shared" si="7"/>
        <v>0</v>
      </c>
      <c r="O9" s="15">
        <f t="shared" si="8"/>
        <v>0</v>
      </c>
      <c r="P9" s="26">
        <f>D9*(1+'1'!$Z$4)</f>
        <v>0</v>
      </c>
      <c r="Q9" s="26">
        <f>P9*(1+'1'!$AA$4)</f>
        <v>0</v>
      </c>
      <c r="R9" s="26">
        <f>Q9*(1+'1'!$AB$4)</f>
        <v>0</v>
      </c>
      <c r="S9" s="26">
        <f>R9*(1+'1'!$AC$4)</f>
        <v>0</v>
      </c>
      <c r="T9" s="27">
        <f t="shared" si="9"/>
        <v>0</v>
      </c>
      <c r="U9" s="27">
        <f t="shared" si="10"/>
        <v>0</v>
      </c>
      <c r="V9" s="27">
        <f t="shared" si="11"/>
        <v>0</v>
      </c>
      <c r="W9" s="27">
        <f t="shared" si="12"/>
        <v>0</v>
      </c>
      <c r="X9" s="27"/>
    </row>
    <row r="10" spans="1:29" x14ac:dyDescent="0.25">
      <c r="A10" s="22">
        <f t="shared" si="13"/>
        <v>8</v>
      </c>
      <c r="B10" s="13"/>
      <c r="C10" s="53">
        <v>0</v>
      </c>
      <c r="D10" s="14">
        <v>0</v>
      </c>
      <c r="E10" s="23">
        <f t="shared" si="4"/>
        <v>0</v>
      </c>
      <c r="F10" s="24">
        <f t="shared" si="5"/>
        <v>0</v>
      </c>
      <c r="G10" s="131">
        <v>0</v>
      </c>
      <c r="H10" s="131">
        <v>0</v>
      </c>
      <c r="I10" s="131">
        <v>0</v>
      </c>
      <c r="J10" s="131">
        <v>0</v>
      </c>
      <c r="K10" s="25"/>
      <c r="L10" s="15">
        <f t="shared" si="1"/>
        <v>0</v>
      </c>
      <c r="M10" s="15">
        <f t="shared" si="6"/>
        <v>0</v>
      </c>
      <c r="N10" s="15">
        <f t="shared" si="7"/>
        <v>0</v>
      </c>
      <c r="O10" s="15">
        <f t="shared" si="8"/>
        <v>0</v>
      </c>
      <c r="P10" s="26">
        <f>D10*(1+'1'!$Z$4)</f>
        <v>0</v>
      </c>
      <c r="Q10" s="26">
        <f>P10*(1+'1'!$AA$4)</f>
        <v>0</v>
      </c>
      <c r="R10" s="26">
        <f>Q10*(1+'1'!$AB$4)</f>
        <v>0</v>
      </c>
      <c r="S10" s="26">
        <f>R10*(1+'1'!$AC$4)</f>
        <v>0</v>
      </c>
      <c r="T10" s="27">
        <f t="shared" si="9"/>
        <v>0</v>
      </c>
      <c r="U10" s="27">
        <f t="shared" si="10"/>
        <v>0</v>
      </c>
      <c r="V10" s="27">
        <f t="shared" si="11"/>
        <v>0</v>
      </c>
      <c r="W10" s="27">
        <f t="shared" si="12"/>
        <v>0</v>
      </c>
      <c r="X10" s="27"/>
    </row>
    <row r="11" spans="1:29" x14ac:dyDescent="0.25">
      <c r="A11" s="22">
        <f t="shared" si="13"/>
        <v>9</v>
      </c>
      <c r="B11" s="13"/>
      <c r="C11" s="53">
        <v>0</v>
      </c>
      <c r="D11" s="14">
        <v>0</v>
      </c>
      <c r="E11" s="23">
        <f t="shared" si="4"/>
        <v>0</v>
      </c>
      <c r="F11" s="24">
        <f t="shared" si="5"/>
        <v>0</v>
      </c>
      <c r="G11" s="131">
        <v>0</v>
      </c>
      <c r="H11" s="131">
        <v>0</v>
      </c>
      <c r="I11" s="131">
        <v>0</v>
      </c>
      <c r="J11" s="131">
        <v>0</v>
      </c>
      <c r="K11" s="25"/>
      <c r="L11" s="15">
        <f t="shared" si="1"/>
        <v>0</v>
      </c>
      <c r="M11" s="15">
        <f t="shared" si="6"/>
        <v>0</v>
      </c>
      <c r="N11" s="15">
        <f t="shared" si="7"/>
        <v>0</v>
      </c>
      <c r="O11" s="15">
        <f t="shared" si="8"/>
        <v>0</v>
      </c>
      <c r="P11" s="26">
        <f>D11*(1+'1'!$Z$4)</f>
        <v>0</v>
      </c>
      <c r="Q11" s="26">
        <f>P11*(1+'1'!$AA$4)</f>
        <v>0</v>
      </c>
      <c r="R11" s="26">
        <f>Q11*(1+'1'!$AB$4)</f>
        <v>0</v>
      </c>
      <c r="S11" s="26">
        <f>R11*(1+'1'!$AC$4)</f>
        <v>0</v>
      </c>
      <c r="T11" s="27">
        <f t="shared" si="9"/>
        <v>0</v>
      </c>
      <c r="U11" s="27">
        <f t="shared" si="10"/>
        <v>0</v>
      </c>
      <c r="V11" s="27">
        <f t="shared" si="11"/>
        <v>0</v>
      </c>
      <c r="W11" s="27">
        <f t="shared" si="12"/>
        <v>0</v>
      </c>
      <c r="X11" s="27"/>
    </row>
    <row r="12" spans="1:29" x14ac:dyDescent="0.25">
      <c r="A12" s="22">
        <f t="shared" si="13"/>
        <v>10</v>
      </c>
      <c r="B12" s="13"/>
      <c r="C12" s="53">
        <v>0</v>
      </c>
      <c r="D12" s="14">
        <v>0</v>
      </c>
      <c r="E12" s="23">
        <f t="shared" si="4"/>
        <v>0</v>
      </c>
      <c r="F12" s="24">
        <f t="shared" si="5"/>
        <v>0</v>
      </c>
      <c r="G12" s="131">
        <v>0</v>
      </c>
      <c r="H12" s="131">
        <v>0</v>
      </c>
      <c r="I12" s="131">
        <v>0</v>
      </c>
      <c r="J12" s="131">
        <v>0</v>
      </c>
      <c r="K12" s="25"/>
      <c r="L12" s="15">
        <f t="shared" si="1"/>
        <v>0</v>
      </c>
      <c r="M12" s="15">
        <f t="shared" si="6"/>
        <v>0</v>
      </c>
      <c r="N12" s="15">
        <f t="shared" si="7"/>
        <v>0</v>
      </c>
      <c r="O12" s="15">
        <f t="shared" si="8"/>
        <v>0</v>
      </c>
      <c r="P12" s="26">
        <f>D12*(1+'1'!$Z$4)</f>
        <v>0</v>
      </c>
      <c r="Q12" s="26">
        <f>P12*(1+'1'!$AA$4)</f>
        <v>0</v>
      </c>
      <c r="R12" s="26">
        <f>Q12*(1+'1'!$AB$4)</f>
        <v>0</v>
      </c>
      <c r="S12" s="26">
        <f>R12*(1+'1'!$AC$4)</f>
        <v>0</v>
      </c>
      <c r="T12" s="27">
        <f t="shared" si="9"/>
        <v>0</v>
      </c>
      <c r="U12" s="27">
        <f t="shared" si="10"/>
        <v>0</v>
      </c>
      <c r="V12" s="27">
        <f t="shared" si="11"/>
        <v>0</v>
      </c>
      <c r="W12" s="27">
        <f t="shared" si="12"/>
        <v>0</v>
      </c>
      <c r="X12" s="27"/>
    </row>
    <row r="13" spans="1:29" x14ac:dyDescent="0.25">
      <c r="D13" s="15" t="s">
        <v>8</v>
      </c>
      <c r="E13" s="34">
        <f>SUM(E3:E12)</f>
        <v>25397500000</v>
      </c>
      <c r="F13" s="35">
        <f>SUM(F3:F12)</f>
        <v>1</v>
      </c>
      <c r="T13" s="36">
        <f>SUM(T3:T12)</f>
        <v>33908202250</v>
      </c>
      <c r="U13" s="36">
        <f>SUM(U3:U12)</f>
        <v>48658270228.749992</v>
      </c>
      <c r="V13" s="36">
        <f>SUM(V3:V12)</f>
        <v>74739103071.359985</v>
      </c>
      <c r="W13" s="36">
        <f>SUM(W3:W12)</f>
        <v>122213381342.28784</v>
      </c>
      <c r="X13" s="27"/>
    </row>
    <row r="15" spans="1:29" ht="23.25" customHeight="1" x14ac:dyDescent="0.25">
      <c r="A15" s="150" t="s">
        <v>6</v>
      </c>
      <c r="B15" s="150"/>
      <c r="C15" s="150"/>
      <c r="D15" s="150"/>
      <c r="E15" s="150"/>
      <c r="G15" s="37"/>
    </row>
    <row r="16" spans="1:29" ht="25.5" customHeight="1" x14ac:dyDescent="0.25">
      <c r="B16" s="18" t="s">
        <v>3</v>
      </c>
      <c r="C16" s="38" t="s">
        <v>0</v>
      </c>
      <c r="D16" s="116" t="s">
        <v>138</v>
      </c>
      <c r="E16" s="19" t="s">
        <v>2</v>
      </c>
      <c r="L16" s="15">
        <f>L2</f>
        <v>2022</v>
      </c>
      <c r="M16" s="15">
        <f t="shared" ref="M16:W16" si="14">M2</f>
        <v>2023</v>
      </c>
      <c r="N16" s="15">
        <f t="shared" si="14"/>
        <v>2024</v>
      </c>
      <c r="O16" s="15">
        <f t="shared" si="14"/>
        <v>2025</v>
      </c>
      <c r="P16" s="15" t="str">
        <f t="shared" si="14"/>
        <v>AÑO 2</v>
      </c>
      <c r="Q16" s="15" t="str">
        <f t="shared" si="14"/>
        <v>AÑO 3</v>
      </c>
      <c r="R16" s="15" t="str">
        <f t="shared" si="14"/>
        <v>AÑO 4</v>
      </c>
      <c r="S16" s="15" t="str">
        <f t="shared" si="14"/>
        <v>AÑO 5</v>
      </c>
      <c r="T16" s="15" t="str">
        <f t="shared" si="14"/>
        <v>año 2</v>
      </c>
      <c r="U16" s="15" t="str">
        <f t="shared" si="14"/>
        <v>año 3</v>
      </c>
      <c r="V16" s="15" t="str">
        <f t="shared" si="14"/>
        <v>año 4</v>
      </c>
      <c r="W16" s="15" t="str">
        <f t="shared" si="14"/>
        <v>año 5</v>
      </c>
    </row>
    <row r="17" spans="1:24" x14ac:dyDescent="0.25">
      <c r="A17" s="22">
        <f>A3</f>
        <v>1</v>
      </c>
      <c r="B17" s="91" t="str">
        <f>B3</f>
        <v>Plan básico (Subir su HV, Ver Ofertas de empleo )</v>
      </c>
      <c r="C17" s="130">
        <f>C3</f>
        <v>50000</v>
      </c>
      <c r="D17" s="14">
        <f>D3*82%</f>
        <v>0</v>
      </c>
      <c r="E17" s="23">
        <f>C17*D17</f>
        <v>0</v>
      </c>
      <c r="F17" s="24">
        <f>IF($E$27=0,0,E17/$E$27)</f>
        <v>0</v>
      </c>
      <c r="L17" s="15">
        <f t="shared" ref="L17:L26" si="15">C17*(1+G3)</f>
        <v>65000</v>
      </c>
      <c r="M17" s="15">
        <f>L17*(1+H3)</f>
        <v>91000</v>
      </c>
      <c r="N17" s="15">
        <f t="shared" ref="N17:O17" si="16">M17*(1+I3)</f>
        <v>136500</v>
      </c>
      <c r="O17" s="15">
        <f t="shared" si="16"/>
        <v>218400</v>
      </c>
      <c r="P17" s="41">
        <f>D17*(1+'1'!$Z$5)</f>
        <v>0</v>
      </c>
      <c r="Q17" s="26">
        <f>P17*(1+'1'!$AA$5)</f>
        <v>0</v>
      </c>
      <c r="R17" s="26">
        <f>Q17*(1+'1'!$AB$5)</f>
        <v>0</v>
      </c>
      <c r="S17" s="26">
        <f>R17*(1+'1'!$AC$5)</f>
        <v>0</v>
      </c>
      <c r="T17" s="41">
        <f t="shared" ref="T17:U19" si="17">L17*P17</f>
        <v>0</v>
      </c>
      <c r="U17" s="27">
        <f t="shared" si="17"/>
        <v>0</v>
      </c>
      <c r="V17" s="27">
        <f t="shared" ref="V17:W17" si="18">N17*R17</f>
        <v>0</v>
      </c>
      <c r="W17" s="27">
        <f t="shared" si="18"/>
        <v>0</v>
      </c>
      <c r="X17" s="27"/>
    </row>
    <row r="18" spans="1:24" x14ac:dyDescent="0.25">
      <c r="A18" s="22">
        <f t="shared" ref="A18:B25" si="19">A4</f>
        <v>2</v>
      </c>
      <c r="B18" s="42" t="str">
        <f t="shared" si="19"/>
        <v>Plan premium (Machine Learning, Diseño de HV, Orientación a entrevistas, Pruebas psicotécnicas e interpretación de personalidad, Identificacion de Habilidades, Diseño de Hojas de vida, Asesoria en Capacitacion Profesional )</v>
      </c>
      <c r="C18" s="130">
        <f t="shared" ref="C18:C26" si="20">C4</f>
        <v>25000</v>
      </c>
      <c r="D18" s="14">
        <f t="shared" ref="D18:D21" si="21">D4*82%</f>
        <v>24518</v>
      </c>
      <c r="E18" s="23">
        <f t="shared" ref="E18:E26" si="22">C18*D18</f>
        <v>612950000</v>
      </c>
      <c r="F18" s="24">
        <f t="shared" ref="F18:F26" si="23">IF($E$27=0,0,E18/$E$27)</f>
        <v>2.943203071168422E-2</v>
      </c>
      <c r="L18" s="15">
        <f t="shared" si="15"/>
        <v>32500</v>
      </c>
      <c r="M18" s="15">
        <f t="shared" ref="M18:M26" si="24">L18*(1+H4)</f>
        <v>45500</v>
      </c>
      <c r="N18" s="15">
        <f t="shared" ref="N18:N26" si="25">M18*(1+I4)</f>
        <v>68250</v>
      </c>
      <c r="O18" s="15">
        <f t="shared" ref="O18:O26" si="26">N18*(1+J4)</f>
        <v>109200</v>
      </c>
      <c r="P18" s="41">
        <f>D18*(1+'1'!$Z$5)</f>
        <v>25810.098599999998</v>
      </c>
      <c r="Q18" s="26">
        <f>P18*(1+'1'!$AA$5)</f>
        <v>27079.955451119997</v>
      </c>
      <c r="R18" s="26">
        <f>Q18*(1+'1'!$AB$5)</f>
        <v>28317.509415236182</v>
      </c>
      <c r="S18" s="26">
        <f>R18*(1+'1'!$AC$5)</f>
        <v>29512.508312559148</v>
      </c>
      <c r="T18" s="41">
        <f t="shared" si="17"/>
        <v>838828204.49999988</v>
      </c>
      <c r="U18" s="27">
        <f t="shared" si="17"/>
        <v>1232137973.02596</v>
      </c>
      <c r="V18" s="27">
        <f t="shared" ref="V18:V26" si="27">N18*R18</f>
        <v>1932670017.5898695</v>
      </c>
      <c r="W18" s="27">
        <f t="shared" ref="W18:W26" si="28">O18*S18</f>
        <v>3222765907.7314591</v>
      </c>
      <c r="X18" s="27"/>
    </row>
    <row r="19" spans="1:24" x14ac:dyDescent="0.25">
      <c r="A19" s="22">
        <f t="shared" si="19"/>
        <v>3</v>
      </c>
      <c r="B19" s="42" t="str">
        <f>B5</f>
        <v>Empresas  (todos y servicios)</v>
      </c>
      <c r="C19" s="130">
        <f>C5</f>
        <v>15000</v>
      </c>
      <c r="D19" s="14">
        <f t="shared" si="21"/>
        <v>254199.99999999997</v>
      </c>
      <c r="E19" s="23">
        <f t="shared" si="22"/>
        <v>3812999999.9999995</v>
      </c>
      <c r="F19" s="24">
        <f t="shared" si="23"/>
        <v>0.18308888670144696</v>
      </c>
      <c r="L19" s="15">
        <f t="shared" si="15"/>
        <v>19500</v>
      </c>
      <c r="M19" s="15">
        <f t="shared" si="24"/>
        <v>27300</v>
      </c>
      <c r="N19" s="15">
        <f t="shared" si="25"/>
        <v>40950</v>
      </c>
      <c r="O19" s="15">
        <f t="shared" si="26"/>
        <v>65520</v>
      </c>
      <c r="P19" s="41">
        <f>D19*(1+'1'!$Z$5)</f>
        <v>267596.33999999997</v>
      </c>
      <c r="Q19" s="26">
        <f>P19*(1+'1'!$AA$5)</f>
        <v>280762.07992799993</v>
      </c>
      <c r="R19" s="26">
        <f>Q19*(1+'1'!$AB$5)</f>
        <v>293592.90698070958</v>
      </c>
      <c r="S19" s="26">
        <f>R19*(1+'1'!$AC$5)</f>
        <v>305982.5276552955</v>
      </c>
      <c r="T19" s="41">
        <f t="shared" si="17"/>
        <v>5218128629.999999</v>
      </c>
      <c r="U19" s="27">
        <f t="shared" si="17"/>
        <v>7664804782.0343981</v>
      </c>
      <c r="V19" s="27">
        <f t="shared" si="27"/>
        <v>12022629540.860058</v>
      </c>
      <c r="W19" s="27">
        <f t="shared" si="28"/>
        <v>20047975211.97496</v>
      </c>
      <c r="X19" s="27"/>
    </row>
    <row r="20" spans="1:24" x14ac:dyDescent="0.25">
      <c r="A20" s="22">
        <f t="shared" si="19"/>
        <v>4</v>
      </c>
      <c r="B20" s="42" t="str">
        <f t="shared" si="19"/>
        <v>a la medida  (todos y servicios a eleccion)</v>
      </c>
      <c r="C20" s="130">
        <f t="shared" si="20"/>
        <v>8000</v>
      </c>
      <c r="D20" s="14">
        <f t="shared" si="21"/>
        <v>2049999.9999999998</v>
      </c>
      <c r="E20" s="23">
        <f t="shared" si="22"/>
        <v>16399999999.999998</v>
      </c>
      <c r="F20" s="24">
        <f t="shared" si="23"/>
        <v>0.78747908258686872</v>
      </c>
      <c r="L20" s="15">
        <f t="shared" si="15"/>
        <v>10400</v>
      </c>
      <c r="M20" s="15">
        <f t="shared" si="24"/>
        <v>14559.999999999998</v>
      </c>
      <c r="N20" s="15">
        <f t="shared" si="25"/>
        <v>21839.999999999996</v>
      </c>
      <c r="O20" s="15">
        <f t="shared" si="26"/>
        <v>34943.999999999993</v>
      </c>
      <c r="P20" s="41">
        <f>D20*(1+'1'!$Z$5)</f>
        <v>2158034.9999999995</v>
      </c>
      <c r="Q20" s="26">
        <f>P20*(1+'1'!$AA$5)</f>
        <v>2264210.3219999992</v>
      </c>
      <c r="R20" s="26">
        <f>Q20*(1+'1'!$AB$5)</f>
        <v>2367684.7337153992</v>
      </c>
      <c r="S20" s="26">
        <f>R20*(1+'1'!$AC$5)</f>
        <v>2467601.0294781891</v>
      </c>
      <c r="T20" s="41">
        <f t="shared" ref="T20:T26" si="29">L20*P20</f>
        <v>22443563999.999996</v>
      </c>
      <c r="U20" s="27">
        <f t="shared" ref="U20:U26" si="30">M20*Q20</f>
        <v>32966902288.319984</v>
      </c>
      <c r="V20" s="27">
        <f t="shared" si="27"/>
        <v>51710234584.344307</v>
      </c>
      <c r="W20" s="27">
        <f t="shared" si="28"/>
        <v>86227850374.085815</v>
      </c>
      <c r="X20" s="27"/>
    </row>
    <row r="21" spans="1:24" x14ac:dyDescent="0.25">
      <c r="A21" s="22">
        <f t="shared" si="19"/>
        <v>5</v>
      </c>
      <c r="B21" s="42">
        <f t="shared" si="19"/>
        <v>0</v>
      </c>
      <c r="C21" s="130">
        <f t="shared" si="20"/>
        <v>0</v>
      </c>
      <c r="D21" s="14">
        <f t="shared" si="21"/>
        <v>0</v>
      </c>
      <c r="E21" s="23">
        <f t="shared" si="22"/>
        <v>0</v>
      </c>
      <c r="F21" s="24">
        <f t="shared" si="23"/>
        <v>0</v>
      </c>
      <c r="L21" s="15">
        <f t="shared" si="15"/>
        <v>0</v>
      </c>
      <c r="M21" s="15">
        <f t="shared" si="24"/>
        <v>0</v>
      </c>
      <c r="N21" s="15">
        <f t="shared" si="25"/>
        <v>0</v>
      </c>
      <c r="O21" s="15">
        <f t="shared" si="26"/>
        <v>0</v>
      </c>
      <c r="P21" s="41">
        <f>D21*(1+'1'!$Z$5)</f>
        <v>0</v>
      </c>
      <c r="Q21" s="26">
        <f>P21*(1+'1'!$AA$5)</f>
        <v>0</v>
      </c>
      <c r="R21" s="26">
        <f>Q21*(1+'1'!$AB$5)</f>
        <v>0</v>
      </c>
      <c r="S21" s="26">
        <f>R21*(1+'1'!$AC$5)</f>
        <v>0</v>
      </c>
      <c r="T21" s="41">
        <f t="shared" si="29"/>
        <v>0</v>
      </c>
      <c r="U21" s="27">
        <f t="shared" si="30"/>
        <v>0</v>
      </c>
      <c r="V21" s="27">
        <f t="shared" si="27"/>
        <v>0</v>
      </c>
      <c r="W21" s="27">
        <f t="shared" si="28"/>
        <v>0</v>
      </c>
      <c r="X21" s="27"/>
    </row>
    <row r="22" spans="1:24" x14ac:dyDescent="0.25">
      <c r="A22" s="22">
        <f t="shared" si="19"/>
        <v>6</v>
      </c>
      <c r="B22" s="42">
        <f>B8</f>
        <v>0</v>
      </c>
      <c r="C22" s="40">
        <f>C8</f>
        <v>0</v>
      </c>
      <c r="D22" s="14">
        <v>0</v>
      </c>
      <c r="E22" s="23">
        <f t="shared" si="22"/>
        <v>0</v>
      </c>
      <c r="F22" s="24">
        <f t="shared" si="23"/>
        <v>0</v>
      </c>
      <c r="L22" s="15">
        <f t="shared" si="15"/>
        <v>0</v>
      </c>
      <c r="M22" s="15">
        <f t="shared" si="24"/>
        <v>0</v>
      </c>
      <c r="N22" s="15">
        <f t="shared" si="25"/>
        <v>0</v>
      </c>
      <c r="O22" s="15">
        <f t="shared" si="26"/>
        <v>0</v>
      </c>
      <c r="P22" s="41">
        <f>D22*(1+'1'!$Z$5)</f>
        <v>0</v>
      </c>
      <c r="Q22" s="26">
        <f>P22*(1+'1'!$AA$5)</f>
        <v>0</v>
      </c>
      <c r="R22" s="26">
        <f>Q22*(1+'1'!$AB$5)</f>
        <v>0</v>
      </c>
      <c r="S22" s="26">
        <f>R22*(1+'1'!$AC$5)</f>
        <v>0</v>
      </c>
      <c r="T22" s="41">
        <f t="shared" si="29"/>
        <v>0</v>
      </c>
      <c r="U22" s="27">
        <f t="shared" si="30"/>
        <v>0</v>
      </c>
      <c r="V22" s="27">
        <f t="shared" si="27"/>
        <v>0</v>
      </c>
      <c r="W22" s="27">
        <f t="shared" si="28"/>
        <v>0</v>
      </c>
      <c r="X22" s="27"/>
    </row>
    <row r="23" spans="1:24" x14ac:dyDescent="0.25">
      <c r="A23" s="22">
        <f t="shared" si="19"/>
        <v>7</v>
      </c>
      <c r="B23" s="42">
        <f t="shared" si="19"/>
        <v>0</v>
      </c>
      <c r="C23" s="40">
        <f t="shared" si="20"/>
        <v>0</v>
      </c>
      <c r="D23" s="14">
        <v>0</v>
      </c>
      <c r="E23" s="23">
        <f t="shared" si="22"/>
        <v>0</v>
      </c>
      <c r="F23" s="24">
        <f t="shared" si="23"/>
        <v>0</v>
      </c>
      <c r="L23" s="15">
        <f t="shared" si="15"/>
        <v>0</v>
      </c>
      <c r="M23" s="15">
        <f t="shared" si="24"/>
        <v>0</v>
      </c>
      <c r="N23" s="15">
        <f t="shared" si="25"/>
        <v>0</v>
      </c>
      <c r="O23" s="15">
        <f t="shared" si="26"/>
        <v>0</v>
      </c>
      <c r="P23" s="41">
        <f>D23*(1+'1'!$Z$5)</f>
        <v>0</v>
      </c>
      <c r="Q23" s="26">
        <f>P23*(1+'1'!$AA$5)</f>
        <v>0</v>
      </c>
      <c r="R23" s="26">
        <f>Q23*(1+'1'!$AB$5)</f>
        <v>0</v>
      </c>
      <c r="S23" s="26">
        <f>R23*(1+'1'!$AC$5)</f>
        <v>0</v>
      </c>
      <c r="T23" s="41">
        <f t="shared" si="29"/>
        <v>0</v>
      </c>
      <c r="U23" s="27">
        <f t="shared" si="30"/>
        <v>0</v>
      </c>
      <c r="V23" s="27">
        <f t="shared" si="27"/>
        <v>0</v>
      </c>
      <c r="W23" s="27">
        <f t="shared" si="28"/>
        <v>0</v>
      </c>
      <c r="X23" s="27"/>
    </row>
    <row r="24" spans="1:24" x14ac:dyDescent="0.25">
      <c r="A24" s="22">
        <f t="shared" si="19"/>
        <v>8</v>
      </c>
      <c r="B24" s="42">
        <f t="shared" si="19"/>
        <v>0</v>
      </c>
      <c r="C24" s="40">
        <f t="shared" si="20"/>
        <v>0</v>
      </c>
      <c r="D24" s="14">
        <v>0</v>
      </c>
      <c r="E24" s="23">
        <f t="shared" si="22"/>
        <v>0</v>
      </c>
      <c r="F24" s="24">
        <f t="shared" si="23"/>
        <v>0</v>
      </c>
      <c r="L24" s="15">
        <f t="shared" si="15"/>
        <v>0</v>
      </c>
      <c r="M24" s="15">
        <f t="shared" si="24"/>
        <v>0</v>
      </c>
      <c r="N24" s="15">
        <f t="shared" si="25"/>
        <v>0</v>
      </c>
      <c r="O24" s="15">
        <f t="shared" si="26"/>
        <v>0</v>
      </c>
      <c r="P24" s="41">
        <f>D24*(1+'1'!$Z$5)</f>
        <v>0</v>
      </c>
      <c r="Q24" s="26">
        <f>P24*(1+'1'!$AA$5)</f>
        <v>0</v>
      </c>
      <c r="R24" s="26">
        <f>Q24*(1+'1'!$AB$5)</f>
        <v>0</v>
      </c>
      <c r="S24" s="26">
        <f>R24*(1+'1'!$AC$5)</f>
        <v>0</v>
      </c>
      <c r="T24" s="41">
        <f t="shared" si="29"/>
        <v>0</v>
      </c>
      <c r="U24" s="27">
        <f t="shared" si="30"/>
        <v>0</v>
      </c>
      <c r="V24" s="27">
        <f t="shared" si="27"/>
        <v>0</v>
      </c>
      <c r="W24" s="27">
        <f t="shared" si="28"/>
        <v>0</v>
      </c>
      <c r="X24" s="27"/>
    </row>
    <row r="25" spans="1:24" x14ac:dyDescent="0.25">
      <c r="A25" s="22">
        <f t="shared" si="19"/>
        <v>9</v>
      </c>
      <c r="B25" s="42">
        <f t="shared" si="19"/>
        <v>0</v>
      </c>
      <c r="C25" s="40">
        <f t="shared" si="20"/>
        <v>0</v>
      </c>
      <c r="D25" s="14">
        <v>0</v>
      </c>
      <c r="E25" s="23">
        <f t="shared" si="22"/>
        <v>0</v>
      </c>
      <c r="F25" s="24">
        <f t="shared" si="23"/>
        <v>0</v>
      </c>
      <c r="L25" s="15">
        <f t="shared" si="15"/>
        <v>0</v>
      </c>
      <c r="M25" s="15">
        <f t="shared" si="24"/>
        <v>0</v>
      </c>
      <c r="N25" s="15">
        <f t="shared" si="25"/>
        <v>0</v>
      </c>
      <c r="O25" s="15">
        <f t="shared" si="26"/>
        <v>0</v>
      </c>
      <c r="P25" s="41">
        <f>D25*(1+'1'!$Z$5)</f>
        <v>0</v>
      </c>
      <c r="Q25" s="26">
        <f>P25*(1+'1'!$AA$5)</f>
        <v>0</v>
      </c>
      <c r="R25" s="26">
        <f>Q25*(1+'1'!$AB$5)</f>
        <v>0</v>
      </c>
      <c r="S25" s="26">
        <f>R25*(1+'1'!$AC$5)</f>
        <v>0</v>
      </c>
      <c r="T25" s="41">
        <f t="shared" si="29"/>
        <v>0</v>
      </c>
      <c r="U25" s="27">
        <f t="shared" si="30"/>
        <v>0</v>
      </c>
      <c r="V25" s="27">
        <f t="shared" si="27"/>
        <v>0</v>
      </c>
      <c r="W25" s="27">
        <f t="shared" si="28"/>
        <v>0</v>
      </c>
      <c r="X25" s="27"/>
    </row>
    <row r="26" spans="1:24" x14ac:dyDescent="0.25">
      <c r="A26" s="22">
        <f>A12</f>
        <v>10</v>
      </c>
      <c r="B26" s="42">
        <f t="shared" ref="B26" si="31">B12</f>
        <v>0</v>
      </c>
      <c r="C26" s="40">
        <f t="shared" si="20"/>
        <v>0</v>
      </c>
      <c r="D26" s="14">
        <v>0</v>
      </c>
      <c r="E26" s="23">
        <f t="shared" si="22"/>
        <v>0</v>
      </c>
      <c r="F26" s="24">
        <f t="shared" si="23"/>
        <v>0</v>
      </c>
      <c r="L26" s="15">
        <f t="shared" si="15"/>
        <v>0</v>
      </c>
      <c r="M26" s="15">
        <f t="shared" si="24"/>
        <v>0</v>
      </c>
      <c r="N26" s="15">
        <f t="shared" si="25"/>
        <v>0</v>
      </c>
      <c r="O26" s="15">
        <f t="shared" si="26"/>
        <v>0</v>
      </c>
      <c r="P26" s="41">
        <f>D26*(1+'1'!$Z$5)</f>
        <v>0</v>
      </c>
      <c r="Q26" s="26">
        <f>P26*(1+'1'!$AA$5)</f>
        <v>0</v>
      </c>
      <c r="R26" s="26">
        <f>Q26*(1+'1'!$AB$5)</f>
        <v>0</v>
      </c>
      <c r="S26" s="26">
        <f>R26*(1+'1'!$AC$5)</f>
        <v>0</v>
      </c>
      <c r="T26" s="41">
        <f t="shared" si="29"/>
        <v>0</v>
      </c>
      <c r="U26" s="27">
        <f t="shared" si="30"/>
        <v>0</v>
      </c>
      <c r="V26" s="27">
        <f t="shared" si="27"/>
        <v>0</v>
      </c>
      <c r="W26" s="27">
        <f t="shared" si="28"/>
        <v>0</v>
      </c>
      <c r="X26" s="27"/>
    </row>
    <row r="27" spans="1:24" x14ac:dyDescent="0.25">
      <c r="D27" s="15" t="str">
        <f>D13</f>
        <v>TOTAL</v>
      </c>
      <c r="E27" s="34">
        <f>SUM(E17:E26)</f>
        <v>20825950000</v>
      </c>
      <c r="F27" s="35">
        <f>SUM(F17:F26)</f>
        <v>0.99999999999999989</v>
      </c>
      <c r="T27" s="36">
        <f>SUM(T17:T26)</f>
        <v>28500520834.499996</v>
      </c>
      <c r="U27" s="36">
        <f>SUM(U17:U26)</f>
        <v>41863845043.380341</v>
      </c>
      <c r="V27" s="36">
        <f t="shared" ref="V27:W27" si="32">SUM(V17:V26)</f>
        <v>65665534142.794235</v>
      </c>
      <c r="W27" s="36">
        <f t="shared" si="32"/>
        <v>109498591493.79224</v>
      </c>
      <c r="X27" s="27"/>
    </row>
    <row r="30" spans="1:24" x14ac:dyDescent="0.25">
      <c r="A30" s="149" t="s">
        <v>19</v>
      </c>
      <c r="B30" s="149"/>
      <c r="C30" s="149"/>
      <c r="D30" s="149"/>
      <c r="E30" s="149"/>
      <c r="F30" s="149"/>
    </row>
    <row r="31" spans="1:24" ht="26.25" x14ac:dyDescent="0.4">
      <c r="A31" s="43" t="s">
        <v>10</v>
      </c>
      <c r="B31" s="44">
        <f>'1'!Z1</f>
        <v>2021</v>
      </c>
      <c r="C31" s="44">
        <f>B31+1</f>
        <v>2022</v>
      </c>
      <c r="D31" s="44">
        <f>C31+1</f>
        <v>2023</v>
      </c>
      <c r="E31" s="44">
        <f>D31+1</f>
        <v>2024</v>
      </c>
      <c r="F31" s="44">
        <f>E31+1</f>
        <v>2025</v>
      </c>
      <c r="H31" s="45"/>
      <c r="I31" s="45"/>
      <c r="J31" s="45"/>
      <c r="K31" s="45"/>
      <c r="L31" s="45"/>
      <c r="M31" s="45"/>
      <c r="N31" s="45"/>
      <c r="O31" s="45"/>
      <c r="P31" s="45"/>
      <c r="Q31" s="45"/>
      <c r="R31" s="45"/>
      <c r="S31" s="45"/>
      <c r="T31" s="45"/>
      <c r="U31" s="45"/>
      <c r="V31" s="45"/>
    </row>
    <row r="32" spans="1:24" x14ac:dyDescent="0.25">
      <c r="A32" s="46" t="s">
        <v>20</v>
      </c>
      <c r="B32" s="47">
        <f>'1'!E13</f>
        <v>25397500000</v>
      </c>
      <c r="C32" s="48">
        <f>'1'!T13</f>
        <v>33908202250</v>
      </c>
      <c r="D32" s="48">
        <f>'1'!U13</f>
        <v>48658270228.749992</v>
      </c>
      <c r="E32" s="48">
        <f>'1'!V13</f>
        <v>74739103071.359985</v>
      </c>
      <c r="F32" s="48">
        <f>'1'!W13</f>
        <v>122213381342.28784</v>
      </c>
    </row>
    <row r="33" spans="1:6" x14ac:dyDescent="0.25">
      <c r="A33" s="46" t="s">
        <v>21</v>
      </c>
      <c r="B33" s="47">
        <f>'1'!E27</f>
        <v>20825950000</v>
      </c>
      <c r="C33" s="47">
        <f>'1'!T27</f>
        <v>28500520834.499996</v>
      </c>
      <c r="D33" s="47">
        <f>'1'!U27</f>
        <v>41863845043.380341</v>
      </c>
      <c r="E33" s="47">
        <f>'1'!V27</f>
        <v>65665534142.794235</v>
      </c>
      <c r="F33" s="47">
        <f>'1'!W27</f>
        <v>109498591493.79224</v>
      </c>
    </row>
    <row r="34" spans="1:6" ht="18.75" thickBot="1" x14ac:dyDescent="0.3">
      <c r="A34" s="49" t="s">
        <v>22</v>
      </c>
      <c r="B34" s="134">
        <f>B32-B33</f>
        <v>4571550000</v>
      </c>
      <c r="C34" s="134">
        <f t="shared" ref="C34:D34" si="33">C32-C33</f>
        <v>5407681415.5000038</v>
      </c>
      <c r="D34" s="134">
        <f t="shared" si="33"/>
        <v>6794425185.3696518</v>
      </c>
      <c r="E34" s="134">
        <f t="shared" ref="E34" si="34">E32-E33</f>
        <v>9073568928.5657501</v>
      </c>
      <c r="F34" s="134">
        <f t="shared" ref="F34" si="35">F32-F33</f>
        <v>12714789848.495605</v>
      </c>
    </row>
    <row r="35" spans="1:6" ht="15.75" thickTop="1" x14ac:dyDescent="0.25"/>
  </sheetData>
  <sheetProtection algorithmName="SHA-512" hashValue="IM2j+jM+f5Q0iSszpln9SjYa1ct3EnrJ+Fgo/eN1hcEJORKRM/VAmG9BLJ7GlrkOo/6UzT1NeQHoNEo7xoCZ8g==" saltValue="pvCg7EA79uYf5kWmnFj3uQ==" spinCount="100000" sheet="1" formatCells="0" formatColumns="0" formatRows="0"/>
  <mergeCells count="4">
    <mergeCell ref="A30:F30"/>
    <mergeCell ref="A1:E1"/>
    <mergeCell ref="A15:E15"/>
    <mergeCell ref="G1:J1"/>
  </mergeCells>
  <conditionalFormatting sqref="B34:F34">
    <cfRule type="cellIs" dxfId="11" priority="1" operator="lessThan">
      <formula>0</formula>
    </cfRule>
  </conditionalFormatting>
  <pageMargins left="0.7" right="0.7" top="0.75" bottom="0.75" header="0.3" footer="0.3"/>
  <pageSetup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2"/>
  <dimension ref="B1:H31"/>
  <sheetViews>
    <sheetView showGridLines="0" workbookViewId="0">
      <pane ySplit="14" topLeftCell="A15" activePane="bottomLeft" state="frozenSplit"/>
      <selection activeCell="B40" sqref="B40"/>
      <selection pane="bottomLeft"/>
    </sheetView>
  </sheetViews>
  <sheetFormatPr baseColWidth="10" defaultRowHeight="15" x14ac:dyDescent="0.25"/>
  <cols>
    <col min="1" max="1" width="5.42578125" style="15" customWidth="1"/>
    <col min="2" max="2" width="37" style="15" bestFit="1" customWidth="1"/>
    <col min="3" max="3" width="20.28515625" style="15" customWidth="1"/>
    <col min="4" max="4" width="11.42578125" style="15"/>
    <col min="5" max="5" width="23.28515625" style="15" customWidth="1"/>
    <col min="6" max="6" width="18.5703125" style="15" bestFit="1" customWidth="1"/>
    <col min="7" max="7" width="15.5703125" style="15" bestFit="1" customWidth="1"/>
    <col min="8" max="16384" width="11.42578125" style="15"/>
  </cols>
  <sheetData>
    <row r="1" spans="2:8" x14ac:dyDescent="0.25">
      <c r="B1" s="152" t="s">
        <v>134</v>
      </c>
      <c r="C1" s="152"/>
      <c r="D1" s="152"/>
      <c r="E1" s="152"/>
      <c r="F1" s="152"/>
      <c r="G1" s="152"/>
      <c r="H1" s="152"/>
    </row>
    <row r="2" spans="2:8" ht="3.75" customHeight="1" x14ac:dyDescent="0.25">
      <c r="B2" s="152"/>
      <c r="C2" s="152"/>
      <c r="D2" s="152"/>
      <c r="E2" s="152"/>
      <c r="F2" s="152"/>
      <c r="G2" s="152"/>
      <c r="H2" s="152"/>
    </row>
    <row r="3" spans="2:8" x14ac:dyDescent="0.25">
      <c r="C3" s="22" t="s">
        <v>51</v>
      </c>
      <c r="F3" s="70" t="s">
        <v>92</v>
      </c>
      <c r="G3" s="70"/>
    </row>
    <row r="4" spans="2:8" x14ac:dyDescent="0.25">
      <c r="B4" s="49" t="s">
        <v>43</v>
      </c>
      <c r="C4" s="146">
        <v>0</v>
      </c>
      <c r="F4" s="70"/>
      <c r="G4" s="70"/>
    </row>
    <row r="5" spans="2:8" x14ac:dyDescent="0.25">
      <c r="B5" s="49" t="s">
        <v>46</v>
      </c>
      <c r="C5" s="146">
        <v>0</v>
      </c>
      <c r="F5" s="70">
        <v>10</v>
      </c>
      <c r="G5" s="71">
        <f t="shared" ref="G5:G11" si="0">C5/F5</f>
        <v>0</v>
      </c>
    </row>
    <row r="6" spans="2:8" x14ac:dyDescent="0.25">
      <c r="B6" s="49" t="s">
        <v>44</v>
      </c>
      <c r="C6" s="146">
        <v>15000000</v>
      </c>
      <c r="F6" s="70">
        <v>5</v>
      </c>
      <c r="G6" s="71">
        <f t="shared" si="0"/>
        <v>3000000</v>
      </c>
    </row>
    <row r="7" spans="2:8" x14ac:dyDescent="0.25">
      <c r="B7" s="49" t="s">
        <v>45</v>
      </c>
      <c r="C7" s="146">
        <v>20000000</v>
      </c>
      <c r="F7" s="70">
        <v>5</v>
      </c>
      <c r="G7" s="71">
        <f t="shared" si="0"/>
        <v>4000000</v>
      </c>
    </row>
    <row r="8" spans="2:8" x14ac:dyDescent="0.25">
      <c r="B8" s="49" t="s">
        <v>47</v>
      </c>
      <c r="C8" s="146">
        <v>0</v>
      </c>
      <c r="F8" s="70">
        <v>5</v>
      </c>
      <c r="G8" s="71">
        <f t="shared" si="0"/>
        <v>0</v>
      </c>
    </row>
    <row r="9" spans="2:8" x14ac:dyDescent="0.25">
      <c r="B9" s="49" t="s">
        <v>48</v>
      </c>
      <c r="C9" s="146">
        <v>0</v>
      </c>
      <c r="F9" s="70">
        <v>5</v>
      </c>
      <c r="G9" s="71">
        <f t="shared" si="0"/>
        <v>0</v>
      </c>
    </row>
    <row r="10" spans="2:8" x14ac:dyDescent="0.25">
      <c r="B10" s="121" t="s">
        <v>143</v>
      </c>
      <c r="C10" s="146">
        <v>231206000</v>
      </c>
      <c r="F10" s="70">
        <v>5</v>
      </c>
      <c r="G10" s="71">
        <f t="shared" si="0"/>
        <v>46241200</v>
      </c>
    </row>
    <row r="11" spans="2:8" x14ac:dyDescent="0.25">
      <c r="B11" s="49" t="s">
        <v>49</v>
      </c>
      <c r="C11" s="146">
        <v>2500000</v>
      </c>
      <c r="F11" s="70">
        <v>5</v>
      </c>
      <c r="G11" s="71">
        <f t="shared" si="0"/>
        <v>500000</v>
      </c>
    </row>
    <row r="12" spans="2:8" ht="16.5" thickBot="1" x14ac:dyDescent="0.3">
      <c r="B12" s="72" t="s">
        <v>50</v>
      </c>
      <c r="C12" s="147">
        <f>SUM(C4:C11)</f>
        <v>268706000</v>
      </c>
      <c r="F12" s="70"/>
      <c r="G12" s="71">
        <f>SUM(G5:G11)</f>
        <v>53741200</v>
      </c>
    </row>
    <row r="13" spans="2:8" x14ac:dyDescent="0.25">
      <c r="B13" s="153" t="s">
        <v>42</v>
      </c>
      <c r="C13" s="154"/>
      <c r="D13" s="154"/>
      <c r="E13" s="154"/>
      <c r="F13" s="154"/>
      <c r="G13" s="154"/>
      <c r="H13" s="155"/>
    </row>
    <row r="14" spans="2:8" ht="15.75" thickBot="1" x14ac:dyDescent="0.3">
      <c r="B14" s="156"/>
      <c r="C14" s="157"/>
      <c r="D14" s="157"/>
      <c r="E14" s="157"/>
      <c r="F14" s="157"/>
      <c r="G14" s="157"/>
      <c r="H14" s="158"/>
    </row>
    <row r="15" spans="2:8" x14ac:dyDescent="0.25">
      <c r="B15" s="74"/>
      <c r="C15" s="74"/>
      <c r="D15" s="74"/>
      <c r="E15" s="74"/>
      <c r="F15" s="74"/>
      <c r="G15" s="74"/>
      <c r="H15" s="74"/>
    </row>
    <row r="16" spans="2:8" x14ac:dyDescent="0.25">
      <c r="B16" s="72" t="s">
        <v>28</v>
      </c>
      <c r="E16" s="72" t="s">
        <v>34</v>
      </c>
      <c r="F16" s="39"/>
    </row>
    <row r="17" spans="2:6" x14ac:dyDescent="0.25">
      <c r="C17" s="72" t="s">
        <v>30</v>
      </c>
      <c r="F17" s="72" t="str">
        <f>C17</f>
        <v>VALOR AÑO 1</v>
      </c>
    </row>
    <row r="18" spans="2:6" x14ac:dyDescent="0.25">
      <c r="B18" s="75" t="s">
        <v>29</v>
      </c>
      <c r="C18" s="14">
        <v>116160000</v>
      </c>
      <c r="E18" s="118" t="s">
        <v>140</v>
      </c>
      <c r="F18" s="14">
        <v>24000000</v>
      </c>
    </row>
    <row r="19" spans="2:6" x14ac:dyDescent="0.25">
      <c r="C19" s="77"/>
      <c r="E19" s="76" t="s">
        <v>35</v>
      </c>
      <c r="F19" s="14">
        <f>700000*12</f>
        <v>8400000</v>
      </c>
    </row>
    <row r="20" spans="2:6" x14ac:dyDescent="0.25">
      <c r="B20" s="75" t="s">
        <v>32</v>
      </c>
      <c r="C20" s="14">
        <v>52272000</v>
      </c>
      <c r="E20" s="76" t="s">
        <v>36</v>
      </c>
      <c r="F20" s="14">
        <f>12*120000</f>
        <v>1440000</v>
      </c>
    </row>
    <row r="21" spans="2:6" x14ac:dyDescent="0.25">
      <c r="C21" s="77"/>
      <c r="E21" s="76" t="s">
        <v>37</v>
      </c>
      <c r="F21" s="14">
        <f>1200000*12</f>
        <v>14400000</v>
      </c>
    </row>
    <row r="22" spans="2:6" x14ac:dyDescent="0.25">
      <c r="B22" s="117" t="s">
        <v>139</v>
      </c>
      <c r="C22" s="14">
        <v>291752000</v>
      </c>
      <c r="E22" s="76" t="s">
        <v>38</v>
      </c>
      <c r="F22" s="14">
        <v>3000000</v>
      </c>
    </row>
    <row r="23" spans="2:6" ht="15.75" x14ac:dyDescent="0.25">
      <c r="B23" s="15" t="s">
        <v>56</v>
      </c>
      <c r="C23" s="73">
        <f>C18+C20+C22</f>
        <v>460184000</v>
      </c>
      <c r="E23" s="76" t="s">
        <v>39</v>
      </c>
      <c r="F23" s="14">
        <v>1000000</v>
      </c>
    </row>
    <row r="24" spans="2:6" x14ac:dyDescent="0.25">
      <c r="E24" s="76" t="s">
        <v>40</v>
      </c>
      <c r="F24" s="14">
        <f>1000000*12</f>
        <v>12000000</v>
      </c>
    </row>
    <row r="25" spans="2:6" ht="24.75" x14ac:dyDescent="0.25">
      <c r="B25" s="76" t="s">
        <v>144</v>
      </c>
      <c r="C25" s="14">
        <v>180000000</v>
      </c>
      <c r="E25" s="120" t="s">
        <v>141</v>
      </c>
      <c r="F25" s="14">
        <v>8000000</v>
      </c>
    </row>
    <row r="26" spans="2:6" x14ac:dyDescent="0.25">
      <c r="E26" s="120" t="s">
        <v>142</v>
      </c>
      <c r="F26" s="14">
        <v>15000000</v>
      </c>
    </row>
    <row r="27" spans="2:6" x14ac:dyDescent="0.25">
      <c r="B27" s="97" t="s">
        <v>145</v>
      </c>
      <c r="C27" s="97"/>
      <c r="E27" s="100"/>
      <c r="F27" s="14">
        <v>0</v>
      </c>
    </row>
    <row r="28" spans="2:6" x14ac:dyDescent="0.25">
      <c r="B28" s="119">
        <f>'1'!G2</f>
        <v>2022</v>
      </c>
      <c r="C28" s="14">
        <v>240000000</v>
      </c>
      <c r="E28" s="100"/>
      <c r="F28" s="14">
        <v>0</v>
      </c>
    </row>
    <row r="29" spans="2:6" x14ac:dyDescent="0.25">
      <c r="B29" s="119">
        <f>'1'!H2</f>
        <v>2023</v>
      </c>
      <c r="C29" s="14">
        <v>300000000</v>
      </c>
      <c r="E29" s="100"/>
      <c r="F29" s="14">
        <v>0</v>
      </c>
    </row>
    <row r="30" spans="2:6" x14ac:dyDescent="0.25">
      <c r="B30" s="119">
        <f>'1'!I2</f>
        <v>2024</v>
      </c>
      <c r="C30" s="14">
        <v>300000000</v>
      </c>
      <c r="E30" s="100"/>
      <c r="F30" s="14">
        <v>0</v>
      </c>
    </row>
    <row r="31" spans="2:6" ht="15.75" x14ac:dyDescent="0.25">
      <c r="B31" s="119">
        <f>'1'!J2</f>
        <v>2025</v>
      </c>
      <c r="C31" s="14">
        <v>300000000</v>
      </c>
      <c r="E31" s="76" t="s">
        <v>41</v>
      </c>
      <c r="F31" s="73">
        <f>SUM(F18:F30)</f>
        <v>87240000</v>
      </c>
    </row>
  </sheetData>
  <sheetProtection password="8F5C" sheet="1" objects="1" scenarios="1" formatCells="0" formatColumns="0" formatRows="0"/>
  <mergeCells count="2">
    <mergeCell ref="B1:H2"/>
    <mergeCell ref="B13:H14"/>
  </mergeCells>
  <pageMargins left="0.7" right="0.7" top="0.75" bottom="0.75" header="0.3" footer="0.3"/>
  <pageSetup orientation="portrait" verticalDpi="0"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dimension ref="B2:L16"/>
  <sheetViews>
    <sheetView showGridLines="0" workbookViewId="0">
      <selection activeCell="D16" sqref="D16"/>
    </sheetView>
  </sheetViews>
  <sheetFormatPr baseColWidth="10" defaultRowHeight="15" x14ac:dyDescent="0.25"/>
  <cols>
    <col min="1" max="1" width="11.42578125" style="15"/>
    <col min="2" max="2" width="39" style="15" bestFit="1" customWidth="1"/>
    <col min="3" max="3" width="18.5703125" style="15" bestFit="1" customWidth="1"/>
    <col min="4" max="4" width="26.85546875" style="15" bestFit="1" customWidth="1"/>
    <col min="5" max="5" width="12.85546875" style="15" customWidth="1"/>
    <col min="6" max="6" width="18.7109375" style="15" bestFit="1" customWidth="1"/>
    <col min="7" max="7" width="15.5703125" style="15" bestFit="1" customWidth="1"/>
    <col min="8" max="8" width="17" style="15" bestFit="1" customWidth="1"/>
    <col min="9" max="9" width="17.140625" style="15" bestFit="1" customWidth="1"/>
    <col min="10" max="10" width="18.5703125" style="15" bestFit="1" customWidth="1"/>
    <col min="11" max="16384" width="11.42578125" style="15"/>
  </cols>
  <sheetData>
    <row r="2" spans="2:12" ht="29.25" customHeight="1" x14ac:dyDescent="0.25">
      <c r="B2" s="150" t="s">
        <v>116</v>
      </c>
      <c r="C2" s="150"/>
      <c r="D2" s="150"/>
      <c r="E2" s="150"/>
      <c r="F2" s="150"/>
      <c r="G2" s="150"/>
      <c r="H2" s="150"/>
      <c r="I2" s="150"/>
      <c r="J2" s="150"/>
    </row>
    <row r="3" spans="2:12" x14ac:dyDescent="0.25">
      <c r="F3" s="160" t="s">
        <v>62</v>
      </c>
      <c r="G3" s="160"/>
    </row>
    <row r="4" spans="2:12" ht="15.75" x14ac:dyDescent="0.25">
      <c r="B4" s="17" t="s">
        <v>50</v>
      </c>
      <c r="C4" s="73">
        <f>'2'!C12</f>
        <v>268706000</v>
      </c>
      <c r="F4" s="161">
        <v>0.1399</v>
      </c>
      <c r="G4" s="161"/>
      <c r="I4" s="15" t="s">
        <v>151</v>
      </c>
      <c r="J4" s="129">
        <v>5</v>
      </c>
      <c r="L4" s="70">
        <v>1</v>
      </c>
    </row>
    <row r="5" spans="2:12" x14ac:dyDescent="0.25">
      <c r="L5" s="70">
        <v>2</v>
      </c>
    </row>
    <row r="6" spans="2:12" ht="15.75" thickBot="1" x14ac:dyDescent="0.3">
      <c r="B6" s="17" t="s">
        <v>52</v>
      </c>
      <c r="F6" s="159" t="s">
        <v>117</v>
      </c>
      <c r="G6" s="159"/>
      <c r="H6" s="159"/>
      <c r="I6" s="159"/>
      <c r="J6" s="159"/>
      <c r="L6" s="70">
        <v>3</v>
      </c>
    </row>
    <row r="7" spans="2:12" x14ac:dyDescent="0.25">
      <c r="C7" s="78" t="s">
        <v>54</v>
      </c>
      <c r="D7" s="78" t="s">
        <v>55</v>
      </c>
      <c r="E7" s="124"/>
      <c r="F7" s="125" t="s">
        <v>146</v>
      </c>
      <c r="G7" s="125" t="s">
        <v>147</v>
      </c>
      <c r="H7" s="125" t="s">
        <v>148</v>
      </c>
      <c r="I7" s="125" t="s">
        <v>149</v>
      </c>
      <c r="J7" s="126" t="s">
        <v>150</v>
      </c>
      <c r="L7" s="70">
        <v>4</v>
      </c>
    </row>
    <row r="8" spans="2:12" x14ac:dyDescent="0.25">
      <c r="B8" s="49" t="s">
        <v>53</v>
      </c>
      <c r="C8" s="54">
        <v>4</v>
      </c>
      <c r="D8" s="135">
        <f>('1'!B33/12)*C8</f>
        <v>6941983333.333333</v>
      </c>
      <c r="E8" s="127" t="s">
        <v>84</v>
      </c>
      <c r="F8" s="140"/>
      <c r="G8" s="140"/>
      <c r="H8" s="140"/>
      <c r="I8" s="140"/>
      <c r="J8" s="141">
        <f>D16</f>
        <v>7253164000</v>
      </c>
      <c r="L8" s="70">
        <v>5</v>
      </c>
    </row>
    <row r="9" spans="2:12" x14ac:dyDescent="0.25">
      <c r="B9" s="49" t="s">
        <v>57</v>
      </c>
      <c r="C9" s="54">
        <v>4</v>
      </c>
      <c r="D9" s="135">
        <f>('2'!C23/12)*C9</f>
        <v>153394666.66666666</v>
      </c>
      <c r="E9" s="127">
        <f>'1'!B31</f>
        <v>2021</v>
      </c>
      <c r="F9" s="142">
        <f t="shared" ref="F9:F13" si="0">IF(J8&gt;0,J8,0)</f>
        <v>7253164000</v>
      </c>
      <c r="G9" s="142">
        <f>F9*$F$4</f>
        <v>1014717643.6</v>
      </c>
      <c r="H9" s="142">
        <f>IF(J8&lt;1,0,(I9-G9))</f>
        <v>1097501940.0565915</v>
      </c>
      <c r="I9" s="142">
        <f>PMT(F4,J4,J8)*-1</f>
        <v>2112219583.6565914</v>
      </c>
      <c r="J9" s="143">
        <f>F9-H9</f>
        <v>6155662059.943409</v>
      </c>
    </row>
    <row r="10" spans="2:12" x14ac:dyDescent="0.25">
      <c r="B10" s="49" t="s">
        <v>58</v>
      </c>
      <c r="C10" s="54">
        <v>4</v>
      </c>
      <c r="D10" s="135">
        <f>('2'!C25/12)*C10</f>
        <v>60000000</v>
      </c>
      <c r="E10" s="127">
        <f>'1'!C31</f>
        <v>2022</v>
      </c>
      <c r="F10" s="142">
        <f t="shared" si="0"/>
        <v>6155662059.943409</v>
      </c>
      <c r="G10" s="142">
        <f t="shared" ref="G10:G13" si="1">F10*$F$4</f>
        <v>861177122.18608284</v>
      </c>
      <c r="H10" s="142">
        <f t="shared" ref="H10:H13" si="2">IF(J9&lt;1,0,(I10-G10))</f>
        <v>1251042461.4705086</v>
      </c>
      <c r="I10" s="142">
        <f>IF(J9&lt;1,0,(I9*(1+$K$7)))</f>
        <v>2112219583.6565914</v>
      </c>
      <c r="J10" s="143">
        <f t="shared" ref="J10:J13" si="3">F10-H10</f>
        <v>4904619598.4729004</v>
      </c>
    </row>
    <row r="11" spans="2:12" x14ac:dyDescent="0.25">
      <c r="B11" s="49" t="s">
        <v>33</v>
      </c>
      <c r="C11" s="54">
        <v>4</v>
      </c>
      <c r="D11" s="135">
        <f>('2'!F31/12)*C11</f>
        <v>29080000</v>
      </c>
      <c r="E11" s="127">
        <f>'1'!D31</f>
        <v>2023</v>
      </c>
      <c r="F11" s="142">
        <f t="shared" si="0"/>
        <v>4904619598.4729004</v>
      </c>
      <c r="G11" s="142">
        <f t="shared" si="1"/>
        <v>686156281.8263588</v>
      </c>
      <c r="H11" s="142">
        <f t="shared" si="2"/>
        <v>1426063301.8302326</v>
      </c>
      <c r="I11" s="142">
        <f t="shared" ref="I11:I13" si="4">IF(J10&lt;1,0,(I10*(1+$K$7)))</f>
        <v>2112219583.6565914</v>
      </c>
      <c r="J11" s="143">
        <f t="shared" si="3"/>
        <v>3478556296.6426678</v>
      </c>
    </row>
    <row r="12" spans="2:12" ht="15.75" x14ac:dyDescent="0.25">
      <c r="B12" s="79" t="s">
        <v>8</v>
      </c>
      <c r="C12" s="57"/>
      <c r="D12" s="136">
        <f>SUM(D8:D11)</f>
        <v>7184458000</v>
      </c>
      <c r="E12" s="127">
        <f>'1'!E31</f>
        <v>2024</v>
      </c>
      <c r="F12" s="142">
        <f t="shared" si="0"/>
        <v>3478556296.6426678</v>
      </c>
      <c r="G12" s="142">
        <f t="shared" si="1"/>
        <v>486650025.90030921</v>
      </c>
      <c r="H12" s="142">
        <f t="shared" si="2"/>
        <v>1625569557.7562823</v>
      </c>
      <c r="I12" s="142">
        <f t="shared" si="4"/>
        <v>2112219583.6565914</v>
      </c>
      <c r="J12" s="143">
        <f t="shared" si="3"/>
        <v>1852986738.8863854</v>
      </c>
    </row>
    <row r="13" spans="2:12" ht="15.75" thickBot="1" x14ac:dyDescent="0.3">
      <c r="D13" s="135"/>
      <c r="E13" s="128">
        <f>'1'!F31</f>
        <v>2025</v>
      </c>
      <c r="F13" s="144">
        <f t="shared" si="0"/>
        <v>1852986738.8863854</v>
      </c>
      <c r="G13" s="144">
        <f t="shared" si="1"/>
        <v>259232844.77020532</v>
      </c>
      <c r="H13" s="144">
        <f t="shared" si="2"/>
        <v>1852986738.8863862</v>
      </c>
      <c r="I13" s="144">
        <f t="shared" si="4"/>
        <v>2112219583.6565914</v>
      </c>
      <c r="J13" s="145">
        <f t="shared" si="3"/>
        <v>0</v>
      </c>
    </row>
    <row r="14" spans="2:12" ht="15.75" x14ac:dyDescent="0.25">
      <c r="B14" s="49" t="s">
        <v>59</v>
      </c>
      <c r="D14" s="137">
        <f>C4+D12</f>
        <v>7453164000</v>
      </c>
    </row>
    <row r="15" spans="2:12" x14ac:dyDescent="0.25">
      <c r="B15" s="49" t="s">
        <v>60</v>
      </c>
      <c r="D15" s="138">
        <v>200000000</v>
      </c>
    </row>
    <row r="16" spans="2:12" ht="15.75" x14ac:dyDescent="0.25">
      <c r="B16" s="49" t="s">
        <v>61</v>
      </c>
      <c r="D16" s="139">
        <f>D14-D15</f>
        <v>7253164000</v>
      </c>
    </row>
  </sheetData>
  <sheetProtection algorithmName="SHA-512" hashValue="h4hbO/Lm1a/krC1uY5/Jxn0ddFP3CrI2rF7rNGe2tyQ42CpRZSuibpChruvuXL6oQqVp60jLs9bRa1CwcF5rpA==" saltValue="guSr1VTCKV96zvbSpwtkkA==" spinCount="100000" sheet="1" objects="1" scenarios="1" formatCells="0" formatColumns="0" formatRows="0"/>
  <mergeCells count="4">
    <mergeCell ref="F6:J6"/>
    <mergeCell ref="F3:G3"/>
    <mergeCell ref="F4:G4"/>
    <mergeCell ref="B2:J2"/>
  </mergeCells>
  <dataValidations count="1">
    <dataValidation type="list" allowBlank="1" showInputMessage="1" showErrorMessage="1" sqref="L4 J4" xr:uid="{00000000-0002-0000-0300-000000000000}">
      <formula1>$L$4:$L$8</formula1>
    </dataValidation>
  </dataValidations>
  <pageMargins left="0.7" right="0.7" top="0.75" bottom="0.75" header="0.3" footer="0.3"/>
  <pageSetup paperSize="9"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0"/>
  <sheetViews>
    <sheetView showGridLines="0" zoomScale="90" zoomScaleNormal="90" workbookViewId="0">
      <pane xSplit="7" ySplit="1" topLeftCell="H2" activePane="bottomRight" state="frozenSplit"/>
      <selection pane="topRight" activeCell="E1" sqref="E1"/>
      <selection pane="bottomLeft" activeCell="A12" sqref="A12"/>
      <selection pane="bottomRight" activeCell="J16" sqref="J16"/>
    </sheetView>
  </sheetViews>
  <sheetFormatPr baseColWidth="10" defaultRowHeight="15" x14ac:dyDescent="0.25"/>
  <cols>
    <col min="1" max="1" width="26.7109375" style="15" customWidth="1"/>
    <col min="2" max="2" width="25.85546875" style="15" bestFit="1" customWidth="1"/>
    <col min="3" max="6" width="20.42578125" style="15" bestFit="1" customWidth="1"/>
    <col min="7" max="7" width="22" style="15" bestFit="1" customWidth="1"/>
    <col min="8" max="16384" width="11.42578125" style="15"/>
  </cols>
  <sheetData>
    <row r="1" spans="1:7" ht="34.5" customHeight="1" x14ac:dyDescent="0.25">
      <c r="A1" s="162" t="s">
        <v>118</v>
      </c>
      <c r="B1" s="162"/>
      <c r="C1" s="162"/>
      <c r="D1" s="162"/>
      <c r="E1" s="162"/>
      <c r="F1" s="162"/>
      <c r="G1" s="162"/>
    </row>
    <row r="2" spans="1:7" ht="23.25" x14ac:dyDescent="0.25">
      <c r="A2" s="163" t="s">
        <v>133</v>
      </c>
      <c r="B2" s="163"/>
      <c r="C2" s="163"/>
      <c r="D2" s="163"/>
      <c r="E2" s="163"/>
      <c r="F2" s="163"/>
      <c r="G2" s="163"/>
    </row>
    <row r="3" spans="1:7" ht="8.25" customHeight="1" x14ac:dyDescent="0.25">
      <c r="A3" s="55"/>
      <c r="B3" s="55"/>
      <c r="C3" s="55"/>
      <c r="D3" s="55"/>
      <c r="E3" s="55"/>
      <c r="F3" s="55"/>
      <c r="G3" s="55"/>
    </row>
    <row r="4" spans="1:7" ht="15.75" x14ac:dyDescent="0.25">
      <c r="A4" s="164" t="s">
        <v>89</v>
      </c>
      <c r="B4" s="164"/>
      <c r="C4" s="164"/>
      <c r="D4" s="164"/>
      <c r="E4" s="164"/>
      <c r="F4" s="164"/>
      <c r="G4" s="164"/>
    </row>
    <row r="5" spans="1:7" ht="23.25" x14ac:dyDescent="0.25">
      <c r="C5" s="59">
        <f>'1'!B31</f>
        <v>2021</v>
      </c>
      <c r="D5" s="59">
        <f>'1'!C31</f>
        <v>2022</v>
      </c>
      <c r="E5" s="59">
        <f>'1'!D31</f>
        <v>2023</v>
      </c>
      <c r="F5" s="59">
        <f>'1'!E31</f>
        <v>2024</v>
      </c>
      <c r="G5" s="59">
        <f>'1'!F31</f>
        <v>2025</v>
      </c>
    </row>
    <row r="6" spans="1:7" x14ac:dyDescent="0.25">
      <c r="B6" s="15" t="s">
        <v>31</v>
      </c>
      <c r="C6" s="60">
        <f>'1'!B32</f>
        <v>25397500000</v>
      </c>
      <c r="D6" s="60">
        <f>'1'!C32</f>
        <v>33908202250</v>
      </c>
      <c r="E6" s="60">
        <f>'1'!D32</f>
        <v>48658270228.749992</v>
      </c>
      <c r="F6" s="60">
        <f>'1'!E32</f>
        <v>74739103071.359985</v>
      </c>
      <c r="G6" s="60">
        <f>'1'!F32</f>
        <v>122213381342.28784</v>
      </c>
    </row>
    <row r="7" spans="1:7" x14ac:dyDescent="0.25">
      <c r="B7" s="15" t="s">
        <v>66</v>
      </c>
      <c r="C7" s="60">
        <f>'1'!B33</f>
        <v>20825950000</v>
      </c>
      <c r="D7" s="60">
        <f>'1'!C33</f>
        <v>28500520834.499996</v>
      </c>
      <c r="E7" s="60">
        <f>'1'!D33</f>
        <v>41863845043.380341</v>
      </c>
      <c r="F7" s="60">
        <f>'1'!E33</f>
        <v>65665534142.794235</v>
      </c>
      <c r="G7" s="60">
        <f>'1'!F33</f>
        <v>109498591493.79224</v>
      </c>
    </row>
    <row r="8" spans="1:7" ht="15.75" thickBot="1" x14ac:dyDescent="0.3">
      <c r="B8" s="61" t="s">
        <v>67</v>
      </c>
      <c r="C8" s="62">
        <f>C6-C7</f>
        <v>4571550000</v>
      </c>
      <c r="D8" s="62">
        <f t="shared" ref="D8:G8" si="0">D6-D7</f>
        <v>5407681415.5000038</v>
      </c>
      <c r="E8" s="62">
        <f t="shared" si="0"/>
        <v>6794425185.3696518</v>
      </c>
      <c r="F8" s="62">
        <f t="shared" si="0"/>
        <v>9073568928.5657501</v>
      </c>
      <c r="G8" s="62">
        <f t="shared" si="0"/>
        <v>12714789848.495605</v>
      </c>
    </row>
    <row r="9" spans="1:7" ht="15.75" thickTop="1" x14ac:dyDescent="0.25">
      <c r="B9" s="15" t="s">
        <v>68</v>
      </c>
      <c r="C9" s="60">
        <f>'2'!C23</f>
        <v>460184000</v>
      </c>
      <c r="D9" s="60">
        <f>C9*(1+'1'!Z4)</f>
        <v>472608967.99999994</v>
      </c>
      <c r="E9" s="60">
        <f>D9*(1+'1'!AA4)</f>
        <v>484424192.19999987</v>
      </c>
      <c r="F9" s="60">
        <f>E9*(1+'1'!AB4)</f>
        <v>496050372.81279987</v>
      </c>
      <c r="G9" s="60">
        <f>F9*(1+'1'!AC4)</f>
        <v>506963481.01468146</v>
      </c>
    </row>
    <row r="10" spans="1:7" x14ac:dyDescent="0.25">
      <c r="B10" s="15" t="s">
        <v>135</v>
      </c>
      <c r="C10" s="60">
        <f>'2'!F31</f>
        <v>87240000</v>
      </c>
      <c r="D10" s="60">
        <f>C10*(1+'1'!Z4)</f>
        <v>89595479.999999985</v>
      </c>
      <c r="E10" s="60">
        <f>D10*(1+'1'!AA4)</f>
        <v>91835366.99999997</v>
      </c>
      <c r="F10" s="60">
        <f>E10*(1+'1'!AB4)</f>
        <v>94039415.807999969</v>
      </c>
      <c r="G10" s="60">
        <f>F10*(1+'1'!AC4)</f>
        <v>96108282.955775976</v>
      </c>
    </row>
    <row r="11" spans="1:7" x14ac:dyDescent="0.25">
      <c r="B11" s="15" t="s">
        <v>69</v>
      </c>
      <c r="C11" s="60">
        <f>'2'!C25</f>
        <v>180000000</v>
      </c>
      <c r="D11" s="60">
        <f>'2'!C28</f>
        <v>240000000</v>
      </c>
      <c r="E11" s="60">
        <f>'2'!C29</f>
        <v>300000000</v>
      </c>
      <c r="F11" s="60">
        <f>'2'!C30</f>
        <v>300000000</v>
      </c>
      <c r="G11" s="60">
        <f>'2'!C31</f>
        <v>300000000</v>
      </c>
    </row>
    <row r="12" spans="1:7" x14ac:dyDescent="0.25">
      <c r="B12" s="15" t="s">
        <v>86</v>
      </c>
      <c r="C12" s="60">
        <f>'2'!G12</f>
        <v>53741200</v>
      </c>
      <c r="D12" s="60">
        <f>C12</f>
        <v>53741200</v>
      </c>
      <c r="E12" s="60">
        <f t="shared" ref="E12:G12" si="1">D12</f>
        <v>53741200</v>
      </c>
      <c r="F12" s="60">
        <f t="shared" si="1"/>
        <v>53741200</v>
      </c>
      <c r="G12" s="60">
        <f t="shared" si="1"/>
        <v>53741200</v>
      </c>
    </row>
    <row r="13" spans="1:7" ht="15.75" thickBot="1" x14ac:dyDescent="0.3">
      <c r="B13" s="61" t="s">
        <v>70</v>
      </c>
      <c r="C13" s="63">
        <f>C8-C9-C10-C11-C12</f>
        <v>3790384800</v>
      </c>
      <c r="D13" s="63">
        <f t="shared" ref="D13:G13" si="2">D8-D9-D10-D11-D12</f>
        <v>4551735767.5000038</v>
      </c>
      <c r="E13" s="63">
        <f t="shared" si="2"/>
        <v>5864424426.169652</v>
      </c>
      <c r="F13" s="63">
        <f t="shared" si="2"/>
        <v>8129737939.9449511</v>
      </c>
      <c r="G13" s="63">
        <f t="shared" si="2"/>
        <v>11757976884.525148</v>
      </c>
    </row>
    <row r="14" spans="1:7" ht="15.75" thickTop="1" x14ac:dyDescent="0.25">
      <c r="B14" s="15" t="s">
        <v>71</v>
      </c>
      <c r="C14" s="60">
        <f>'3'!G9</f>
        <v>1014717643.6</v>
      </c>
      <c r="D14" s="60">
        <f>'3'!G10</f>
        <v>861177122.18608284</v>
      </c>
      <c r="E14" s="60">
        <f>'3'!G11</f>
        <v>686156281.8263588</v>
      </c>
      <c r="F14" s="60">
        <f>'3'!G12</f>
        <v>486650025.90030921</v>
      </c>
      <c r="G14" s="60">
        <f>'3'!G13</f>
        <v>259232844.77020532</v>
      </c>
    </row>
    <row r="15" spans="1:7" ht="15.75" thickBot="1" x14ac:dyDescent="0.3">
      <c r="B15" s="61" t="s">
        <v>72</v>
      </c>
      <c r="C15" s="63">
        <f>C13-C14</f>
        <v>2775667156.4000001</v>
      </c>
      <c r="D15" s="63">
        <f t="shared" ref="D15:G15" si="3">D13-D14</f>
        <v>3690558645.313921</v>
      </c>
      <c r="E15" s="63">
        <f t="shared" si="3"/>
        <v>5178268144.3432932</v>
      </c>
      <c r="F15" s="63">
        <f t="shared" si="3"/>
        <v>7643087914.0446415</v>
      </c>
      <c r="G15" s="63">
        <f t="shared" si="3"/>
        <v>11498744039.754944</v>
      </c>
    </row>
    <row r="16" spans="1:7" ht="15.75" thickTop="1" x14ac:dyDescent="0.25">
      <c r="B16" s="15" t="s">
        <v>73</v>
      </c>
      <c r="C16" s="64">
        <f>IF(C15*'1'!$AB$7&lt;0,0,C15*'1'!$AB$7)</f>
        <v>915970161.61200011</v>
      </c>
      <c r="D16" s="64">
        <f>IF(D15*'1'!$AB$7&lt;0,0,D15*'1'!$AB$7)</f>
        <v>1217884352.953594</v>
      </c>
      <c r="E16" s="64">
        <f>IF(E15*'1'!$AB$7&lt;0,0,E15*'1'!$AB$7)</f>
        <v>1708828487.6332867</v>
      </c>
      <c r="F16" s="64">
        <f>IF(F15*'1'!$AB$7&lt;0,0,F15*'1'!$AB$7)</f>
        <v>2522219011.6347318</v>
      </c>
      <c r="G16" s="64">
        <f>IF(G15*'1'!$AB$7&lt;0,0,G15*'1'!$AB$7)</f>
        <v>3794585533.1191316</v>
      </c>
    </row>
    <row r="17" spans="1:8" ht="15.75" thickBot="1" x14ac:dyDescent="0.3">
      <c r="B17" s="65" t="s">
        <v>74</v>
      </c>
      <c r="C17" s="66">
        <f>C15-C16</f>
        <v>1859696994.7880001</v>
      </c>
      <c r="D17" s="66">
        <f t="shared" ref="D17:G17" si="4">D15-D16</f>
        <v>2472674292.3603268</v>
      </c>
      <c r="E17" s="66">
        <f t="shared" si="4"/>
        <v>3469439656.7100067</v>
      </c>
      <c r="F17" s="66">
        <f t="shared" si="4"/>
        <v>5120868902.4099102</v>
      </c>
      <c r="G17" s="66">
        <f t="shared" si="4"/>
        <v>7704158506.6358128</v>
      </c>
    </row>
    <row r="19" spans="1:8" ht="15.75" x14ac:dyDescent="0.25">
      <c r="A19" s="164" t="s">
        <v>64</v>
      </c>
      <c r="B19" s="164"/>
      <c r="C19" s="164"/>
      <c r="D19" s="164"/>
      <c r="E19" s="164"/>
      <c r="F19" s="164"/>
      <c r="G19" s="164"/>
    </row>
    <row r="20" spans="1:8" ht="23.25" x14ac:dyDescent="0.25">
      <c r="B20" s="67" t="s">
        <v>84</v>
      </c>
      <c r="C20" s="59">
        <f>C5</f>
        <v>2021</v>
      </c>
      <c r="D20" s="59">
        <f>D5</f>
        <v>2022</v>
      </c>
      <c r="E20" s="59">
        <f>E5</f>
        <v>2023</v>
      </c>
      <c r="F20" s="59">
        <f>F5</f>
        <v>2024</v>
      </c>
      <c r="G20" s="59">
        <f>G5</f>
        <v>2025</v>
      </c>
    </row>
    <row r="21" spans="1:8" x14ac:dyDescent="0.25">
      <c r="A21" s="165" t="s">
        <v>65</v>
      </c>
      <c r="B21" s="165"/>
      <c r="C21" s="165"/>
      <c r="D21" s="165"/>
      <c r="E21" s="165"/>
      <c r="F21" s="165"/>
      <c r="G21" s="165"/>
    </row>
    <row r="22" spans="1:8" x14ac:dyDescent="0.25">
      <c r="A22" s="15" t="s">
        <v>95</v>
      </c>
      <c r="B22" s="27">
        <f>B38-B26</f>
        <v>7184458000</v>
      </c>
      <c r="C22" s="27">
        <f t="shared" ref="C22:G22" si="5">C38-C26</f>
        <v>8916364416.3434105</v>
      </c>
      <c r="D22" s="27">
        <f t="shared" si="5"/>
        <v>8633954643.7868214</v>
      </c>
      <c r="E22" s="27">
        <f t="shared" si="5"/>
        <v>8749342040.9859619</v>
      </c>
      <c r="F22" s="27">
        <f t="shared" si="5"/>
        <v>9642333452.9310265</v>
      </c>
      <c r="G22" s="27">
        <f t="shared" si="5"/>
        <v>11698744039.754944</v>
      </c>
    </row>
    <row r="23" spans="1:8" x14ac:dyDescent="0.25">
      <c r="A23" s="15" t="s">
        <v>93</v>
      </c>
      <c r="B23" s="27">
        <f>'2'!C4</f>
        <v>0</v>
      </c>
      <c r="C23" s="27">
        <f>B23</f>
        <v>0</v>
      </c>
      <c r="D23" s="27">
        <f t="shared" ref="D23:G23" si="6">C23</f>
        <v>0</v>
      </c>
      <c r="E23" s="27">
        <f t="shared" si="6"/>
        <v>0</v>
      </c>
      <c r="F23" s="27">
        <f t="shared" si="6"/>
        <v>0</v>
      </c>
      <c r="G23" s="27">
        <f t="shared" si="6"/>
        <v>0</v>
      </c>
      <c r="H23" s="27"/>
    </row>
    <row r="24" spans="1:8" x14ac:dyDescent="0.25">
      <c r="A24" s="15" t="s">
        <v>94</v>
      </c>
      <c r="B24" s="27">
        <f>'2'!C12-'2'!C4</f>
        <v>268706000</v>
      </c>
      <c r="C24" s="27">
        <f>B24</f>
        <v>268706000</v>
      </c>
      <c r="D24" s="27">
        <f t="shared" ref="D24:G24" si="7">C24</f>
        <v>268706000</v>
      </c>
      <c r="E24" s="27">
        <f t="shared" si="7"/>
        <v>268706000</v>
      </c>
      <c r="F24" s="27">
        <f t="shared" si="7"/>
        <v>268706000</v>
      </c>
      <c r="G24" s="27">
        <f t="shared" si="7"/>
        <v>268706000</v>
      </c>
      <c r="H24" s="27"/>
    </row>
    <row r="25" spans="1:8" x14ac:dyDescent="0.25">
      <c r="A25" s="15" t="s">
        <v>87</v>
      </c>
      <c r="B25" s="27">
        <v>0</v>
      </c>
      <c r="C25" s="27">
        <f>C12</f>
        <v>53741200</v>
      </c>
      <c r="D25" s="27">
        <f>D12+C12</f>
        <v>107482400</v>
      </c>
      <c r="E25" s="27">
        <f>E12+D12+C12</f>
        <v>161223600</v>
      </c>
      <c r="F25" s="27">
        <f>F12+E12+D12+C12</f>
        <v>214964800</v>
      </c>
      <c r="G25" s="27">
        <f>F25+G12</f>
        <v>268706000</v>
      </c>
      <c r="H25" s="27"/>
    </row>
    <row r="26" spans="1:8" x14ac:dyDescent="0.25">
      <c r="A26" s="15" t="s">
        <v>88</v>
      </c>
      <c r="B26" s="27">
        <f>B23+(B24-B25)</f>
        <v>268706000</v>
      </c>
      <c r="C26" s="27">
        <f>C23+(C24-C25)</f>
        <v>214964800</v>
      </c>
      <c r="D26" s="27">
        <f t="shared" ref="D26:G26" si="8">D23+(D24-D25)</f>
        <v>161223600</v>
      </c>
      <c r="E26" s="27">
        <f t="shared" si="8"/>
        <v>107482400</v>
      </c>
      <c r="F26" s="27">
        <f t="shared" si="8"/>
        <v>53741200</v>
      </c>
      <c r="G26" s="27">
        <f t="shared" si="8"/>
        <v>0</v>
      </c>
      <c r="H26" s="27"/>
    </row>
    <row r="27" spans="1:8" ht="15.75" thickBot="1" x14ac:dyDescent="0.3">
      <c r="A27" s="61" t="s">
        <v>85</v>
      </c>
      <c r="B27" s="68">
        <f>B22+B26</f>
        <v>7453164000</v>
      </c>
      <c r="C27" s="68">
        <f t="shared" ref="C27:G27" si="9">C22+C26</f>
        <v>9131329216.3434105</v>
      </c>
      <c r="D27" s="68">
        <f t="shared" si="9"/>
        <v>8795178243.7868214</v>
      </c>
      <c r="E27" s="68">
        <f t="shared" si="9"/>
        <v>8856824440.9859619</v>
      </c>
      <c r="F27" s="68">
        <f t="shared" si="9"/>
        <v>9696074652.9310265</v>
      </c>
      <c r="G27" s="68">
        <f t="shared" si="9"/>
        <v>11698744039.754944</v>
      </c>
      <c r="H27" s="27"/>
    </row>
    <row r="28" spans="1:8" ht="15.75" thickTop="1" x14ac:dyDescent="0.25">
      <c r="A28" s="165" t="s">
        <v>75</v>
      </c>
      <c r="B28" s="165"/>
      <c r="C28" s="165"/>
      <c r="D28" s="165"/>
      <c r="E28" s="165"/>
      <c r="F28" s="165"/>
      <c r="G28" s="165"/>
    </row>
    <row r="29" spans="1:8" x14ac:dyDescent="0.25">
      <c r="A29" s="15" t="s">
        <v>76</v>
      </c>
      <c r="B29" s="15">
        <v>0</v>
      </c>
      <c r="C29" s="64">
        <f>C16</f>
        <v>915970161.61200011</v>
      </c>
      <c r="D29" s="64">
        <f>D16</f>
        <v>1217884352.953594</v>
      </c>
      <c r="E29" s="64">
        <f>E16</f>
        <v>1708828487.6332867</v>
      </c>
      <c r="F29" s="64">
        <f>F16</f>
        <v>2522219011.6347318</v>
      </c>
      <c r="G29" s="64">
        <f>G16</f>
        <v>3794585533.1191316</v>
      </c>
    </row>
    <row r="30" spans="1:8" x14ac:dyDescent="0.25">
      <c r="A30" s="15" t="s">
        <v>77</v>
      </c>
      <c r="B30" s="64">
        <f>B29</f>
        <v>0</v>
      </c>
      <c r="C30" s="64">
        <f t="shared" ref="C30:G30" si="10">C29</f>
        <v>915970161.61200011</v>
      </c>
      <c r="D30" s="64">
        <f t="shared" si="10"/>
        <v>1217884352.953594</v>
      </c>
      <c r="E30" s="64">
        <f t="shared" si="10"/>
        <v>1708828487.6332867</v>
      </c>
      <c r="F30" s="64">
        <f t="shared" si="10"/>
        <v>2522219011.6347318</v>
      </c>
      <c r="G30" s="64">
        <f t="shared" si="10"/>
        <v>3794585533.1191316</v>
      </c>
    </row>
    <row r="31" spans="1:8" x14ac:dyDescent="0.25">
      <c r="A31" s="15" t="s">
        <v>78</v>
      </c>
      <c r="B31" s="26">
        <f>'3'!J8</f>
        <v>7253164000</v>
      </c>
      <c r="C31" s="26">
        <f>'3'!J9</f>
        <v>6155662059.943409</v>
      </c>
      <c r="D31" s="26">
        <f>'3'!J10</f>
        <v>4904619598.4729004</v>
      </c>
      <c r="E31" s="26">
        <f>'3'!J11</f>
        <v>3478556296.6426678</v>
      </c>
      <c r="F31" s="26">
        <f>'3'!J12</f>
        <v>1852986738.8863854</v>
      </c>
      <c r="G31" s="26">
        <f>'3'!J13</f>
        <v>0</v>
      </c>
    </row>
    <row r="32" spans="1:8" ht="15.75" thickBot="1" x14ac:dyDescent="0.3">
      <c r="A32" s="61" t="s">
        <v>75</v>
      </c>
      <c r="B32" s="68">
        <f>B30+B31</f>
        <v>7253164000</v>
      </c>
      <c r="C32" s="68">
        <f t="shared" ref="C32:G32" si="11">C30+C31</f>
        <v>7071632221.5554094</v>
      </c>
      <c r="D32" s="68">
        <f t="shared" si="11"/>
        <v>6122503951.4264946</v>
      </c>
      <c r="E32" s="68">
        <f t="shared" si="11"/>
        <v>5187384784.2759542</v>
      </c>
      <c r="F32" s="68">
        <f t="shared" si="11"/>
        <v>4375205750.5211172</v>
      </c>
      <c r="G32" s="68">
        <f t="shared" si="11"/>
        <v>3794585533.1191316</v>
      </c>
    </row>
    <row r="33" spans="1:7" ht="15.75" thickTop="1" x14ac:dyDescent="0.25">
      <c r="A33" s="165" t="s">
        <v>79</v>
      </c>
      <c r="B33" s="165"/>
      <c r="C33" s="165"/>
      <c r="D33" s="165"/>
      <c r="E33" s="165"/>
      <c r="F33" s="165"/>
      <c r="G33" s="165"/>
    </row>
    <row r="34" spans="1:7" x14ac:dyDescent="0.25">
      <c r="A34" s="15" t="s">
        <v>80</v>
      </c>
      <c r="B34" s="27">
        <f>'3'!D15</f>
        <v>200000000</v>
      </c>
      <c r="C34" s="27">
        <f>B34</f>
        <v>200000000</v>
      </c>
      <c r="D34" s="27">
        <f t="shared" ref="D34:G34" si="12">C34</f>
        <v>200000000</v>
      </c>
      <c r="E34" s="27">
        <f t="shared" si="12"/>
        <v>200000000</v>
      </c>
      <c r="F34" s="27">
        <f t="shared" si="12"/>
        <v>200000000</v>
      </c>
      <c r="G34" s="27">
        <f t="shared" si="12"/>
        <v>200000000</v>
      </c>
    </row>
    <row r="35" spans="1:7" x14ac:dyDescent="0.25">
      <c r="A35" s="15" t="s">
        <v>81</v>
      </c>
      <c r="B35" s="15">
        <v>0</v>
      </c>
      <c r="C35" s="64">
        <f>C17</f>
        <v>1859696994.7880001</v>
      </c>
      <c r="D35" s="64">
        <f>D17</f>
        <v>2472674292.3603268</v>
      </c>
      <c r="E35" s="64">
        <f>E17</f>
        <v>3469439656.7100067</v>
      </c>
      <c r="F35" s="64">
        <f>F17</f>
        <v>5120868902.4099102</v>
      </c>
      <c r="G35" s="64">
        <f>G17</f>
        <v>7704158506.6358128</v>
      </c>
    </row>
    <row r="36" spans="1:7" ht="15.75" thickBot="1" x14ac:dyDescent="0.3">
      <c r="A36" s="61" t="s">
        <v>82</v>
      </c>
      <c r="B36" s="68">
        <f>B34+B35</f>
        <v>200000000</v>
      </c>
      <c r="C36" s="68">
        <f t="shared" ref="C36:G36" si="13">C34+C35</f>
        <v>2059696994.7880001</v>
      </c>
      <c r="D36" s="68">
        <f t="shared" si="13"/>
        <v>2672674292.3603268</v>
      </c>
      <c r="E36" s="68">
        <f t="shared" si="13"/>
        <v>3669439656.7100067</v>
      </c>
      <c r="F36" s="68">
        <f t="shared" si="13"/>
        <v>5320868902.4099102</v>
      </c>
      <c r="G36" s="68">
        <f t="shared" si="13"/>
        <v>7904158506.6358128</v>
      </c>
    </row>
    <row r="37" spans="1:7" ht="15.75" thickTop="1" x14ac:dyDescent="0.25"/>
    <row r="38" spans="1:7" ht="15.75" thickBot="1" x14ac:dyDescent="0.3">
      <c r="A38" s="61" t="s">
        <v>83</v>
      </c>
      <c r="B38" s="68">
        <f>B32+B36</f>
        <v>7453164000</v>
      </c>
      <c r="C38" s="68">
        <f t="shared" ref="C38:G38" si="14">C32+C36</f>
        <v>9131329216.3434105</v>
      </c>
      <c r="D38" s="68">
        <f t="shared" si="14"/>
        <v>8795178243.7868214</v>
      </c>
      <c r="E38" s="68">
        <f t="shared" si="14"/>
        <v>8856824440.9859619</v>
      </c>
      <c r="F38" s="68">
        <f t="shared" si="14"/>
        <v>9696074652.9310265</v>
      </c>
      <c r="G38" s="68">
        <f t="shared" si="14"/>
        <v>11698744039.754944</v>
      </c>
    </row>
    <row r="39" spans="1:7" ht="15.75" thickTop="1" x14ac:dyDescent="0.25">
      <c r="A39" s="57" t="s">
        <v>90</v>
      </c>
      <c r="B39" s="69">
        <f>B27-B38</f>
        <v>0</v>
      </c>
      <c r="C39" s="69">
        <f t="shared" ref="C39:G39" si="15">C27-C38</f>
        <v>0</v>
      </c>
      <c r="D39" s="69">
        <f t="shared" si="15"/>
        <v>0</v>
      </c>
      <c r="E39" s="69">
        <f t="shared" si="15"/>
        <v>0</v>
      </c>
      <c r="F39" s="69">
        <f t="shared" si="15"/>
        <v>0</v>
      </c>
      <c r="G39" s="69">
        <f t="shared" si="15"/>
        <v>0</v>
      </c>
    </row>
    <row r="41" spans="1:7" ht="15.75" x14ac:dyDescent="0.25">
      <c r="A41" s="164" t="s">
        <v>96</v>
      </c>
      <c r="B41" s="164"/>
      <c r="C41" s="164"/>
      <c r="D41" s="164"/>
      <c r="E41" s="164"/>
      <c r="F41" s="164"/>
      <c r="G41" s="164"/>
    </row>
    <row r="42" spans="1:7" x14ac:dyDescent="0.25">
      <c r="A42" s="165" t="s">
        <v>97</v>
      </c>
      <c r="B42" s="165"/>
      <c r="C42" s="165"/>
      <c r="D42" s="165"/>
      <c r="E42" s="165"/>
      <c r="F42" s="165"/>
      <c r="G42" s="165"/>
    </row>
    <row r="43" spans="1:7" ht="23.25" x14ac:dyDescent="0.25">
      <c r="A43" s="11"/>
      <c r="B43" s="67" t="s">
        <v>84</v>
      </c>
      <c r="C43" s="59">
        <f>C20</f>
        <v>2021</v>
      </c>
      <c r="D43" s="59">
        <f t="shared" ref="D43:G43" si="16">D20</f>
        <v>2022</v>
      </c>
      <c r="E43" s="59">
        <f t="shared" si="16"/>
        <v>2023</v>
      </c>
      <c r="F43" s="59">
        <f t="shared" si="16"/>
        <v>2024</v>
      </c>
      <c r="G43" s="59">
        <f t="shared" si="16"/>
        <v>2025</v>
      </c>
    </row>
    <row r="44" spans="1:7" x14ac:dyDescent="0.25">
      <c r="A44" s="1" t="s">
        <v>98</v>
      </c>
      <c r="B44" s="2">
        <f>B22</f>
        <v>7184458000</v>
      </c>
      <c r="C44" s="2">
        <f t="shared" ref="C44:G44" si="17">C22</f>
        <v>8916364416.3434105</v>
      </c>
      <c r="D44" s="2">
        <f t="shared" si="17"/>
        <v>8633954643.7868214</v>
      </c>
      <c r="E44" s="2">
        <f t="shared" si="17"/>
        <v>8749342040.9859619</v>
      </c>
      <c r="F44" s="2">
        <f t="shared" si="17"/>
        <v>9642333452.9310265</v>
      </c>
      <c r="G44" s="2">
        <f t="shared" si="17"/>
        <v>11698744039.754944</v>
      </c>
    </row>
    <row r="45" spans="1:7" ht="15.75" thickBot="1" x14ac:dyDescent="0.3">
      <c r="A45" s="1" t="s">
        <v>99</v>
      </c>
      <c r="B45" s="3">
        <f>B29</f>
        <v>0</v>
      </c>
      <c r="C45" s="3">
        <f t="shared" ref="C45:G45" si="18">C29</f>
        <v>915970161.61200011</v>
      </c>
      <c r="D45" s="3">
        <f t="shared" si="18"/>
        <v>1217884352.953594</v>
      </c>
      <c r="E45" s="3">
        <f t="shared" si="18"/>
        <v>1708828487.6332867</v>
      </c>
      <c r="F45" s="3">
        <f t="shared" si="18"/>
        <v>2522219011.6347318</v>
      </c>
      <c r="G45" s="3">
        <f t="shared" si="18"/>
        <v>3794585533.1191316</v>
      </c>
    </row>
    <row r="46" spans="1:7" ht="15.75" thickTop="1" x14ac:dyDescent="0.25">
      <c r="A46" s="4" t="s">
        <v>100</v>
      </c>
      <c r="B46" s="5">
        <f t="shared" ref="B46:G46" si="19">B44-B45</f>
        <v>7184458000</v>
      </c>
      <c r="C46" s="5">
        <f t="shared" si="19"/>
        <v>8000394254.73141</v>
      </c>
      <c r="D46" s="5">
        <f t="shared" si="19"/>
        <v>7416070290.8332272</v>
      </c>
      <c r="E46" s="5">
        <f t="shared" si="19"/>
        <v>7040513553.3526754</v>
      </c>
      <c r="F46" s="5">
        <f t="shared" si="19"/>
        <v>7120114441.2962952</v>
      </c>
      <c r="G46" s="5">
        <f t="shared" si="19"/>
        <v>7904158506.6358128</v>
      </c>
    </row>
    <row r="47" spans="1:7" x14ac:dyDescent="0.25">
      <c r="A47" s="1"/>
      <c r="B47" s="2"/>
      <c r="C47" s="2"/>
      <c r="D47" s="2"/>
      <c r="E47" s="2"/>
      <c r="F47" s="2"/>
      <c r="G47" s="2"/>
    </row>
    <row r="48" spans="1:7" x14ac:dyDescent="0.25">
      <c r="A48" s="4" t="s">
        <v>101</v>
      </c>
      <c r="B48" s="2">
        <f>B26</f>
        <v>268706000</v>
      </c>
      <c r="C48" s="2">
        <f t="shared" ref="C48:G48" si="20">C26</f>
        <v>214964800</v>
      </c>
      <c r="D48" s="2">
        <f t="shared" si="20"/>
        <v>161223600</v>
      </c>
      <c r="E48" s="2">
        <f t="shared" si="20"/>
        <v>107482400</v>
      </c>
      <c r="F48" s="2">
        <f t="shared" si="20"/>
        <v>53741200</v>
      </c>
      <c r="G48" s="2">
        <f t="shared" si="20"/>
        <v>0</v>
      </c>
    </row>
    <row r="49" spans="1:7" ht="15.75" thickBot="1" x14ac:dyDescent="0.3">
      <c r="A49" s="1" t="s">
        <v>102</v>
      </c>
      <c r="B49" s="3">
        <f>B25</f>
        <v>0</v>
      </c>
      <c r="C49" s="3">
        <f t="shared" ref="C49:G49" si="21">C25</f>
        <v>53741200</v>
      </c>
      <c r="D49" s="3">
        <f t="shared" si="21"/>
        <v>107482400</v>
      </c>
      <c r="E49" s="3">
        <f t="shared" si="21"/>
        <v>161223600</v>
      </c>
      <c r="F49" s="3">
        <f t="shared" si="21"/>
        <v>214964800</v>
      </c>
      <c r="G49" s="3">
        <f t="shared" si="21"/>
        <v>268706000</v>
      </c>
    </row>
    <row r="50" spans="1:7" ht="15.75" thickTop="1" x14ac:dyDescent="0.25">
      <c r="A50" s="4" t="s">
        <v>103</v>
      </c>
      <c r="B50" s="5">
        <f t="shared" ref="B50:G50" si="22">B48+B49</f>
        <v>268706000</v>
      </c>
      <c r="C50" s="5">
        <f t="shared" si="22"/>
        <v>268706000</v>
      </c>
      <c r="D50" s="5">
        <f t="shared" si="22"/>
        <v>268706000</v>
      </c>
      <c r="E50" s="5">
        <f t="shared" si="22"/>
        <v>268706000</v>
      </c>
      <c r="F50" s="5">
        <f t="shared" si="22"/>
        <v>268706000</v>
      </c>
      <c r="G50" s="5">
        <f t="shared" si="22"/>
        <v>268706000</v>
      </c>
    </row>
    <row r="51" spans="1:7" x14ac:dyDescent="0.25">
      <c r="A51" s="1"/>
      <c r="B51" s="2"/>
      <c r="C51" s="2"/>
      <c r="D51" s="2"/>
      <c r="E51" s="2"/>
      <c r="F51" s="2"/>
      <c r="G51" s="2"/>
    </row>
    <row r="52" spans="1:7" ht="15.75" thickBot="1" x14ac:dyDescent="0.3">
      <c r="A52" s="12" t="s">
        <v>104</v>
      </c>
      <c r="B52" s="6">
        <f t="shared" ref="B52:G52" si="23">B46+B48</f>
        <v>7453164000</v>
      </c>
      <c r="C52" s="6">
        <f t="shared" si="23"/>
        <v>8215359054.73141</v>
      </c>
      <c r="D52" s="6">
        <f t="shared" si="23"/>
        <v>7577293890.8332272</v>
      </c>
      <c r="E52" s="6">
        <f t="shared" si="23"/>
        <v>7147995953.3526754</v>
      </c>
      <c r="F52" s="6">
        <f t="shared" si="23"/>
        <v>7173855641.2962952</v>
      </c>
      <c r="G52" s="6">
        <f t="shared" si="23"/>
        <v>7904158506.6358128</v>
      </c>
    </row>
    <row r="53" spans="1:7" ht="15.75" thickTop="1" x14ac:dyDescent="0.25">
      <c r="A53" s="7"/>
      <c r="B53" s="2"/>
      <c r="C53" s="2"/>
      <c r="D53" s="2"/>
      <c r="E53" s="2"/>
      <c r="F53" s="2"/>
      <c r="G53" s="2"/>
    </row>
    <row r="54" spans="1:7" x14ac:dyDescent="0.25">
      <c r="A54" s="166" t="s">
        <v>105</v>
      </c>
      <c r="B54" s="166"/>
      <c r="C54" s="166"/>
      <c r="D54" s="166"/>
      <c r="E54" s="166"/>
      <c r="F54" s="166"/>
      <c r="G54" s="166"/>
    </row>
    <row r="55" spans="1:7" x14ac:dyDescent="0.25">
      <c r="A55" s="1" t="s">
        <v>106</v>
      </c>
      <c r="B55" s="8"/>
      <c r="C55" s="9">
        <f>C13</f>
        <v>3790384800</v>
      </c>
      <c r="D55" s="9">
        <f t="shared" ref="D55:G55" si="24">D13</f>
        <v>4551735767.5000038</v>
      </c>
      <c r="E55" s="9">
        <f t="shared" si="24"/>
        <v>5864424426.169652</v>
      </c>
      <c r="F55" s="9">
        <f t="shared" si="24"/>
        <v>8129737939.9449511</v>
      </c>
      <c r="G55" s="9">
        <f t="shared" si="24"/>
        <v>11757976884.525148</v>
      </c>
    </row>
    <row r="56" spans="1:7" ht="15.75" thickBot="1" x14ac:dyDescent="0.3">
      <c r="A56" s="1" t="s">
        <v>107</v>
      </c>
      <c r="B56" s="8"/>
      <c r="C56" s="10">
        <f>C55*'1'!$AB$7</f>
        <v>1250826984</v>
      </c>
      <c r="D56" s="10">
        <f>D55*'1'!$AB$7</f>
        <v>1502072803.2750013</v>
      </c>
      <c r="E56" s="10">
        <f>E55*'1'!$AB$7</f>
        <v>1935260060.6359851</v>
      </c>
      <c r="F56" s="10">
        <f>F55*'1'!$AB$7</f>
        <v>2682813520.1818337</v>
      </c>
      <c r="G56" s="10">
        <f>G55*'1'!$AB$7</f>
        <v>3880132371.8932991</v>
      </c>
    </row>
    <row r="57" spans="1:7" ht="15.75" thickTop="1" x14ac:dyDescent="0.25">
      <c r="A57" s="4" t="s">
        <v>108</v>
      </c>
      <c r="B57" s="8"/>
      <c r="C57" s="9">
        <f>C55-C56</f>
        <v>2539557816</v>
      </c>
      <c r="D57" s="9">
        <f>D55-D56</f>
        <v>3049662964.2250023</v>
      </c>
      <c r="E57" s="9">
        <f>E55-E56</f>
        <v>3929164365.5336666</v>
      </c>
      <c r="F57" s="9">
        <f>F55-F56</f>
        <v>5446924419.7631168</v>
      </c>
      <c r="G57" s="9">
        <f>G55-G56</f>
        <v>7877844512.6318493</v>
      </c>
    </row>
    <row r="58" spans="1:7" ht="15.75" thickBot="1" x14ac:dyDescent="0.3">
      <c r="A58" s="1" t="s">
        <v>109</v>
      </c>
      <c r="B58" s="8"/>
      <c r="C58" s="10">
        <f>C52-B52</f>
        <v>762195054.73141003</v>
      </c>
      <c r="D58" s="10">
        <f>D52-C52</f>
        <v>-638065163.89818287</v>
      </c>
      <c r="E58" s="10">
        <f>E52-D52</f>
        <v>-429297937.48055172</v>
      </c>
      <c r="F58" s="10">
        <f>F52-E52</f>
        <v>25859687.943619728</v>
      </c>
      <c r="G58" s="10">
        <f>G52-F52</f>
        <v>730302865.33951759</v>
      </c>
    </row>
    <row r="59" spans="1:7" ht="16.5" thickTop="1" thickBot="1" x14ac:dyDescent="0.3">
      <c r="A59" s="56" t="s">
        <v>110</v>
      </c>
      <c r="B59" s="57"/>
      <c r="C59" s="58">
        <f>SUM(C57:C58)</f>
        <v>3301752870.73141</v>
      </c>
      <c r="D59" s="58">
        <f t="shared" ref="D59:G59" si="25">SUM(D57:D58)</f>
        <v>2411597800.3268194</v>
      </c>
      <c r="E59" s="58">
        <f t="shared" si="25"/>
        <v>3499866428.0531149</v>
      </c>
      <c r="F59" s="58">
        <f t="shared" si="25"/>
        <v>5472784107.7067366</v>
      </c>
      <c r="G59" s="58">
        <f t="shared" si="25"/>
        <v>8608147377.9713669</v>
      </c>
    </row>
    <row r="60" spans="1:7" ht="15.75" thickTop="1" x14ac:dyDescent="0.25"/>
  </sheetData>
  <sheetProtection algorithmName="SHA-512" hashValue="/w95dR5p25EnrZAnDLlx85sB4YqtAKkLsTsibH9aBRBRAYeEcXPG7RVVndD06Z8JJxg9OkcUR1RelkK6Or+/WA==" saltValue="Oa9Q+aXBht6/Kn2KD92C+A==" spinCount="100000" sheet="1" formatCells="0" formatColumns="0" formatRows="0"/>
  <mergeCells count="10">
    <mergeCell ref="A54:G54"/>
    <mergeCell ref="A21:G21"/>
    <mergeCell ref="A28:G28"/>
    <mergeCell ref="A33:G33"/>
    <mergeCell ref="A19:G19"/>
    <mergeCell ref="A1:G1"/>
    <mergeCell ref="A2:G2"/>
    <mergeCell ref="A4:G4"/>
    <mergeCell ref="A41:G41"/>
    <mergeCell ref="A42:G42"/>
  </mergeCells>
  <conditionalFormatting sqref="C17:G17">
    <cfRule type="cellIs" dxfId="10" priority="3" operator="lessThan">
      <formula>0</formula>
    </cfRule>
  </conditionalFormatting>
  <conditionalFormatting sqref="B22:G22">
    <cfRule type="cellIs" dxfId="9" priority="2" operator="lessThan">
      <formula>0</formula>
    </cfRule>
  </conditionalFormatting>
  <conditionalFormatting sqref="C59:G59">
    <cfRule type="cellIs" dxfId="8" priority="1" operator="lessThan">
      <formula>0</formula>
    </cfRule>
  </conditionalFormatting>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P47"/>
  <sheetViews>
    <sheetView showGridLines="0" zoomScale="70" zoomScaleNormal="70" workbookViewId="0"/>
  </sheetViews>
  <sheetFormatPr baseColWidth="10" defaultRowHeight="15" x14ac:dyDescent="0.25"/>
  <cols>
    <col min="1" max="1" width="11.42578125" style="15"/>
    <col min="2" max="2" width="33.28515625" style="15" customWidth="1"/>
    <col min="3" max="3" width="24.28515625" style="15" bestFit="1" customWidth="1"/>
    <col min="4" max="4" width="36.28515625" style="15" bestFit="1" customWidth="1"/>
    <col min="5" max="5" width="24.42578125" style="15" bestFit="1" customWidth="1"/>
    <col min="6" max="6" width="26" style="15" customWidth="1"/>
    <col min="7" max="8" width="24.42578125" style="15" bestFit="1" customWidth="1"/>
    <col min="9" max="9" width="11.42578125" style="15"/>
    <col min="10" max="10" width="12" style="15" bestFit="1" customWidth="1"/>
    <col min="11" max="14" width="11.42578125" style="15"/>
    <col min="15" max="15" width="15.28515625" style="15" bestFit="1" customWidth="1"/>
    <col min="16" max="16" width="21.5703125" style="15" bestFit="1" customWidth="1"/>
    <col min="17" max="16384" width="11.42578125" style="15"/>
  </cols>
  <sheetData>
    <row r="2" spans="2:16" ht="38.25" customHeight="1" x14ac:dyDescent="0.25">
      <c r="B2" s="150" t="s">
        <v>132</v>
      </c>
      <c r="C2" s="150"/>
      <c r="D2" s="150"/>
      <c r="E2" s="150"/>
      <c r="F2" s="150"/>
      <c r="G2" s="150"/>
      <c r="H2" s="150"/>
    </row>
    <row r="3" spans="2:16" ht="15.75" customHeight="1" x14ac:dyDescent="0.25">
      <c r="B3" s="168" t="s">
        <v>111</v>
      </c>
      <c r="C3" s="168"/>
      <c r="D3" s="168"/>
      <c r="E3" s="169">
        <v>0.2</v>
      </c>
      <c r="F3" s="169"/>
    </row>
    <row r="4" spans="2:16" ht="16.5" customHeight="1" x14ac:dyDescent="0.25">
      <c r="B4" s="168"/>
      <c r="C4" s="168"/>
      <c r="D4" s="168"/>
      <c r="E4" s="169"/>
      <c r="F4" s="169"/>
      <c r="O4" s="102"/>
    </row>
    <row r="5" spans="2:16" ht="15.75" thickBot="1" x14ac:dyDescent="0.3">
      <c r="O5" s="102"/>
      <c r="P5" s="105"/>
    </row>
    <row r="6" spans="2:16" ht="23.25" x14ac:dyDescent="0.25">
      <c r="B6" s="101" t="s">
        <v>112</v>
      </c>
      <c r="C6" s="80" t="s">
        <v>113</v>
      </c>
      <c r="D6" s="81">
        <f>'4'!C20</f>
        <v>2021</v>
      </c>
      <c r="E6" s="81">
        <f>'4'!D20</f>
        <v>2022</v>
      </c>
      <c r="F6" s="81">
        <f>'4'!E20</f>
        <v>2023</v>
      </c>
      <c r="G6" s="81">
        <f>'4'!F20</f>
        <v>2024</v>
      </c>
      <c r="H6" s="82">
        <f>'4'!G20</f>
        <v>2025</v>
      </c>
      <c r="O6" s="102"/>
      <c r="P6" s="104"/>
    </row>
    <row r="7" spans="2:16" ht="19.5" thickBot="1" x14ac:dyDescent="0.35">
      <c r="B7" s="83"/>
      <c r="C7" s="111">
        <f>-'3'!D14</f>
        <v>-7453164000</v>
      </c>
      <c r="D7" s="111">
        <f>'4'!C59</f>
        <v>3301752870.73141</v>
      </c>
      <c r="E7" s="111">
        <f>'4'!D59</f>
        <v>2411597800.3268194</v>
      </c>
      <c r="F7" s="111">
        <f>'4'!E59</f>
        <v>3499866428.0531149</v>
      </c>
      <c r="G7" s="111">
        <f>'4'!F59</f>
        <v>5472784107.7067366</v>
      </c>
      <c r="H7" s="112">
        <f>'4'!G59</f>
        <v>8608147377.9713669</v>
      </c>
      <c r="O7" s="102"/>
      <c r="P7" s="104"/>
    </row>
    <row r="8" spans="2:16" ht="15.75" thickBot="1" x14ac:dyDescent="0.3">
      <c r="C8" s="106">
        <f>C7/(1+$E$3)^0</f>
        <v>-7453164000</v>
      </c>
      <c r="D8" s="106">
        <f>D7/(1+$E$3)^1</f>
        <v>2751460725.6095085</v>
      </c>
      <c r="E8" s="106">
        <f>E7/(1+$E$3)^2</f>
        <v>1674720694.6714025</v>
      </c>
      <c r="F8" s="106">
        <f>F7/(1+$E$3)^3</f>
        <v>2025385664.3825896</v>
      </c>
      <c r="G8" s="106">
        <f>G7/(1+$E$3)^4</f>
        <v>2639267027.2505484</v>
      </c>
      <c r="H8" s="106">
        <f>H7/(1+$E$3)^5</f>
        <v>3459421367.8189974</v>
      </c>
      <c r="I8" s="113"/>
      <c r="O8" s="102"/>
      <c r="P8" s="104"/>
    </row>
    <row r="9" spans="2:16" ht="24" thickBot="1" x14ac:dyDescent="0.4">
      <c r="B9" s="31" t="s">
        <v>114</v>
      </c>
      <c r="C9" s="32"/>
      <c r="D9" s="114">
        <f>NPV(E3,D7:H7)+$C$7</f>
        <v>5097091479.7330475</v>
      </c>
      <c r="O9" s="102"/>
      <c r="P9" s="104"/>
    </row>
    <row r="10" spans="2:16" ht="28.5" thickBot="1" x14ac:dyDescent="0.4">
      <c r="B10" s="110" t="s">
        <v>115</v>
      </c>
      <c r="C10" s="32"/>
      <c r="D10" s="115">
        <f>IF(ISERROR(IRR(C7:H7)),"NO_APLICA",(IRR(C7:H7)))</f>
        <v>0.4286393297264266</v>
      </c>
      <c r="F10" s="107" t="s">
        <v>137</v>
      </c>
      <c r="G10" s="32"/>
      <c r="H10" s="108">
        <f>IF(ISERROR(-C8/AVERAGE(D8:H8)),"NO_APLICA",(-C8/AVERAGE(D8:H8)))</f>
        <v>2.9693276013527563</v>
      </c>
      <c r="I10" s="109" t="s">
        <v>63</v>
      </c>
      <c r="P10" s="103"/>
    </row>
    <row r="12" spans="2:16" ht="18" x14ac:dyDescent="0.25">
      <c r="B12" s="170" t="s">
        <v>119</v>
      </c>
      <c r="C12" s="170"/>
      <c r="D12" s="170"/>
      <c r="E12" s="170"/>
      <c r="F12" s="170"/>
      <c r="G12" s="170"/>
      <c r="H12" s="170"/>
    </row>
    <row r="13" spans="2:16" ht="36.75" x14ac:dyDescent="0.25">
      <c r="B13" s="84" t="str">
        <f>'1'!B2</f>
        <v>NOMBRE DEL PRODUCTO O SERVICIO</v>
      </c>
      <c r="C13" s="84" t="s">
        <v>120</v>
      </c>
      <c r="D13" s="84" t="s">
        <v>121</v>
      </c>
      <c r="E13" s="84" t="s">
        <v>122</v>
      </c>
      <c r="F13" s="84" t="s">
        <v>124</v>
      </c>
      <c r="H13" s="70"/>
      <c r="I13" s="70"/>
      <c r="J13" s="70" t="s">
        <v>128</v>
      </c>
    </row>
    <row r="14" spans="2:16" x14ac:dyDescent="0.25">
      <c r="B14" s="85" t="str">
        <f>'1'!B3</f>
        <v>Plan básico (Subir su HV, Ver Ofertas de empleo )</v>
      </c>
      <c r="C14" s="86">
        <f>'1'!D3-'1'!D17</f>
        <v>0</v>
      </c>
      <c r="D14" s="87">
        <f>'1'!F3</f>
        <v>0</v>
      </c>
      <c r="E14" s="88">
        <f>C14*D14</f>
        <v>0</v>
      </c>
      <c r="F14" s="89">
        <f t="shared" ref="F14:F23" si="0">$E$27*D14</f>
        <v>0</v>
      </c>
      <c r="G14" s="39" t="s">
        <v>123</v>
      </c>
      <c r="H14" s="71">
        <f>'1'!D3</f>
        <v>0</v>
      </c>
      <c r="I14" s="90">
        <f t="shared" ref="I14:I23" si="1">$B$34*D14</f>
        <v>0</v>
      </c>
      <c r="J14" s="71">
        <f>'1'!D17</f>
        <v>0</v>
      </c>
    </row>
    <row r="15" spans="2:16" x14ac:dyDescent="0.25">
      <c r="B15" s="91" t="str">
        <f>'1'!B4</f>
        <v>Plan premium (Machine Learning, Diseño de HV, Orientación a entrevistas, Pruebas psicotécnicas e interpretación de personalidad, Identificacion de Habilidades, Diseño de Hojas de vida, Asesoria en Capacitacion Profesional )</v>
      </c>
      <c r="C15" s="86">
        <f>'1'!D4-'1'!D18</f>
        <v>5382</v>
      </c>
      <c r="D15" s="87">
        <f>'1'!F4</f>
        <v>2.943203071168422E-2</v>
      </c>
      <c r="E15" s="88">
        <f t="shared" ref="E15:E23" si="2">C15*D15</f>
        <v>158.40318929028447</v>
      </c>
      <c r="F15" s="89">
        <f t="shared" si="0"/>
        <v>58.698099880745325</v>
      </c>
      <c r="G15" s="39" t="str">
        <f>G14</f>
        <v>UNIDADES</v>
      </c>
      <c r="H15" s="71">
        <f>'1'!D4</f>
        <v>29900</v>
      </c>
      <c r="I15" s="90">
        <f t="shared" si="1"/>
        <v>117.39619976149065</v>
      </c>
      <c r="J15" s="71">
        <f>'1'!D18</f>
        <v>24518</v>
      </c>
    </row>
    <row r="16" spans="2:16" x14ac:dyDescent="0.25">
      <c r="B16" s="91" t="str">
        <f>'1'!B5</f>
        <v>Empresas  (todos y servicios)</v>
      </c>
      <c r="C16" s="86">
        <f>'1'!D5-'1'!D19</f>
        <v>55800.000000000029</v>
      </c>
      <c r="D16" s="87">
        <f>'1'!F5</f>
        <v>0.18308888670144699</v>
      </c>
      <c r="E16" s="88">
        <f t="shared" si="2"/>
        <v>10216.359877940748</v>
      </c>
      <c r="F16" s="89">
        <f t="shared" si="0"/>
        <v>365.14537049560636</v>
      </c>
      <c r="G16" s="39" t="str">
        <f t="shared" ref="G16:G23" si="3">G15</f>
        <v>UNIDADES</v>
      </c>
      <c r="H16" s="71">
        <f>'1'!D5</f>
        <v>310000</v>
      </c>
      <c r="I16" s="90">
        <f t="shared" si="1"/>
        <v>730.29074099121272</v>
      </c>
      <c r="J16" s="71">
        <f>'1'!D19</f>
        <v>254199.99999999997</v>
      </c>
    </row>
    <row r="17" spans="2:10" x14ac:dyDescent="0.25">
      <c r="B17" s="91" t="str">
        <f>'1'!B6</f>
        <v>a la medida  (todos y servicios a eleccion)</v>
      </c>
      <c r="C17" s="86">
        <f>'1'!D6-'1'!D20</f>
        <v>450000.00000000023</v>
      </c>
      <c r="D17" s="87">
        <f>'1'!F6</f>
        <v>0.78747908258686883</v>
      </c>
      <c r="E17" s="88">
        <f t="shared" si="2"/>
        <v>354365.58716409118</v>
      </c>
      <c r="F17" s="89">
        <f t="shared" si="0"/>
        <v>1570.5177225617479</v>
      </c>
      <c r="G17" s="39" t="str">
        <f t="shared" si="3"/>
        <v>UNIDADES</v>
      </c>
      <c r="H17" s="71">
        <f>'1'!D6</f>
        <v>2500000</v>
      </c>
      <c r="I17" s="90">
        <f t="shared" si="1"/>
        <v>3141.0354451234957</v>
      </c>
      <c r="J17" s="71">
        <f>'1'!D20</f>
        <v>2049999.9999999998</v>
      </c>
    </row>
    <row r="18" spans="2:10" x14ac:dyDescent="0.25">
      <c r="B18" s="91">
        <f>'1'!B7</f>
        <v>0</v>
      </c>
      <c r="C18" s="86">
        <f>'1'!D7-'1'!D21</f>
        <v>0</v>
      </c>
      <c r="D18" s="87">
        <f>'1'!F7</f>
        <v>0</v>
      </c>
      <c r="E18" s="88">
        <f t="shared" si="2"/>
        <v>0</v>
      </c>
      <c r="F18" s="89">
        <f t="shared" si="0"/>
        <v>0</v>
      </c>
      <c r="G18" s="39" t="str">
        <f t="shared" si="3"/>
        <v>UNIDADES</v>
      </c>
      <c r="H18" s="71">
        <f>'1'!D7</f>
        <v>0</v>
      </c>
      <c r="I18" s="90">
        <f t="shared" si="1"/>
        <v>0</v>
      </c>
      <c r="J18" s="71">
        <f>'1'!D21</f>
        <v>0</v>
      </c>
    </row>
    <row r="19" spans="2:10" x14ac:dyDescent="0.25">
      <c r="B19" s="91">
        <f>'1'!B8</f>
        <v>0</v>
      </c>
      <c r="C19" s="86">
        <f>'1'!D8-'1'!D22</f>
        <v>0</v>
      </c>
      <c r="D19" s="87">
        <f>'1'!F8</f>
        <v>0</v>
      </c>
      <c r="E19" s="88">
        <f t="shared" si="2"/>
        <v>0</v>
      </c>
      <c r="F19" s="89">
        <f t="shared" si="0"/>
        <v>0</v>
      </c>
      <c r="G19" s="39" t="str">
        <f t="shared" si="3"/>
        <v>UNIDADES</v>
      </c>
      <c r="H19" s="71">
        <f>'1'!D8</f>
        <v>0</v>
      </c>
      <c r="I19" s="90">
        <f t="shared" si="1"/>
        <v>0</v>
      </c>
      <c r="J19" s="71">
        <f>'1'!D22</f>
        <v>0</v>
      </c>
    </row>
    <row r="20" spans="2:10" x14ac:dyDescent="0.25">
      <c r="B20" s="91">
        <f>'1'!B9</f>
        <v>0</v>
      </c>
      <c r="C20" s="86">
        <f>'1'!D9-'1'!D23</f>
        <v>0</v>
      </c>
      <c r="D20" s="87">
        <f>'1'!F9</f>
        <v>0</v>
      </c>
      <c r="E20" s="88">
        <f t="shared" si="2"/>
        <v>0</v>
      </c>
      <c r="F20" s="89">
        <f t="shared" si="0"/>
        <v>0</v>
      </c>
      <c r="G20" s="39" t="str">
        <f t="shared" si="3"/>
        <v>UNIDADES</v>
      </c>
      <c r="H20" s="71">
        <f>'1'!D9</f>
        <v>0</v>
      </c>
      <c r="I20" s="90">
        <f t="shared" si="1"/>
        <v>0</v>
      </c>
      <c r="J20" s="71">
        <f>'1'!D23</f>
        <v>0</v>
      </c>
    </row>
    <row r="21" spans="2:10" x14ac:dyDescent="0.25">
      <c r="B21" s="91">
        <f>'1'!B10</f>
        <v>0</v>
      </c>
      <c r="C21" s="86">
        <f>'1'!D10-'1'!D24</f>
        <v>0</v>
      </c>
      <c r="D21" s="87">
        <f>'1'!F10</f>
        <v>0</v>
      </c>
      <c r="E21" s="88">
        <f t="shared" si="2"/>
        <v>0</v>
      </c>
      <c r="F21" s="89">
        <f t="shared" si="0"/>
        <v>0</v>
      </c>
      <c r="G21" s="39" t="str">
        <f t="shared" si="3"/>
        <v>UNIDADES</v>
      </c>
      <c r="H21" s="71">
        <f>'1'!D10</f>
        <v>0</v>
      </c>
      <c r="I21" s="90">
        <f t="shared" si="1"/>
        <v>0</v>
      </c>
      <c r="J21" s="71">
        <f>'1'!D24</f>
        <v>0</v>
      </c>
    </row>
    <row r="22" spans="2:10" x14ac:dyDescent="0.25">
      <c r="B22" s="91">
        <f>'1'!B11</f>
        <v>0</v>
      </c>
      <c r="C22" s="86">
        <f>'1'!D11-'1'!D25</f>
        <v>0</v>
      </c>
      <c r="D22" s="87">
        <f>'1'!F11</f>
        <v>0</v>
      </c>
      <c r="E22" s="88">
        <f t="shared" si="2"/>
        <v>0</v>
      </c>
      <c r="F22" s="89">
        <f t="shared" si="0"/>
        <v>0</v>
      </c>
      <c r="G22" s="39" t="str">
        <f t="shared" si="3"/>
        <v>UNIDADES</v>
      </c>
      <c r="H22" s="71">
        <f>'1'!D11</f>
        <v>0</v>
      </c>
      <c r="I22" s="90">
        <f t="shared" si="1"/>
        <v>0</v>
      </c>
      <c r="J22" s="71">
        <f>'1'!D25</f>
        <v>0</v>
      </c>
    </row>
    <row r="23" spans="2:10" x14ac:dyDescent="0.25">
      <c r="B23" s="85">
        <f>'1'!B12</f>
        <v>0</v>
      </c>
      <c r="C23" s="86">
        <f>'1'!D12-'1'!D26</f>
        <v>0</v>
      </c>
      <c r="D23" s="87">
        <f>'1'!F12</f>
        <v>0</v>
      </c>
      <c r="E23" s="88">
        <f t="shared" si="2"/>
        <v>0</v>
      </c>
      <c r="F23" s="89">
        <f t="shared" si="0"/>
        <v>0</v>
      </c>
      <c r="G23" s="39" t="str">
        <f t="shared" si="3"/>
        <v>UNIDADES</v>
      </c>
      <c r="H23" s="71">
        <f>'1'!D12</f>
        <v>0</v>
      </c>
      <c r="I23" s="90">
        <f t="shared" si="1"/>
        <v>0</v>
      </c>
      <c r="J23" s="71">
        <f>'1'!D26</f>
        <v>0</v>
      </c>
    </row>
    <row r="24" spans="2:10" ht="26.25" x14ac:dyDescent="0.4">
      <c r="B24" s="92"/>
      <c r="C24" s="93"/>
      <c r="D24" s="94"/>
      <c r="E24" s="27"/>
      <c r="F24" s="95">
        <f>SUM(F14:F23)</f>
        <v>1994.3611929380995</v>
      </c>
      <c r="G24" s="15" t="str">
        <f>G23</f>
        <v>UNIDADES</v>
      </c>
      <c r="H24" s="71"/>
      <c r="I24" s="90"/>
      <c r="J24" s="71"/>
    </row>
    <row r="25" spans="2:10" ht="12.75" customHeight="1" x14ac:dyDescent="0.4">
      <c r="B25" s="92"/>
      <c r="C25" s="93"/>
      <c r="D25" s="94"/>
      <c r="E25" s="27"/>
      <c r="F25" s="95"/>
      <c r="H25" s="71"/>
      <c r="I25" s="90"/>
      <c r="J25" s="71"/>
    </row>
    <row r="26" spans="2:10" ht="21" customHeight="1" x14ac:dyDescent="0.4">
      <c r="B26" s="167" t="s">
        <v>131</v>
      </c>
      <c r="C26" s="167"/>
      <c r="D26" s="167"/>
      <c r="E26" s="96">
        <f>SUM(E14:E23)</f>
        <v>364740.35023132223</v>
      </c>
      <c r="H26" s="70"/>
      <c r="I26" s="70"/>
      <c r="J26" s="70"/>
    </row>
    <row r="27" spans="2:10" ht="19.5" customHeight="1" x14ac:dyDescent="0.4">
      <c r="B27" s="167" t="s">
        <v>130</v>
      </c>
      <c r="C27" s="167"/>
      <c r="D27" s="167"/>
      <c r="E27" s="95">
        <f>IF(E26=0,0,('2'!C23+'2'!F31+'2'!C25)/'5'!E26)</f>
        <v>1994.3611929380995</v>
      </c>
      <c r="F27" s="97" t="s">
        <v>123</v>
      </c>
      <c r="H27" s="98"/>
    </row>
    <row r="30" spans="2:10" x14ac:dyDescent="0.25">
      <c r="B30" s="70"/>
      <c r="C30" s="70"/>
      <c r="D30" s="70"/>
      <c r="E30" s="70"/>
      <c r="F30" s="70"/>
      <c r="G30" s="70"/>
    </row>
    <row r="31" spans="2:10" x14ac:dyDescent="0.25">
      <c r="B31" s="70"/>
      <c r="C31" s="70" t="s">
        <v>125</v>
      </c>
      <c r="D31" s="70" t="s">
        <v>126</v>
      </c>
      <c r="E31" s="70" t="s">
        <v>129</v>
      </c>
      <c r="F31" s="70" t="s">
        <v>127</v>
      </c>
      <c r="G31" s="70"/>
    </row>
    <row r="32" spans="2:10" x14ac:dyDescent="0.25">
      <c r="B32" s="70">
        <v>0</v>
      </c>
      <c r="C32" s="71">
        <f>'2'!C25+'2'!F31+'2'!C23</f>
        <v>727424000</v>
      </c>
      <c r="D32" s="70">
        <f>0</f>
        <v>0</v>
      </c>
      <c r="E32" s="70">
        <v>0</v>
      </c>
      <c r="F32" s="71">
        <f>C32+E32</f>
        <v>727424000</v>
      </c>
      <c r="G32" s="70"/>
    </row>
    <row r="33" spans="2:7" x14ac:dyDescent="0.25">
      <c r="B33" s="90">
        <f>F24</f>
        <v>1994.3611929380995</v>
      </c>
      <c r="C33" s="71">
        <f>C32</f>
        <v>727424000</v>
      </c>
      <c r="D33" s="99">
        <f>SUMPRODUCT(F14:F23,H14:H23)</f>
        <v>4041244444.4444423</v>
      </c>
      <c r="E33" s="99">
        <f>SUMPRODUCT(F14:F23,J14:J23)</f>
        <v>3313820444.4444418</v>
      </c>
      <c r="F33" s="71">
        <f t="shared" ref="F33:F34" si="4">C33+E33</f>
        <v>4041244444.4444418</v>
      </c>
      <c r="G33" s="70"/>
    </row>
    <row r="34" spans="2:7" x14ac:dyDescent="0.25">
      <c r="B34" s="90">
        <f>B33*2</f>
        <v>3988.722385876199</v>
      </c>
      <c r="C34" s="71">
        <f>C33</f>
        <v>727424000</v>
      </c>
      <c r="D34" s="99">
        <f>SUMPRODUCT(H14:H23,I14:I23)</f>
        <v>8082488888.8888845</v>
      </c>
      <c r="E34" s="99">
        <f>SUMPRODUCT(I14:I23,J14:J23)</f>
        <v>6627640888.8888836</v>
      </c>
      <c r="F34" s="71">
        <f t="shared" si="4"/>
        <v>7355064888.8888836</v>
      </c>
      <c r="G34" s="70"/>
    </row>
    <row r="35" spans="2:7" x14ac:dyDescent="0.25">
      <c r="B35" s="70"/>
      <c r="C35" s="71"/>
      <c r="D35" s="70"/>
      <c r="E35" s="70"/>
      <c r="F35" s="70"/>
      <c r="G35" s="70"/>
    </row>
    <row r="36" spans="2:7" x14ac:dyDescent="0.25">
      <c r="C36" s="27"/>
    </row>
    <row r="37" spans="2:7" x14ac:dyDescent="0.25">
      <c r="C37" s="27"/>
    </row>
    <row r="38" spans="2:7" x14ac:dyDescent="0.25">
      <c r="C38" s="27"/>
    </row>
    <row r="39" spans="2:7" x14ac:dyDescent="0.25">
      <c r="C39" s="27"/>
    </row>
    <row r="40" spans="2:7" x14ac:dyDescent="0.25">
      <c r="C40" s="27"/>
    </row>
    <row r="41" spans="2:7" x14ac:dyDescent="0.25">
      <c r="C41" s="27"/>
    </row>
    <row r="42" spans="2:7" x14ac:dyDescent="0.25">
      <c r="C42" s="27"/>
    </row>
    <row r="43" spans="2:7" x14ac:dyDescent="0.25">
      <c r="C43" s="27"/>
    </row>
    <row r="44" spans="2:7" x14ac:dyDescent="0.25">
      <c r="C44" s="27"/>
    </row>
    <row r="45" spans="2:7" x14ac:dyDescent="0.25">
      <c r="C45" s="27"/>
    </row>
    <row r="46" spans="2:7" x14ac:dyDescent="0.25">
      <c r="C46" s="27"/>
    </row>
    <row r="47" spans="2:7" x14ac:dyDescent="0.25">
      <c r="C47" s="27"/>
    </row>
  </sheetData>
  <sheetProtection algorithmName="SHA-512" hashValue="ovnUAQDEhTwug5BxS7mT45tX8wWe9Ip6CambdpTbxrYxDOCkpFt1peHMwRg2EEfdwX49ecz/FyQrospDinPcHA==" saltValue="EfkJBoO6qpL2+sReXla+kg==" spinCount="100000" sheet="1" objects="1" scenarios="1" formatCells="0" formatColumns="0" formatRows="0"/>
  <mergeCells count="7">
    <mergeCell ref="B26:D26"/>
    <mergeCell ref="B27:D27"/>
    <mergeCell ref="B2:F2"/>
    <mergeCell ref="G2:H2"/>
    <mergeCell ref="B3:D4"/>
    <mergeCell ref="E3:F4"/>
    <mergeCell ref="B12:H12"/>
  </mergeCells>
  <conditionalFormatting sqref="D10">
    <cfRule type="containsText" dxfId="7" priority="2" operator="containsText" text="NO_APLICA">
      <formula>NOT(ISERROR(SEARCH("NO_APLICA",D10)))</formula>
    </cfRule>
    <cfRule type="cellIs" dxfId="6" priority="5" operator="lessThan">
      <formula>0</formula>
    </cfRule>
    <cfRule type="cellIs" dxfId="5" priority="6" operator="equal">
      <formula>$E$3</formula>
    </cfRule>
    <cfRule type="cellIs" dxfId="4" priority="7" operator="greaterThan">
      <formula>$E$3</formula>
    </cfRule>
    <cfRule type="cellIs" dxfId="3" priority="8" operator="lessThan">
      <formula>$E$3</formula>
    </cfRule>
  </conditionalFormatting>
  <conditionalFormatting sqref="D9">
    <cfRule type="cellIs" dxfId="2" priority="4" operator="lessThan">
      <formula>0</formula>
    </cfRule>
  </conditionalFormatting>
  <conditionalFormatting sqref="H10">
    <cfRule type="containsText" dxfId="1" priority="1" operator="containsText" text="NO_APLICA">
      <formula>NOT(ISERROR(SEARCH("NO_APLICA",H10)))</formula>
    </cfRule>
    <cfRule type="cellIs" dxfId="0" priority="3" operator="lessThan">
      <formula>0</formula>
    </cfRule>
  </conditionalFormatting>
  <pageMargins left="0.7" right="0.7" top="0.75" bottom="0.75" header="0.3" footer="0.3"/>
  <pageSetup orientation="portrait" verticalDpi="0"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057A1A6B9C42749A2C1DB8F79FF4B5C" ma:contentTypeVersion="2" ma:contentTypeDescription="Crear nuevo documento." ma:contentTypeScope="" ma:versionID="3c8b5b528843ad8cc09487187a6fb5bf">
  <xsd:schema xmlns:xsd="http://www.w3.org/2001/XMLSchema" xmlns:xs="http://www.w3.org/2001/XMLSchema" xmlns:p="http://schemas.microsoft.com/office/2006/metadata/properties" xmlns:ns2="5c5f0163-da67-4af6-be72-e9791e9a9558" targetNamespace="http://schemas.microsoft.com/office/2006/metadata/properties" ma:root="true" ma:fieldsID="e8247d4e833951457a3f32e83ba53825" ns2:_="">
    <xsd:import namespace="5c5f0163-da67-4af6-be72-e9791e9a9558"/>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c5f0163-da67-4af6-be72-e9791e9a955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82695-7554-4B13-93D6-0EC59052F40B}">
  <ds:schemaRefs>
    <ds:schemaRef ds:uri="http://www.w3.org/XML/1998/namespace"/>
    <ds:schemaRef ds:uri="http://schemas.microsoft.com/office/2006/metadata/properties"/>
    <ds:schemaRef ds:uri="http://purl.org/dc/terms/"/>
    <ds:schemaRef ds:uri="http://schemas.microsoft.com/office/infopath/2007/PartnerControls"/>
    <ds:schemaRef ds:uri="5c5f0163-da67-4af6-be72-e9791e9a9558"/>
    <ds:schemaRef ds:uri="http://schemas.microsoft.com/office/2006/documentManagement/types"/>
    <ds:schemaRef ds:uri="http://schemas.openxmlformats.org/package/2006/metadata/core-properties"/>
    <ds:schemaRef ds:uri="http://purl.org/dc/dcmitype/"/>
    <ds:schemaRef ds:uri="http://purl.org/dc/elements/1.1/"/>
  </ds:schemaRefs>
</ds:datastoreItem>
</file>

<file path=customXml/itemProps2.xml><?xml version="1.0" encoding="utf-8"?>
<ds:datastoreItem xmlns:ds="http://schemas.openxmlformats.org/officeDocument/2006/customXml" ds:itemID="{89632A7F-DCF2-4051-927C-9E11CFAF1BA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c5f0163-da67-4af6-be72-e9791e9a955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3A87B4-1E10-42A9-BDAA-2FA551EEA41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1</vt:i4>
      </vt:variant>
    </vt:vector>
  </HeadingPairs>
  <TitlesOfParts>
    <vt:vector size="7" baseType="lpstr">
      <vt:lpstr>Menú</vt:lpstr>
      <vt:lpstr>1</vt:lpstr>
      <vt:lpstr>2</vt:lpstr>
      <vt:lpstr>3</vt:lpstr>
      <vt:lpstr>4</vt:lpstr>
      <vt:lpstr>5</vt:lpstr>
      <vt:lpstr>Menú!Área_de_impresión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DARIO MAURICIO REYES GIRALDO</dc:creator>
  <cp:lastModifiedBy>Juan Leonardo Celeita</cp:lastModifiedBy>
  <dcterms:created xsi:type="dcterms:W3CDTF">2013-07-30T17:19:59Z</dcterms:created>
  <dcterms:modified xsi:type="dcterms:W3CDTF">2021-09-25T17:18:17Z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0x0101006057A1A6B9C42749A2C1DB8F79FF4B5C</vt:lpwstr>
  </property>
</Properties>
</file>