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autoCompressPictures="0" defaultThemeVersion="124226"/>
  <bookViews>
    <workbookView xWindow="-120" yWindow="-120" windowWidth="20730" windowHeight="11160" tabRatio="703" activeTab="8"/>
  </bookViews>
  <sheets>
    <sheet name="Menú" sheetId="7" r:id="rId1"/>
    <sheet name="1" sheetId="1" r:id="rId2"/>
    <sheet name="2" sheetId="4" r:id="rId3"/>
    <sheet name="3" sheetId="3" r:id="rId4"/>
    <sheet name="4" sheetId="5" r:id="rId5"/>
    <sheet name="5" sheetId="6" r:id="rId6"/>
    <sheet name="6" sheetId="8" r:id="rId7"/>
    <sheet name="Formato encuesta" sheetId="9" r:id="rId8"/>
    <sheet name="Tabulación" sheetId="10" r:id="rId9"/>
  </sheets>
  <definedNames>
    <definedName name="_xlnm.Print_Area" localSheetId="6">'6'!$A:$F</definedName>
    <definedName name="_xlnm.Print_Area" localSheetId="0">Menú!$B$2:$J$24</definedName>
  </definedNames>
  <calcPr calcId="125725"/>
  <customWorkbookViews>
    <customWorkbookView name="v1" guid="{D031F759-B892-43F4-943A-9CD4A624A3F4}" includePrintSettings="0" includeHiddenRowCol="0" maximized="1" xWindow="-8" yWindow="-8" windowWidth="1382" windowHeight="744" tabRatio="703" activeSheetId="1"/>
  </customWorkbookViews>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S34" i="10"/>
  <c r="S35" s="1"/>
  <c r="R34"/>
  <c r="R35" s="1"/>
  <c r="Q34"/>
  <c r="Q35" s="1"/>
  <c r="P34"/>
  <c r="P35" s="1"/>
  <c r="O34"/>
  <c r="O35" s="1"/>
  <c r="N34"/>
  <c r="N35" s="1"/>
  <c r="M34"/>
  <c r="M35" s="1"/>
  <c r="L34"/>
  <c r="L35" s="1"/>
  <c r="K34"/>
  <c r="K35" s="1"/>
  <c r="J34"/>
  <c r="J35" s="1"/>
  <c r="I34"/>
  <c r="I35" s="1"/>
  <c r="H34"/>
  <c r="H35" s="1"/>
  <c r="G34"/>
  <c r="G35" s="1"/>
  <c r="F34"/>
  <c r="F35" s="1"/>
  <c r="E34"/>
  <c r="E35" s="1"/>
  <c r="D34"/>
  <c r="D35" s="1"/>
  <c r="C34"/>
  <c r="C35" s="1"/>
  <c r="B34"/>
  <c r="B35" s="1"/>
  <c r="B23" i="5"/>
  <c r="L3" i="3" l="1"/>
  <c r="AQ10"/>
  <c r="AQ11" s="1"/>
  <c r="AQ12" s="1"/>
  <c r="AQ13" s="1"/>
  <c r="AQ14" s="1"/>
  <c r="AQ15" s="1"/>
  <c r="AQ16" s="1"/>
  <c r="AQ17" s="1"/>
  <c r="AQ19" s="1"/>
  <c r="AQ20" s="1"/>
  <c r="AQ21" s="1"/>
  <c r="AQ22" s="1"/>
  <c r="AQ23" s="1"/>
  <c r="AQ24" s="1"/>
  <c r="AQ25" s="1"/>
  <c r="AQ26" s="1"/>
  <c r="AQ27" s="1"/>
  <c r="AQ28" s="1"/>
  <c r="AQ29" s="1"/>
  <c r="AQ30" s="1"/>
  <c r="AQ31" s="1"/>
  <c r="AQ32" s="1"/>
  <c r="AQ33" s="1"/>
  <c r="AQ34" s="1"/>
  <c r="AQ35" s="1"/>
  <c r="AQ36" s="1"/>
  <c r="AQ37" s="1"/>
  <c r="AQ38" s="1"/>
  <c r="AQ39" s="1"/>
  <c r="AQ40" s="1"/>
  <c r="AQ41" s="1"/>
  <c r="AQ42" s="1"/>
  <c r="AQ43" s="1"/>
  <c r="AQ44" s="1"/>
  <c r="AQ45" s="1"/>
  <c r="AQ46" s="1"/>
  <c r="AQ47" s="1"/>
  <c r="AQ48" s="1"/>
  <c r="AQ49" s="1"/>
  <c r="AQ50" s="1"/>
  <c r="AQ51" s="1"/>
  <c r="AQ52" s="1"/>
  <c r="AQ53" s="1"/>
  <c r="AQ54" s="1"/>
  <c r="AQ55" s="1"/>
  <c r="AQ56" s="1"/>
  <c r="AQ57" s="1"/>
  <c r="AQ58" s="1"/>
  <c r="AQ59" s="1"/>
  <c r="AQ60" s="1"/>
  <c r="AQ61" s="1"/>
  <c r="AQ62" s="1"/>
  <c r="AQ63" s="1"/>
  <c r="AQ64" s="1"/>
  <c r="AQ65" s="1"/>
  <c r="AQ66" s="1"/>
  <c r="AQ67" s="1"/>
  <c r="AQ68" s="1"/>
  <c r="AQ69" s="1"/>
  <c r="AK10"/>
  <c r="AK11" s="1"/>
  <c r="AK12" s="1"/>
  <c r="AK13" s="1"/>
  <c r="AK14" s="1"/>
  <c r="AK15" s="1"/>
  <c r="AK16" s="1"/>
  <c r="AK17" s="1"/>
  <c r="AK19" s="1"/>
  <c r="AK20" s="1"/>
  <c r="AK21" s="1"/>
  <c r="AK22" s="1"/>
  <c r="AK23" s="1"/>
  <c r="AK24" s="1"/>
  <c r="AK25" s="1"/>
  <c r="AK26" s="1"/>
  <c r="AK27" s="1"/>
  <c r="AK28" s="1"/>
  <c r="AK29" s="1"/>
  <c r="AK30" s="1"/>
  <c r="AK31" s="1"/>
  <c r="AK32" s="1"/>
  <c r="AK33" s="1"/>
  <c r="AK34" s="1"/>
  <c r="AK35" s="1"/>
  <c r="AK36" s="1"/>
  <c r="AK37" s="1"/>
  <c r="AK38" s="1"/>
  <c r="AK39" s="1"/>
  <c r="AK40" s="1"/>
  <c r="AK41" s="1"/>
  <c r="AK42" s="1"/>
  <c r="AK43" s="1"/>
  <c r="AK44" s="1"/>
  <c r="AK45" s="1"/>
  <c r="AK46" s="1"/>
  <c r="AK47" s="1"/>
  <c r="AK48" s="1"/>
  <c r="AK49" s="1"/>
  <c r="AK50" s="1"/>
  <c r="AK51" s="1"/>
  <c r="AK52" s="1"/>
  <c r="AK53" s="1"/>
  <c r="AK54" s="1"/>
  <c r="AK55" s="1"/>
  <c r="AK56" s="1"/>
  <c r="AK57" s="1"/>
  <c r="AK58" s="1"/>
  <c r="AK59" s="1"/>
  <c r="AK60" s="1"/>
  <c r="AK61" s="1"/>
  <c r="AK62" s="1"/>
  <c r="AK63" s="1"/>
  <c r="AK64" s="1"/>
  <c r="AK65" s="1"/>
  <c r="AK66" s="1"/>
  <c r="AK67" s="1"/>
  <c r="AK68" s="1"/>
  <c r="AK69" s="1"/>
  <c r="AE10"/>
  <c r="AE11" s="1"/>
  <c r="AE12" s="1"/>
  <c r="AE13" s="1"/>
  <c r="AE14" s="1"/>
  <c r="AE15" s="1"/>
  <c r="AE16" s="1"/>
  <c r="AE17" s="1"/>
  <c r="AE19" s="1"/>
  <c r="AE20" s="1"/>
  <c r="AE21" s="1"/>
  <c r="AE22" s="1"/>
  <c r="AE23" s="1"/>
  <c r="AE24" s="1"/>
  <c r="AE25" s="1"/>
  <c r="AE26" s="1"/>
  <c r="AE27" s="1"/>
  <c r="AE28" s="1"/>
  <c r="AE29" s="1"/>
  <c r="AE30" s="1"/>
  <c r="AE31" s="1"/>
  <c r="AE32" s="1"/>
  <c r="AE33" s="1"/>
  <c r="AE34" s="1"/>
  <c r="AE35" s="1"/>
  <c r="AE36" s="1"/>
  <c r="AE37" s="1"/>
  <c r="AE38" s="1"/>
  <c r="AE39" s="1"/>
  <c r="AE40" s="1"/>
  <c r="AE41" s="1"/>
  <c r="AE42" s="1"/>
  <c r="AE43" s="1"/>
  <c r="AE44" s="1"/>
  <c r="AE45" s="1"/>
  <c r="AE46" s="1"/>
  <c r="AE47" s="1"/>
  <c r="AE48" s="1"/>
  <c r="AE49" s="1"/>
  <c r="AE50" s="1"/>
  <c r="AE51" s="1"/>
  <c r="AE52" s="1"/>
  <c r="AE53" s="1"/>
  <c r="AE54" s="1"/>
  <c r="AE55" s="1"/>
  <c r="AE56" s="1"/>
  <c r="AE57" s="1"/>
  <c r="AE58" s="1"/>
  <c r="AE59" s="1"/>
  <c r="AE60" s="1"/>
  <c r="AE61" s="1"/>
  <c r="AE62" s="1"/>
  <c r="AE63" s="1"/>
  <c r="AE64" s="1"/>
  <c r="AE65" s="1"/>
  <c r="AE66" s="1"/>
  <c r="AE67" s="1"/>
  <c r="AE68" s="1"/>
  <c r="AE69" s="1"/>
  <c r="AO8"/>
  <c r="AI8"/>
  <c r="J6" i="4" l="1"/>
  <c r="I4" i="3" s="1"/>
  <c r="H3" i="6" s="1"/>
  <c r="D7" i="8" s="1"/>
  <c r="D52" s="1"/>
  <c r="A205"/>
  <c r="D205"/>
  <c r="B204"/>
  <c r="C204"/>
  <c r="D204"/>
  <c r="E204"/>
  <c r="A204"/>
  <c r="A202"/>
  <c r="A203"/>
  <c r="E203"/>
  <c r="B189"/>
  <c r="C189"/>
  <c r="D189"/>
  <c r="E189"/>
  <c r="A187"/>
  <c r="A185"/>
  <c r="A181"/>
  <c r="C165"/>
  <c r="D165"/>
  <c r="E165"/>
  <c r="F165"/>
  <c r="B165"/>
  <c r="A172"/>
  <c r="A173"/>
  <c r="A159"/>
  <c r="A160"/>
  <c r="A162"/>
  <c r="A163"/>
  <c r="A164"/>
  <c r="A166"/>
  <c r="A168"/>
  <c r="A169"/>
  <c r="A170"/>
  <c r="A171"/>
  <c r="A158"/>
  <c r="B153"/>
  <c r="C153"/>
  <c r="D153"/>
  <c r="E153"/>
  <c r="F153"/>
  <c r="A137"/>
  <c r="A138"/>
  <c r="A139"/>
  <c r="A140"/>
  <c r="A141"/>
  <c r="A142"/>
  <c r="A143"/>
  <c r="A144"/>
  <c r="A145"/>
  <c r="A146"/>
  <c r="A147"/>
  <c r="A148"/>
  <c r="A149"/>
  <c r="A150"/>
  <c r="A151"/>
  <c r="A152"/>
  <c r="A154"/>
  <c r="A128"/>
  <c r="A129"/>
  <c r="A118"/>
  <c r="A119"/>
  <c r="A120"/>
  <c r="A121"/>
  <c r="A122"/>
  <c r="A123"/>
  <c r="A124"/>
  <c r="A125"/>
  <c r="A126"/>
  <c r="A127"/>
  <c r="A116"/>
  <c r="A106"/>
  <c r="B106"/>
  <c r="C106"/>
  <c r="D106"/>
  <c r="E106"/>
  <c r="A107"/>
  <c r="B107"/>
  <c r="C107"/>
  <c r="D107"/>
  <c r="A104"/>
  <c r="B103"/>
  <c r="A94"/>
  <c r="A95"/>
  <c r="C96"/>
  <c r="A97"/>
  <c r="A98"/>
  <c r="A99"/>
  <c r="A92"/>
  <c r="A76"/>
  <c r="C76"/>
  <c r="A77"/>
  <c r="A78"/>
  <c r="A80"/>
  <c r="B80"/>
  <c r="C80"/>
  <c r="A81"/>
  <c r="B81"/>
  <c r="A82"/>
  <c r="B82"/>
  <c r="A83"/>
  <c r="B83"/>
  <c r="A84"/>
  <c r="B84"/>
  <c r="A85"/>
  <c r="B85"/>
  <c r="C75"/>
  <c r="D66"/>
  <c r="D67"/>
  <c r="D68"/>
  <c r="D69"/>
  <c r="D70"/>
  <c r="D71"/>
  <c r="E70"/>
  <c r="B65"/>
  <c r="A66"/>
  <c r="B66"/>
  <c r="D58"/>
  <c r="E58"/>
  <c r="B67"/>
  <c r="D59"/>
  <c r="E59"/>
  <c r="A68"/>
  <c r="B68"/>
  <c r="D60"/>
  <c r="E60"/>
  <c r="B69"/>
  <c r="D61"/>
  <c r="E61"/>
  <c r="A70"/>
  <c r="B70"/>
  <c r="D62"/>
  <c r="E62"/>
  <c r="A71"/>
  <c r="D63"/>
  <c r="E63"/>
  <c r="D64"/>
  <c r="E64"/>
  <c r="A73"/>
  <c r="B73"/>
  <c r="D65"/>
  <c r="E65"/>
  <c r="E66"/>
  <c r="E67"/>
  <c r="E68"/>
  <c r="E69"/>
  <c r="D56"/>
  <c r="A64"/>
  <c r="D55"/>
  <c r="A61"/>
  <c r="B61"/>
  <c r="A62"/>
  <c r="A59"/>
  <c r="B59"/>
  <c r="A60"/>
  <c r="B60"/>
  <c r="A54"/>
  <c r="B54"/>
  <c r="A55"/>
  <c r="B55"/>
  <c r="A56"/>
  <c r="B56"/>
  <c r="A57"/>
  <c r="B57"/>
  <c r="A58"/>
  <c r="B58"/>
  <c r="B53"/>
  <c r="A6"/>
  <c r="C32"/>
  <c r="C28"/>
  <c r="C29"/>
  <c r="C30"/>
  <c r="C31"/>
  <c r="C23"/>
  <c r="C24"/>
  <c r="C25"/>
  <c r="C26"/>
  <c r="C27"/>
  <c r="B22"/>
  <c r="C22"/>
  <c r="D22"/>
  <c r="A22"/>
  <c r="A20"/>
  <c r="C19"/>
  <c r="A18"/>
  <c r="B18"/>
  <c r="C18"/>
  <c r="B17"/>
  <c r="C17"/>
  <c r="A17"/>
  <c r="A10"/>
  <c r="B10"/>
  <c r="C10"/>
  <c r="A11"/>
  <c r="B11"/>
  <c r="C11"/>
  <c r="A12"/>
  <c r="B12"/>
  <c r="C12"/>
  <c r="A13"/>
  <c r="B13"/>
  <c r="C13"/>
  <c r="A14"/>
  <c r="B14"/>
  <c r="C14"/>
  <c r="A15"/>
  <c r="B15"/>
  <c r="C15"/>
  <c r="A16"/>
  <c r="B16"/>
  <c r="C16"/>
  <c r="B9"/>
  <c r="C9"/>
  <c r="A9"/>
  <c r="B8"/>
  <c r="C8"/>
  <c r="D8"/>
  <c r="A8"/>
  <c r="B135" l="1"/>
  <c r="D93"/>
  <c r="L2" i="3"/>
  <c r="AJ2" s="1"/>
  <c r="B167" i="8" l="1"/>
  <c r="B178" s="1"/>
  <c r="C156"/>
  <c r="C5" i="3"/>
  <c r="X10"/>
  <c r="X11" s="1"/>
  <c r="X12" s="1"/>
  <c r="X13" s="1"/>
  <c r="X14" s="1"/>
  <c r="X15" s="1"/>
  <c r="X16" s="1"/>
  <c r="X17" s="1"/>
  <c r="X19" s="1"/>
  <c r="X20" s="1"/>
  <c r="X21" s="1"/>
  <c r="X22" s="1"/>
  <c r="X23" s="1"/>
  <c r="X24" s="1"/>
  <c r="X25" s="1"/>
  <c r="X26" s="1"/>
  <c r="X27" s="1"/>
  <c r="X28" s="1"/>
  <c r="X29" s="1"/>
  <c r="X30" s="1"/>
  <c r="X31" s="1"/>
  <c r="X32" s="1"/>
  <c r="X33" s="1"/>
  <c r="X34" s="1"/>
  <c r="X35" s="1"/>
  <c r="X36" s="1"/>
  <c r="X37" s="1"/>
  <c r="X38" s="1"/>
  <c r="X39" s="1"/>
  <c r="X40" s="1"/>
  <c r="X41" s="1"/>
  <c r="X42" s="1"/>
  <c r="X43" s="1"/>
  <c r="X44" s="1"/>
  <c r="X45" s="1"/>
  <c r="X46" s="1"/>
  <c r="X47" s="1"/>
  <c r="X48" s="1"/>
  <c r="X49" s="1"/>
  <c r="X50" s="1"/>
  <c r="X51" s="1"/>
  <c r="X52" s="1"/>
  <c r="X53" s="1"/>
  <c r="X54" s="1"/>
  <c r="X55" s="1"/>
  <c r="X56" s="1"/>
  <c r="X57" s="1"/>
  <c r="X58" s="1"/>
  <c r="X59" s="1"/>
  <c r="X60" s="1"/>
  <c r="X61" s="1"/>
  <c r="X62" s="1"/>
  <c r="X63" s="1"/>
  <c r="X64" s="1"/>
  <c r="X65" s="1"/>
  <c r="X66" s="1"/>
  <c r="X67" s="1"/>
  <c r="X68" s="1"/>
  <c r="X69" s="1"/>
  <c r="R10"/>
  <c r="R11" s="1"/>
  <c r="R12" s="1"/>
  <c r="R13" s="1"/>
  <c r="R14" s="1"/>
  <c r="R15" s="1"/>
  <c r="R16" s="1"/>
  <c r="R17" s="1"/>
  <c r="R19" s="1"/>
  <c r="R20" s="1"/>
  <c r="R21" s="1"/>
  <c r="R22" s="1"/>
  <c r="R23" s="1"/>
  <c r="R24" s="1"/>
  <c r="R25" s="1"/>
  <c r="R26" s="1"/>
  <c r="R27" s="1"/>
  <c r="R28" s="1"/>
  <c r="R29" s="1"/>
  <c r="R30" s="1"/>
  <c r="R31" s="1"/>
  <c r="R32" s="1"/>
  <c r="R33" s="1"/>
  <c r="R34" s="1"/>
  <c r="R35" s="1"/>
  <c r="R36" s="1"/>
  <c r="R37" s="1"/>
  <c r="R38" s="1"/>
  <c r="R39" s="1"/>
  <c r="R40" s="1"/>
  <c r="R41" s="1"/>
  <c r="R42" s="1"/>
  <c r="R43" s="1"/>
  <c r="R44" s="1"/>
  <c r="R45" s="1"/>
  <c r="R46" s="1"/>
  <c r="R47" s="1"/>
  <c r="R48" s="1"/>
  <c r="R49" s="1"/>
  <c r="R50" s="1"/>
  <c r="R51" s="1"/>
  <c r="R52" s="1"/>
  <c r="R53" s="1"/>
  <c r="R54" s="1"/>
  <c r="R55" s="1"/>
  <c r="R56" s="1"/>
  <c r="R57" s="1"/>
  <c r="R58" s="1"/>
  <c r="R59" s="1"/>
  <c r="R60" s="1"/>
  <c r="R61" s="1"/>
  <c r="R62" s="1"/>
  <c r="R63" s="1"/>
  <c r="R64" s="1"/>
  <c r="R65" s="1"/>
  <c r="R66" s="1"/>
  <c r="R67" s="1"/>
  <c r="R68" s="1"/>
  <c r="R69" s="1"/>
  <c r="D19" l="1"/>
  <c r="B77" i="8"/>
  <c r="A40"/>
  <c r="A41"/>
  <c r="A42"/>
  <c r="A39"/>
  <c r="A38"/>
  <c r="A36"/>
  <c r="L10" i="3"/>
  <c r="L11" s="1"/>
  <c r="L12" s="1"/>
  <c r="L13" s="1"/>
  <c r="L14" s="1"/>
  <c r="L15" s="1"/>
  <c r="L16" s="1"/>
  <c r="L17" s="1"/>
  <c r="L19" s="1"/>
  <c r="L20" s="1"/>
  <c r="L21" s="1"/>
  <c r="L22" s="1"/>
  <c r="L23" s="1"/>
  <c r="L24" s="1"/>
  <c r="L25" s="1"/>
  <c r="L26" s="1"/>
  <c r="L27" s="1"/>
  <c r="L28" s="1"/>
  <c r="L29" s="1"/>
  <c r="L30" s="1"/>
  <c r="L31" s="1"/>
  <c r="L32" s="1"/>
  <c r="L33" s="1"/>
  <c r="L34" s="1"/>
  <c r="L35" s="1"/>
  <c r="L36" s="1"/>
  <c r="L37" s="1"/>
  <c r="L38" s="1"/>
  <c r="L39" s="1"/>
  <c r="L40" s="1"/>
  <c r="L41" s="1"/>
  <c r="L42" s="1"/>
  <c r="L43" s="1"/>
  <c r="L44" s="1"/>
  <c r="L45" s="1"/>
  <c r="L46" s="1"/>
  <c r="L47" s="1"/>
  <c r="L48" s="1"/>
  <c r="L49" s="1"/>
  <c r="L50" s="1"/>
  <c r="L51" s="1"/>
  <c r="L52" s="1"/>
  <c r="L53" s="1"/>
  <c r="L54" s="1"/>
  <c r="L55" s="1"/>
  <c r="L56" s="1"/>
  <c r="L57" s="1"/>
  <c r="L58" s="1"/>
  <c r="L59" s="1"/>
  <c r="L60" s="1"/>
  <c r="L61" s="1"/>
  <c r="L62" s="1"/>
  <c r="L63" s="1"/>
  <c r="L64" s="1"/>
  <c r="L65" s="1"/>
  <c r="L66" s="1"/>
  <c r="L67" s="1"/>
  <c r="L68" s="1"/>
  <c r="L69" s="1"/>
  <c r="C97" i="8" l="1"/>
  <c r="B34" i="5"/>
  <c r="P6" i="3"/>
  <c r="V6" s="1"/>
  <c r="AB6" s="1"/>
  <c r="AI6" s="1"/>
  <c r="AO6" s="1"/>
  <c r="AU6" s="1"/>
  <c r="O6"/>
  <c r="U6" s="1"/>
  <c r="AA6" s="1"/>
  <c r="AH6" s="1"/>
  <c r="N6"/>
  <c r="T6" s="1"/>
  <c r="Z6" s="1"/>
  <c r="AG6" s="1"/>
  <c r="AM6" s="1"/>
  <c r="AS6" s="1"/>
  <c r="M6"/>
  <c r="S6" s="1"/>
  <c r="Y6" s="1"/>
  <c r="AF6" s="1"/>
  <c r="AL6" s="1"/>
  <c r="AR6" s="1"/>
  <c r="F32" i="4" l="1"/>
  <c r="E71" i="8" s="1"/>
  <c r="J15" i="6"/>
  <c r="J16"/>
  <c r="J17"/>
  <c r="J18"/>
  <c r="J19"/>
  <c r="J20"/>
  <c r="J21"/>
  <c r="J22"/>
  <c r="J23"/>
  <c r="J14"/>
  <c r="H15"/>
  <c r="H16"/>
  <c r="H17"/>
  <c r="H18"/>
  <c r="H19"/>
  <c r="H20"/>
  <c r="H21"/>
  <c r="H22"/>
  <c r="H23"/>
  <c r="H14"/>
  <c r="D32"/>
  <c r="C205" i="8" s="1"/>
  <c r="G15" i="6"/>
  <c r="G16" s="1"/>
  <c r="G17" s="1"/>
  <c r="G18" s="1"/>
  <c r="G19" s="1"/>
  <c r="G20" s="1"/>
  <c r="G21" s="1"/>
  <c r="G22" s="1"/>
  <c r="G23" s="1"/>
  <c r="G24" s="1"/>
  <c r="C15"/>
  <c r="B191" i="8" s="1"/>
  <c r="C16" i="6"/>
  <c r="B192" i="8" s="1"/>
  <c r="C17" i="6"/>
  <c r="B193" i="8" s="1"/>
  <c r="C18" i="6"/>
  <c r="B194" i="8" s="1"/>
  <c r="C19" i="6"/>
  <c r="B195" i="8" s="1"/>
  <c r="C20" i="6"/>
  <c r="B196" i="8" s="1"/>
  <c r="C21" i="6"/>
  <c r="B197" i="8" s="1"/>
  <c r="C22" i="6"/>
  <c r="B198" i="8" s="1"/>
  <c r="C23" i="6"/>
  <c r="B199" i="8" s="1"/>
  <c r="C14" i="6"/>
  <c r="B190" i="8" s="1"/>
  <c r="B15" i="6"/>
  <c r="A191" i="8" s="1"/>
  <c r="B16" i="6"/>
  <c r="A192" i="8" s="1"/>
  <c r="B17" i="6"/>
  <c r="A193" i="8" s="1"/>
  <c r="B18" i="6"/>
  <c r="A194" i="8" s="1"/>
  <c r="B19" i="6"/>
  <c r="A195" i="8" s="1"/>
  <c r="B20" i="6"/>
  <c r="A196" i="8" s="1"/>
  <c r="B21" i="6"/>
  <c r="A197" i="8" s="1"/>
  <c r="B22" i="6"/>
  <c r="A198" i="8" s="1"/>
  <c r="B23" i="6"/>
  <c r="A199" i="8" s="1"/>
  <c r="B14" i="6"/>
  <c r="A190" i="8" s="1"/>
  <c r="B13" i="6"/>
  <c r="A189" i="8" s="1"/>
  <c r="C24" i="4"/>
  <c r="B49" i="5"/>
  <c r="B45"/>
  <c r="C23"/>
  <c r="G7" i="4"/>
  <c r="G8"/>
  <c r="G9"/>
  <c r="G10"/>
  <c r="G11"/>
  <c r="G12"/>
  <c r="G6"/>
  <c r="C34" i="5"/>
  <c r="B30"/>
  <c r="C10"/>
  <c r="D11" i="3"/>
  <c r="C83" i="8" s="1"/>
  <c r="F18" i="4"/>
  <c r="E57" i="8" s="1"/>
  <c r="C13" i="4"/>
  <c r="R16" i="1"/>
  <c r="S16"/>
  <c r="V16"/>
  <c r="W16"/>
  <c r="G2"/>
  <c r="B31"/>
  <c r="P18"/>
  <c r="Q18" s="1"/>
  <c r="R18" s="1"/>
  <c r="S18" s="1"/>
  <c r="P19"/>
  <c r="Q19" s="1"/>
  <c r="R19" s="1"/>
  <c r="S19" s="1"/>
  <c r="P20"/>
  <c r="Q20" s="1"/>
  <c r="R20" s="1"/>
  <c r="S20" s="1"/>
  <c r="P21"/>
  <c r="Q21" s="1"/>
  <c r="R21" s="1"/>
  <c r="S21" s="1"/>
  <c r="P22"/>
  <c r="Q22" s="1"/>
  <c r="R22" s="1"/>
  <c r="S22" s="1"/>
  <c r="P23"/>
  <c r="Q23" s="1"/>
  <c r="R23" s="1"/>
  <c r="S23" s="1"/>
  <c r="P24"/>
  <c r="Q24" s="1"/>
  <c r="R24" s="1"/>
  <c r="S24" s="1"/>
  <c r="P25"/>
  <c r="Q25" s="1"/>
  <c r="R25" s="1"/>
  <c r="P26"/>
  <c r="Q26" s="1"/>
  <c r="R26" s="1"/>
  <c r="S26" s="1"/>
  <c r="P17"/>
  <c r="Q17" s="1"/>
  <c r="R17" s="1"/>
  <c r="S17" s="1"/>
  <c r="P16"/>
  <c r="Q16"/>
  <c r="T16"/>
  <c r="U16"/>
  <c r="P4"/>
  <c r="Q4" s="1"/>
  <c r="R4" s="1"/>
  <c r="S4" s="1"/>
  <c r="P5"/>
  <c r="Q5" s="1"/>
  <c r="R5" s="1"/>
  <c r="S5" s="1"/>
  <c r="P6"/>
  <c r="Q6" s="1"/>
  <c r="P7"/>
  <c r="Q7" s="1"/>
  <c r="R7" s="1"/>
  <c r="S7" s="1"/>
  <c r="P8"/>
  <c r="P9"/>
  <c r="Q9" s="1"/>
  <c r="R9" s="1"/>
  <c r="S9" s="1"/>
  <c r="P10"/>
  <c r="P11"/>
  <c r="P12"/>
  <c r="P3"/>
  <c r="Q3" s="1"/>
  <c r="R3" s="1"/>
  <c r="S3" s="1"/>
  <c r="L4"/>
  <c r="M4" s="1"/>
  <c r="N4" s="1"/>
  <c r="L5"/>
  <c r="M5" s="1"/>
  <c r="N5" s="1"/>
  <c r="O5" s="1"/>
  <c r="L6"/>
  <c r="M6" s="1"/>
  <c r="N6" s="1"/>
  <c r="O6" s="1"/>
  <c r="L7"/>
  <c r="L8"/>
  <c r="M8" s="1"/>
  <c r="N8" s="1"/>
  <c r="O8" s="1"/>
  <c r="L9"/>
  <c r="M9" s="1"/>
  <c r="L10"/>
  <c r="M10" s="1"/>
  <c r="L11"/>
  <c r="M11" s="1"/>
  <c r="L12"/>
  <c r="M12"/>
  <c r="L3"/>
  <c r="D27"/>
  <c r="E4"/>
  <c r="D10" i="8" s="1"/>
  <c r="E5" i="1"/>
  <c r="D11" i="8" s="1"/>
  <c r="E6" i="1"/>
  <c r="D12" i="8" s="1"/>
  <c r="E7" i="1"/>
  <c r="D13" i="8" s="1"/>
  <c r="E8" i="1"/>
  <c r="D14" i="8" s="1"/>
  <c r="E9" i="1"/>
  <c r="D15" i="8" s="1"/>
  <c r="E10" i="1"/>
  <c r="D16" i="8" s="1"/>
  <c r="E11" i="1"/>
  <c r="D17" i="8" s="1"/>
  <c r="E12" i="1"/>
  <c r="D18" i="8" s="1"/>
  <c r="E3" i="1"/>
  <c r="D9" i="8" s="1"/>
  <c r="B18" i="1"/>
  <c r="A24" i="8" s="1"/>
  <c r="B19" i="1"/>
  <c r="A25" i="8" s="1"/>
  <c r="B20" i="1"/>
  <c r="A26" i="8" s="1"/>
  <c r="B21" i="1"/>
  <c r="A27" i="8" s="1"/>
  <c r="B22" i="1"/>
  <c r="A28" i="8" s="1"/>
  <c r="B23" i="1"/>
  <c r="A29" i="8" s="1"/>
  <c r="B24" i="1"/>
  <c r="A30" i="8" s="1"/>
  <c r="B25" i="1"/>
  <c r="A31" i="8" s="1"/>
  <c r="B26" i="1"/>
  <c r="A32" i="8" s="1"/>
  <c r="B17" i="1"/>
  <c r="A23" i="8" s="1"/>
  <c r="C18" i="1"/>
  <c r="L18" s="1"/>
  <c r="C19"/>
  <c r="L19" s="1"/>
  <c r="M19" s="1"/>
  <c r="N19" s="1"/>
  <c r="C20"/>
  <c r="B26" i="8" s="1"/>
  <c r="C21" i="1"/>
  <c r="E21" s="1"/>
  <c r="D27" i="8" s="1"/>
  <c r="C22" i="1"/>
  <c r="B28" i="8" s="1"/>
  <c r="C23" i="1"/>
  <c r="B29" i="8" s="1"/>
  <c r="C24" i="1"/>
  <c r="B30" i="8" s="1"/>
  <c r="C25" i="1"/>
  <c r="B31" i="8" s="1"/>
  <c r="C26" i="1"/>
  <c r="B32" i="8" s="1"/>
  <c r="C17" i="1"/>
  <c r="A17"/>
  <c r="A4"/>
  <c r="L25" l="1"/>
  <c r="M25" s="1"/>
  <c r="N25" s="1"/>
  <c r="O25" s="1"/>
  <c r="E25"/>
  <c r="D31" i="8" s="1"/>
  <c r="E23" i="1"/>
  <c r="D29" i="8" s="1"/>
  <c r="L23" i="1"/>
  <c r="M23" s="1"/>
  <c r="N9"/>
  <c r="O9" s="1"/>
  <c r="W9" s="1"/>
  <c r="U9"/>
  <c r="E26"/>
  <c r="D32" i="8" s="1"/>
  <c r="T7" i="1"/>
  <c r="E24"/>
  <c r="D30" i="8" s="1"/>
  <c r="T9" i="1"/>
  <c r="E22"/>
  <c r="D28" i="8" s="1"/>
  <c r="L22" i="1"/>
  <c r="M22" s="1"/>
  <c r="N22" s="1"/>
  <c r="L26"/>
  <c r="M26" s="1"/>
  <c r="M7"/>
  <c r="N7" s="1"/>
  <c r="O7" s="1"/>
  <c r="W7" s="1"/>
  <c r="T25"/>
  <c r="L21"/>
  <c r="B27" i="8"/>
  <c r="L24" i="1"/>
  <c r="W5"/>
  <c r="C9" i="5"/>
  <c r="D9" s="1"/>
  <c r="B71" i="8"/>
  <c r="T3" i="1"/>
  <c r="V19"/>
  <c r="V4"/>
  <c r="M3"/>
  <c r="N3" s="1"/>
  <c r="L17"/>
  <c r="T17" s="1"/>
  <c r="B23" i="8"/>
  <c r="D10" i="5"/>
  <c r="B122" i="8"/>
  <c r="D23" i="5"/>
  <c r="B139" i="8"/>
  <c r="C5" i="5"/>
  <c r="B39" i="8"/>
  <c r="C31" i="1"/>
  <c r="C39" i="8" s="1"/>
  <c r="D34" i="5"/>
  <c r="B150" i="8"/>
  <c r="C4" i="3"/>
  <c r="B76" i="8" s="1"/>
  <c r="B62"/>
  <c r="E18" i="1"/>
  <c r="D24" i="8" s="1"/>
  <c r="B24"/>
  <c r="O4" i="1"/>
  <c r="W4" s="1"/>
  <c r="U4"/>
  <c r="T4"/>
  <c r="E13"/>
  <c r="F5" s="1"/>
  <c r="D16" i="6" s="1"/>
  <c r="E19" i="1"/>
  <c r="D25" i="8" s="1"/>
  <c r="B25"/>
  <c r="E17" i="1"/>
  <c r="D23" i="8" s="1"/>
  <c r="C11" i="5"/>
  <c r="D12" i="3"/>
  <c r="C84" i="8" s="1"/>
  <c r="B24" i="5"/>
  <c r="C24" s="1"/>
  <c r="C32" i="6"/>
  <c r="B205" i="8" s="1"/>
  <c r="E20" i="1"/>
  <c r="D26" i="8" s="1"/>
  <c r="L20" i="1"/>
  <c r="O19"/>
  <c r="W19" s="1"/>
  <c r="U19"/>
  <c r="A18"/>
  <c r="A5"/>
  <c r="Q8"/>
  <c r="T8"/>
  <c r="T19"/>
  <c r="T6"/>
  <c r="M18"/>
  <c r="T18"/>
  <c r="N11"/>
  <c r="Q10"/>
  <c r="R10" s="1"/>
  <c r="S10" s="1"/>
  <c r="T10"/>
  <c r="L2"/>
  <c r="L16" s="1"/>
  <c r="H2"/>
  <c r="Z3"/>
  <c r="AA3" s="1"/>
  <c r="AB3" s="1"/>
  <c r="AC3" s="1"/>
  <c r="G13" i="4"/>
  <c r="C12" i="5" s="1"/>
  <c r="B123" i="8" s="1"/>
  <c r="N12" i="1"/>
  <c r="R6"/>
  <c r="S6" s="1"/>
  <c r="W6" s="1"/>
  <c r="U6"/>
  <c r="S25"/>
  <c r="W25" s="1"/>
  <c r="Q12"/>
  <c r="R12" s="1"/>
  <c r="S12" s="1"/>
  <c r="T12"/>
  <c r="U22"/>
  <c r="V5"/>
  <c r="Q11"/>
  <c r="R11" s="1"/>
  <c r="S11" s="1"/>
  <c r="T11"/>
  <c r="T5"/>
  <c r="U5"/>
  <c r="F10" i="3"/>
  <c r="A108" i="8" s="1"/>
  <c r="N10" i="1"/>
  <c r="D10" i="3"/>
  <c r="C82" i="8" s="1"/>
  <c r="B36" i="5"/>
  <c r="V25" i="1" l="1"/>
  <c r="U25"/>
  <c r="T23"/>
  <c r="U10"/>
  <c r="V9"/>
  <c r="T22"/>
  <c r="V7"/>
  <c r="T26"/>
  <c r="U7"/>
  <c r="N26"/>
  <c r="U26"/>
  <c r="M24"/>
  <c r="T24"/>
  <c r="V6"/>
  <c r="M21"/>
  <c r="T21"/>
  <c r="D5" i="5"/>
  <c r="D20" s="1"/>
  <c r="B121" i="8"/>
  <c r="M17" i="1"/>
  <c r="N17" s="1"/>
  <c r="D20" i="3"/>
  <c r="C98" i="8" s="1"/>
  <c r="U3" i="1"/>
  <c r="E16" i="6"/>
  <c r="D192" i="8" s="1"/>
  <c r="C192"/>
  <c r="E9" i="5"/>
  <c r="C121" i="8"/>
  <c r="D24" i="5"/>
  <c r="B140" i="8"/>
  <c r="E23" i="5"/>
  <c r="C139" i="8"/>
  <c r="E10" i="5"/>
  <c r="C122" i="8"/>
  <c r="F11" i="3"/>
  <c r="A109" i="8" s="1"/>
  <c r="D31" i="1"/>
  <c r="D39" i="8" s="1"/>
  <c r="B117"/>
  <c r="C20" i="5"/>
  <c r="D11"/>
  <c r="B126" i="8"/>
  <c r="E34" i="5"/>
  <c r="C150" i="8"/>
  <c r="D17" i="3"/>
  <c r="C95" i="8" s="1"/>
  <c r="F11" i="1"/>
  <c r="D22" i="6" s="1"/>
  <c r="F8" i="1"/>
  <c r="D19" i="6" s="1"/>
  <c r="F6" i="1"/>
  <c r="D17" i="6" s="1"/>
  <c r="F4" i="1"/>
  <c r="D15" i="6" s="1"/>
  <c r="F3" i="1"/>
  <c r="D14" i="6" s="1"/>
  <c r="D19" i="8"/>
  <c r="F7" i="1"/>
  <c r="D18" i="6" s="1"/>
  <c r="F10" i="1"/>
  <c r="D21" i="6" s="1"/>
  <c r="F9" i="1"/>
  <c r="D20" i="6" s="1"/>
  <c r="F12" i="1"/>
  <c r="D23" i="6" s="1"/>
  <c r="B32" i="1"/>
  <c r="T13"/>
  <c r="C32" s="1"/>
  <c r="C40" i="8" s="1"/>
  <c r="E27" i="1"/>
  <c r="F18" s="1"/>
  <c r="B26" i="5"/>
  <c r="B48" s="1"/>
  <c r="B50" s="1"/>
  <c r="D12"/>
  <c r="C123" i="8" s="1"/>
  <c r="C25" i="5"/>
  <c r="B141" i="8" s="1"/>
  <c r="V11" i="1"/>
  <c r="O11"/>
  <c r="W11" s="1"/>
  <c r="N23"/>
  <c r="U23"/>
  <c r="M2"/>
  <c r="I2"/>
  <c r="J2" s="1"/>
  <c r="R8"/>
  <c r="U8"/>
  <c r="V3"/>
  <c r="O3"/>
  <c r="W3" s="1"/>
  <c r="V12"/>
  <c r="O12"/>
  <c r="W12" s="1"/>
  <c r="O10"/>
  <c r="W10" s="1"/>
  <c r="V10"/>
  <c r="O22"/>
  <c r="W22" s="1"/>
  <c r="V22"/>
  <c r="U12"/>
  <c r="U11"/>
  <c r="U18"/>
  <c r="N18"/>
  <c r="A19"/>
  <c r="A6"/>
  <c r="T20"/>
  <c r="M20"/>
  <c r="C33" i="6"/>
  <c r="B206" i="8" s="1"/>
  <c r="F32" i="6"/>
  <c r="E205" i="8" s="1"/>
  <c r="F12" i="3" l="1"/>
  <c r="A110" i="8" s="1"/>
  <c r="O26" i="1"/>
  <c r="W26" s="1"/>
  <c r="V26"/>
  <c r="C117" i="8"/>
  <c r="T27" i="1"/>
  <c r="C33" s="1"/>
  <c r="C41" i="8" s="1"/>
  <c r="N21" i="1"/>
  <c r="U21"/>
  <c r="N24"/>
  <c r="U24"/>
  <c r="C136" i="8"/>
  <c r="D43" i="5"/>
  <c r="C157" i="8" s="1"/>
  <c r="E6" i="6"/>
  <c r="C181" i="8" s="1"/>
  <c r="U17" i="1"/>
  <c r="U13"/>
  <c r="D32" s="1"/>
  <c r="D40" i="8" s="1"/>
  <c r="E23" i="6"/>
  <c r="D199" i="8" s="1"/>
  <c r="C199"/>
  <c r="E19" i="6"/>
  <c r="D195" i="8" s="1"/>
  <c r="C195"/>
  <c r="E20" i="6"/>
  <c r="D196" i="8" s="1"/>
  <c r="C196"/>
  <c r="E14" i="6"/>
  <c r="D190" i="8" s="1"/>
  <c r="C190"/>
  <c r="E22" i="6"/>
  <c r="D198" i="8" s="1"/>
  <c r="C198"/>
  <c r="E21" i="6"/>
  <c r="D197" i="8" s="1"/>
  <c r="C197"/>
  <c r="E15" i="6"/>
  <c r="D191" i="8" s="1"/>
  <c r="C191"/>
  <c r="E18" i="6"/>
  <c r="D194" i="8" s="1"/>
  <c r="C194"/>
  <c r="E17" i="6"/>
  <c r="D193" i="8" s="1"/>
  <c r="C193"/>
  <c r="F10" i="5"/>
  <c r="D122" i="8"/>
  <c r="E24" i="5"/>
  <c r="C140" i="8"/>
  <c r="F23" i="5"/>
  <c r="D139" i="8"/>
  <c r="F9" i="5"/>
  <c r="D121" i="8"/>
  <c r="E5" i="5"/>
  <c r="B136" i="8"/>
  <c r="D6" i="6"/>
  <c r="B181" i="8" s="1"/>
  <c r="C43" i="5"/>
  <c r="B157" i="8" s="1"/>
  <c r="E31" i="1"/>
  <c r="E39" i="8" s="1"/>
  <c r="E11" i="5"/>
  <c r="C126" i="8"/>
  <c r="F34" i="5"/>
  <c r="D150" i="8"/>
  <c r="F13" i="1"/>
  <c r="F19"/>
  <c r="B40" i="8"/>
  <c r="C6" i="5"/>
  <c r="B118" i="8" s="1"/>
  <c r="D6" i="5"/>
  <c r="C118" i="8" s="1"/>
  <c r="F23" i="1"/>
  <c r="D33" i="8"/>
  <c r="F20" i="1"/>
  <c r="F24"/>
  <c r="F26"/>
  <c r="B33"/>
  <c r="C7" i="5" s="1"/>
  <c r="F22" i="1"/>
  <c r="F21"/>
  <c r="F17"/>
  <c r="F25"/>
  <c r="A7"/>
  <c r="A20"/>
  <c r="S8"/>
  <c r="W8" s="1"/>
  <c r="W13" s="1"/>
  <c r="F32" s="1"/>
  <c r="F40" i="8" s="1"/>
  <c r="V8" i="1"/>
  <c r="V13" s="1"/>
  <c r="E32" s="1"/>
  <c r="E40" i="8" s="1"/>
  <c r="O23" i="1"/>
  <c r="W23" s="1"/>
  <c r="V23"/>
  <c r="E12" i="5"/>
  <c r="D123" i="8" s="1"/>
  <c r="D25" i="5"/>
  <c r="C141" i="8" s="1"/>
  <c r="N20" i="1"/>
  <c r="U20"/>
  <c r="V18"/>
  <c r="O18"/>
  <c r="W18" s="1"/>
  <c r="M16"/>
  <c r="N2"/>
  <c r="C34" i="6"/>
  <c r="B207" i="8" s="1"/>
  <c r="O17" i="1"/>
  <c r="W17" s="1"/>
  <c r="V17"/>
  <c r="C49" i="5"/>
  <c r="B163" i="8" s="1"/>
  <c r="C26" i="5"/>
  <c r="C34" i="1" l="1"/>
  <c r="C42" i="8" s="1"/>
  <c r="F31" i="1"/>
  <c r="F39" i="8" s="1"/>
  <c r="D7" i="5"/>
  <c r="C119" i="8" s="1"/>
  <c r="O21" i="1"/>
  <c r="W21" s="1"/>
  <c r="V21"/>
  <c r="V24"/>
  <c r="O24"/>
  <c r="W24" s="1"/>
  <c r="F13" i="3"/>
  <c r="A111" i="8" s="1"/>
  <c r="F5" i="5"/>
  <c r="E117" i="8" s="1"/>
  <c r="U27" i="1"/>
  <c r="D33" s="1"/>
  <c r="D34" s="1"/>
  <c r="D42" i="8" s="1"/>
  <c r="E6" i="5"/>
  <c r="D118" i="8" s="1"/>
  <c r="C8" i="5"/>
  <c r="C13" s="1"/>
  <c r="B119" i="8"/>
  <c r="E26" i="6"/>
  <c r="C48" i="5"/>
  <c r="B162" i="8" s="1"/>
  <c r="B142"/>
  <c r="G9" i="5"/>
  <c r="F121" i="8" s="1"/>
  <c r="E121"/>
  <c r="F24" i="5"/>
  <c r="D140" i="8"/>
  <c r="E139"/>
  <c r="G23" i="5"/>
  <c r="F139" i="8" s="1"/>
  <c r="G10" i="5"/>
  <c r="F122" i="8" s="1"/>
  <c r="E122"/>
  <c r="E20" i="5"/>
  <c r="D117" i="8"/>
  <c r="F11" i="5"/>
  <c r="D126" i="8"/>
  <c r="G34" i="5"/>
  <c r="F150" i="8" s="1"/>
  <c r="E150"/>
  <c r="F27" i="1"/>
  <c r="B34"/>
  <c r="B42" i="8" s="1"/>
  <c r="B41"/>
  <c r="D9" i="3"/>
  <c r="O20" i="1"/>
  <c r="W20" s="1"/>
  <c r="V20"/>
  <c r="G6" i="5"/>
  <c r="F118" i="8" s="1"/>
  <c r="G5" i="5"/>
  <c r="A21" i="1"/>
  <c r="A8"/>
  <c r="D49" i="5"/>
  <c r="C163" i="8" s="1"/>
  <c r="D26" i="5"/>
  <c r="O2" i="1"/>
  <c r="O16" s="1"/>
  <c r="N16"/>
  <c r="F6" i="5"/>
  <c r="E118" i="8" s="1"/>
  <c r="F12" i="5"/>
  <c r="E123" i="8" s="1"/>
  <c r="E25" i="5"/>
  <c r="D141" i="8" s="1"/>
  <c r="F14" i="3" l="1"/>
  <c r="A112" i="8" s="1"/>
  <c r="W27" i="1"/>
  <c r="F33" s="1"/>
  <c r="G7" i="5" s="1"/>
  <c r="V27" i="1"/>
  <c r="E33" s="1"/>
  <c r="E34" s="1"/>
  <c r="E42" i="8" s="1"/>
  <c r="D8" i="5"/>
  <c r="D13" s="1"/>
  <c r="D55" s="1"/>
  <c r="C169" i="8" s="1"/>
  <c r="F20" i="5"/>
  <c r="E136" i="8" s="1"/>
  <c r="E7" i="5"/>
  <c r="D119" i="8" s="1"/>
  <c r="D41"/>
  <c r="B120"/>
  <c r="E27" i="6"/>
  <c r="D202" i="8"/>
  <c r="G24" i="5"/>
  <c r="F140" i="8" s="1"/>
  <c r="E140"/>
  <c r="D48" i="5"/>
  <c r="C162" i="8" s="1"/>
  <c r="C142"/>
  <c r="C50" i="5"/>
  <c r="B164" i="8" s="1"/>
  <c r="D136"/>
  <c r="F6" i="6"/>
  <c r="D181" i="8" s="1"/>
  <c r="E43" i="5"/>
  <c r="D157" i="8" s="1"/>
  <c r="G20" i="5"/>
  <c r="F136" i="8" s="1"/>
  <c r="F117"/>
  <c r="G11" i="5"/>
  <c r="E126" i="8"/>
  <c r="D13" i="3"/>
  <c r="D16" s="1"/>
  <c r="C81" i="8"/>
  <c r="E49" i="5"/>
  <c r="D163" i="8" s="1"/>
  <c r="E26" i="5"/>
  <c r="A9" i="1"/>
  <c r="A22"/>
  <c r="G12" i="5"/>
  <c r="F123" i="8" s="1"/>
  <c r="F25" i="5"/>
  <c r="E141" i="8" s="1"/>
  <c r="D50" i="5" l="1"/>
  <c r="C164" i="8" s="1"/>
  <c r="E41"/>
  <c r="F7" i="5"/>
  <c r="E119" i="8" s="1"/>
  <c r="F41"/>
  <c r="F34" i="1"/>
  <c r="F42" i="8" s="1"/>
  <c r="C120"/>
  <c r="G6" i="6"/>
  <c r="E181" i="8" s="1"/>
  <c r="F43" i="5"/>
  <c r="E157" i="8" s="1"/>
  <c r="C124"/>
  <c r="D56" i="5"/>
  <c r="D57" s="1"/>
  <c r="C171" i="8" s="1"/>
  <c r="F126"/>
  <c r="E8" i="5"/>
  <c r="E13" s="1"/>
  <c r="G43"/>
  <c r="F157" i="8" s="1"/>
  <c r="B124"/>
  <c r="C55" i="5"/>
  <c r="F20" i="6"/>
  <c r="E196" i="8" s="1"/>
  <c r="F15" i="6"/>
  <c r="E191" i="8" s="1"/>
  <c r="F16" i="6"/>
  <c r="E192" i="8" s="1"/>
  <c r="F17" i="6"/>
  <c r="E193" i="8" s="1"/>
  <c r="D203"/>
  <c r="F23" i="6"/>
  <c r="E199" i="8" s="1"/>
  <c r="F21" i="6"/>
  <c r="E197" i="8" s="1"/>
  <c r="F14" i="6"/>
  <c r="F22"/>
  <c r="E198" i="8" s="1"/>
  <c r="F19" i="6"/>
  <c r="E195" i="8" s="1"/>
  <c r="F18" i="6"/>
  <c r="E194" i="8" s="1"/>
  <c r="G8" i="5"/>
  <c r="F120" i="8" s="1"/>
  <c r="F119"/>
  <c r="E48" i="5"/>
  <c r="D162" i="8" s="1"/>
  <c r="D142"/>
  <c r="H6" i="6"/>
  <c r="F181" i="8" s="1"/>
  <c r="I16" i="3"/>
  <c r="I18" s="1"/>
  <c r="F20" s="1"/>
  <c r="J20" s="1"/>
  <c r="C94" i="8"/>
  <c r="D14" i="3"/>
  <c r="C85" i="8"/>
  <c r="G25" i="5"/>
  <c r="F141" i="8" s="1"/>
  <c r="F49" i="5"/>
  <c r="E163" i="8" s="1"/>
  <c r="F26" i="5"/>
  <c r="A10" i="1"/>
  <c r="A23"/>
  <c r="F8" i="5" l="1"/>
  <c r="F13" s="1"/>
  <c r="D120" i="8"/>
  <c r="C170"/>
  <c r="G13" i="5"/>
  <c r="F124" i="8" s="1"/>
  <c r="Z4" i="3"/>
  <c r="N4"/>
  <c r="T4"/>
  <c r="D124" i="8"/>
  <c r="E55" i="5"/>
  <c r="E190" i="8"/>
  <c r="D33" i="6"/>
  <c r="C206" i="8" s="1"/>
  <c r="F24" i="6"/>
  <c r="E33"/>
  <c r="B169" i="8"/>
  <c r="C56" i="5"/>
  <c r="F48"/>
  <c r="E162" i="8" s="1"/>
  <c r="E142"/>
  <c r="E50" i="5"/>
  <c r="D164" i="8" s="1"/>
  <c r="C92"/>
  <c r="C7" i="6"/>
  <c r="D21" i="3"/>
  <c r="A11" i="1"/>
  <c r="A24"/>
  <c r="G49" i="5"/>
  <c r="F163" i="8" s="1"/>
  <c r="G26" i="5"/>
  <c r="A182" i="8" l="1"/>
  <c r="E120"/>
  <c r="D22" i="3"/>
  <c r="J9"/>
  <c r="AM4"/>
  <c r="AG4"/>
  <c r="F50" i="5"/>
  <c r="E164" i="8" s="1"/>
  <c r="AS4" i="3"/>
  <c r="G55" i="5"/>
  <c r="F169" i="8" s="1"/>
  <c r="E124"/>
  <c r="F55" i="5"/>
  <c r="C57"/>
  <c r="B171" i="8" s="1"/>
  <c r="B170"/>
  <c r="D206"/>
  <c r="F33" i="6"/>
  <c r="E206" i="8" s="1"/>
  <c r="D169"/>
  <c r="E56" i="5"/>
  <c r="E200" i="8"/>
  <c r="B33" i="6"/>
  <c r="G48" i="5"/>
  <c r="F162" i="8" s="1"/>
  <c r="F142"/>
  <c r="C99"/>
  <c r="A25" i="1"/>
  <c r="A12"/>
  <c r="A26" s="1"/>
  <c r="B31" i="5" l="1"/>
  <c r="V8" i="3"/>
  <c r="AB8"/>
  <c r="G56" i="5"/>
  <c r="G57" s="1"/>
  <c r="F171" i="8" s="1"/>
  <c r="E57" i="5"/>
  <c r="D171" i="8" s="1"/>
  <c r="D170"/>
  <c r="B34" i="6"/>
  <c r="A206" i="8"/>
  <c r="E169"/>
  <c r="F56" i="5"/>
  <c r="G50"/>
  <c r="F164" i="8" s="1"/>
  <c r="E107"/>
  <c r="P8" i="3"/>
  <c r="B32" i="5" l="1"/>
  <c r="B38" s="1"/>
  <c r="B22" s="1"/>
  <c r="AF28" i="3"/>
  <c r="AF44"/>
  <c r="AF22"/>
  <c r="AF37"/>
  <c r="AF53"/>
  <c r="AF34"/>
  <c r="AF50"/>
  <c r="AF27"/>
  <c r="AF43"/>
  <c r="AF59"/>
  <c r="AF32"/>
  <c r="AF48"/>
  <c r="AF25"/>
  <c r="AF41"/>
  <c r="AF57"/>
  <c r="AF38"/>
  <c r="AF54"/>
  <c r="AF31"/>
  <c r="AF47"/>
  <c r="AF36"/>
  <c r="AF52"/>
  <c r="AF29"/>
  <c r="AF45"/>
  <c r="AF26"/>
  <c r="AF42"/>
  <c r="AF58"/>
  <c r="AF35"/>
  <c r="AF51"/>
  <c r="AF24"/>
  <c r="AF40"/>
  <c r="AF56"/>
  <c r="AF33"/>
  <c r="AF49"/>
  <c r="AF30"/>
  <c r="AF46"/>
  <c r="AF23"/>
  <c r="AF39"/>
  <c r="AF55"/>
  <c r="AL27"/>
  <c r="AL43"/>
  <c r="AL24"/>
  <c r="AL40"/>
  <c r="AL56"/>
  <c r="AL37"/>
  <c r="AL53"/>
  <c r="AL34"/>
  <c r="AL50"/>
  <c r="AL31"/>
  <c r="AL47"/>
  <c r="AL28"/>
  <c r="AL44"/>
  <c r="AL25"/>
  <c r="AL41"/>
  <c r="AL57"/>
  <c r="AL38"/>
  <c r="AL54"/>
  <c r="AL35"/>
  <c r="AL51"/>
  <c r="AL32"/>
  <c r="AL48"/>
  <c r="AL29"/>
  <c r="AL45"/>
  <c r="AL26"/>
  <c r="AL42"/>
  <c r="AL22"/>
  <c r="AL23"/>
  <c r="AL39"/>
  <c r="AL55"/>
  <c r="AL36"/>
  <c r="AL52"/>
  <c r="AL33"/>
  <c r="AL49"/>
  <c r="AL30"/>
  <c r="AL46"/>
  <c r="AU21"/>
  <c r="AR26"/>
  <c r="AR42"/>
  <c r="AR58"/>
  <c r="AR35"/>
  <c r="AR51"/>
  <c r="AR28"/>
  <c r="AR44"/>
  <c r="AR22"/>
  <c r="AR37"/>
  <c r="AR53"/>
  <c r="AR30"/>
  <c r="AR23"/>
  <c r="AR55"/>
  <c r="AR32"/>
  <c r="AR25"/>
  <c r="AR57"/>
  <c r="AR34"/>
  <c r="AR50"/>
  <c r="AR27"/>
  <c r="AR59"/>
  <c r="AR52"/>
  <c r="AR45"/>
  <c r="AR38"/>
  <c r="AR54"/>
  <c r="AR31"/>
  <c r="AR47"/>
  <c r="AR24"/>
  <c r="AR40"/>
  <c r="AR56"/>
  <c r="AR33"/>
  <c r="AR49"/>
  <c r="AR46"/>
  <c r="AR39"/>
  <c r="AR48"/>
  <c r="AR41"/>
  <c r="AR43"/>
  <c r="AR36"/>
  <c r="AR29"/>
  <c r="AI21"/>
  <c r="S17"/>
  <c r="AO21"/>
  <c r="AN6"/>
  <c r="AT6" s="1"/>
  <c r="S16"/>
  <c r="S44"/>
  <c r="S36"/>
  <c r="S12"/>
  <c r="S40"/>
  <c r="F170" i="8"/>
  <c r="S43" i="3"/>
  <c r="S20"/>
  <c r="S29"/>
  <c r="S33"/>
  <c r="S31"/>
  <c r="S45"/>
  <c r="S42"/>
  <c r="S19"/>
  <c r="S38"/>
  <c r="S13"/>
  <c r="S32"/>
  <c r="S24"/>
  <c r="S30"/>
  <c r="S14"/>
  <c r="S11"/>
  <c r="S26"/>
  <c r="S28"/>
  <c r="S35"/>
  <c r="S10"/>
  <c r="S15"/>
  <c r="S34"/>
  <c r="S9"/>
  <c r="U9" s="1"/>
  <c r="T9" s="1"/>
  <c r="V9" s="1"/>
  <c r="S39"/>
  <c r="S21"/>
  <c r="S25"/>
  <c r="S23"/>
  <c r="S27"/>
  <c r="S37"/>
  <c r="S22"/>
  <c r="S41"/>
  <c r="A207" i="8"/>
  <c r="I17" i="6"/>
  <c r="I16"/>
  <c r="I22"/>
  <c r="I15"/>
  <c r="I23"/>
  <c r="I20"/>
  <c r="I21"/>
  <c r="I19"/>
  <c r="I14"/>
  <c r="I18"/>
  <c r="E170" i="8"/>
  <c r="F57" i="5"/>
  <c r="E171" i="8" s="1"/>
  <c r="Y20" i="3"/>
  <c r="Y44"/>
  <c r="Y58"/>
  <c r="Y51"/>
  <c r="Y53"/>
  <c r="Y38"/>
  <c r="Y34"/>
  <c r="Y35"/>
  <c r="Y13"/>
  <c r="Y52"/>
  <c r="Y46"/>
  <c r="Y50"/>
  <c r="Y48"/>
  <c r="Y59"/>
  <c r="Y10"/>
  <c r="Y37"/>
  <c r="Y54"/>
  <c r="Y27"/>
  <c r="Y32"/>
  <c r="Y28"/>
  <c r="Y12"/>
  <c r="Y29"/>
  <c r="Y21"/>
  <c r="Y11"/>
  <c r="Y33"/>
  <c r="Y41"/>
  <c r="Y43"/>
  <c r="Y17"/>
  <c r="Y9"/>
  <c r="AA9" s="1"/>
  <c r="Z9" s="1"/>
  <c r="AB9" s="1"/>
  <c r="Y39"/>
  <c r="Y15"/>
  <c r="Y30"/>
  <c r="Y19"/>
  <c r="Y49"/>
  <c r="Y14"/>
  <c r="Y22"/>
  <c r="Y47"/>
  <c r="Y26"/>
  <c r="Y31"/>
  <c r="Y16"/>
  <c r="Y40"/>
  <c r="Y25"/>
  <c r="Y36"/>
  <c r="Y56"/>
  <c r="Y57"/>
  <c r="Y42"/>
  <c r="Y24"/>
  <c r="Y55"/>
  <c r="Y23"/>
  <c r="Y45"/>
  <c r="M14"/>
  <c r="M43"/>
  <c r="M19"/>
  <c r="M45"/>
  <c r="M33"/>
  <c r="M15"/>
  <c r="M42"/>
  <c r="M27"/>
  <c r="M46"/>
  <c r="M37"/>
  <c r="M9"/>
  <c r="M23"/>
  <c r="M22"/>
  <c r="M25"/>
  <c r="M30"/>
  <c r="M39"/>
  <c r="M16"/>
  <c r="M34"/>
  <c r="M49"/>
  <c r="M52"/>
  <c r="M38"/>
  <c r="M13"/>
  <c r="M24"/>
  <c r="M44"/>
  <c r="M47"/>
  <c r="M32"/>
  <c r="M40"/>
  <c r="M41"/>
  <c r="M35"/>
  <c r="M28"/>
  <c r="M31"/>
  <c r="M50"/>
  <c r="M36"/>
  <c r="M21"/>
  <c r="M17"/>
  <c r="M26"/>
  <c r="M10"/>
  <c r="M12"/>
  <c r="M20"/>
  <c r="M48"/>
  <c r="M29"/>
  <c r="M11"/>
  <c r="M51"/>
  <c r="B27" i="5" l="1"/>
  <c r="B39" s="1"/>
  <c r="B44"/>
  <c r="B46" s="1"/>
  <c r="B52" s="1"/>
  <c r="G10" i="3"/>
  <c r="B108" i="8" s="1"/>
  <c r="G12" i="3"/>
  <c r="B110" i="8" s="1"/>
  <c r="G13" i="3"/>
  <c r="B111" i="8" s="1"/>
  <c r="G11" i="3"/>
  <c r="B109" i="8" s="1"/>
  <c r="G14" i="3"/>
  <c r="B112" i="8" s="1"/>
  <c r="AN22" i="3"/>
  <c r="AM22" s="1"/>
  <c r="AO22" s="1"/>
  <c r="AN23" s="1"/>
  <c r="AM23" s="1"/>
  <c r="AO23" s="1"/>
  <c r="AN24" s="1"/>
  <c r="AM24" s="1"/>
  <c r="AO24" s="1"/>
  <c r="AN25" s="1"/>
  <c r="AM25" s="1"/>
  <c r="AO25" s="1"/>
  <c r="AN26" s="1"/>
  <c r="AM26" s="1"/>
  <c r="AO26" s="1"/>
  <c r="AN27" s="1"/>
  <c r="AM27" s="1"/>
  <c r="AO27" s="1"/>
  <c r="AN28" s="1"/>
  <c r="AM28" s="1"/>
  <c r="AO28" s="1"/>
  <c r="AN29" s="1"/>
  <c r="AM29" s="1"/>
  <c r="AO29" s="1"/>
  <c r="AN30" s="1"/>
  <c r="AM30" s="1"/>
  <c r="AO30" s="1"/>
  <c r="AN31" s="1"/>
  <c r="AM31" s="1"/>
  <c r="AO31" s="1"/>
  <c r="AN32" s="1"/>
  <c r="AM32" s="1"/>
  <c r="AO32" s="1"/>
  <c r="AN33" s="1"/>
  <c r="AM33" s="1"/>
  <c r="AO33" s="1"/>
  <c r="AN34" s="1"/>
  <c r="AM34" s="1"/>
  <c r="AO34" s="1"/>
  <c r="AN35" s="1"/>
  <c r="AM35" s="1"/>
  <c r="AO35" s="1"/>
  <c r="AN36" s="1"/>
  <c r="AM36" s="1"/>
  <c r="AO36" s="1"/>
  <c r="AN37" s="1"/>
  <c r="AM37" s="1"/>
  <c r="AO37" s="1"/>
  <c r="AN38" s="1"/>
  <c r="AM38" s="1"/>
  <c r="AO38" s="1"/>
  <c r="AN39" s="1"/>
  <c r="AM39" s="1"/>
  <c r="AO39" s="1"/>
  <c r="AN40" s="1"/>
  <c r="AM40" s="1"/>
  <c r="AO40" s="1"/>
  <c r="AN41" s="1"/>
  <c r="AM41" s="1"/>
  <c r="AO41" s="1"/>
  <c r="AN42" s="1"/>
  <c r="AM42" s="1"/>
  <c r="AO42" s="1"/>
  <c r="AN43" s="1"/>
  <c r="AM43" s="1"/>
  <c r="AO43" s="1"/>
  <c r="AN44" s="1"/>
  <c r="AM44" s="1"/>
  <c r="AO44" s="1"/>
  <c r="AN45" s="1"/>
  <c r="AM45" s="1"/>
  <c r="AO45" s="1"/>
  <c r="AN46" s="1"/>
  <c r="AM46" s="1"/>
  <c r="AO46" s="1"/>
  <c r="AN47" s="1"/>
  <c r="AM47" s="1"/>
  <c r="AO47" s="1"/>
  <c r="AN48" s="1"/>
  <c r="AM48" s="1"/>
  <c r="AO48" s="1"/>
  <c r="AN49" s="1"/>
  <c r="AM49" s="1"/>
  <c r="AO49" s="1"/>
  <c r="AN50" s="1"/>
  <c r="AM50" s="1"/>
  <c r="AO50" s="1"/>
  <c r="AN51" s="1"/>
  <c r="AM51" s="1"/>
  <c r="AO51" s="1"/>
  <c r="AN52" s="1"/>
  <c r="AM52" s="1"/>
  <c r="AO52" s="1"/>
  <c r="AN53" s="1"/>
  <c r="AM53" s="1"/>
  <c r="AO53" s="1"/>
  <c r="AN54" s="1"/>
  <c r="AM54" s="1"/>
  <c r="AO54" s="1"/>
  <c r="AN55" s="1"/>
  <c r="AM55" s="1"/>
  <c r="AO55" s="1"/>
  <c r="AN56" s="1"/>
  <c r="AM56" s="1"/>
  <c r="AO56" s="1"/>
  <c r="AN57" s="1"/>
  <c r="AM57" s="1"/>
  <c r="AO57" s="1"/>
  <c r="AH22"/>
  <c r="AG22" s="1"/>
  <c r="AI22" s="1"/>
  <c r="AH23" s="1"/>
  <c r="AG23" s="1"/>
  <c r="AI23" s="1"/>
  <c r="U10"/>
  <c r="T10" s="1"/>
  <c r="V10" s="1"/>
  <c r="U11" s="1"/>
  <c r="T11" s="1"/>
  <c r="V11" s="1"/>
  <c r="U12" s="1"/>
  <c r="T12" s="1"/>
  <c r="V12" s="1"/>
  <c r="U13" s="1"/>
  <c r="T13" s="1"/>
  <c r="V13" s="1"/>
  <c r="U14" s="1"/>
  <c r="T14" s="1"/>
  <c r="V14" s="1"/>
  <c r="U15" s="1"/>
  <c r="T15" s="1"/>
  <c r="E34" i="6"/>
  <c r="D34"/>
  <c r="C207" i="8" s="1"/>
  <c r="AA10" i="3"/>
  <c r="Z10" s="1"/>
  <c r="AB10" s="1"/>
  <c r="AA11" s="1"/>
  <c r="Z11" s="1"/>
  <c r="AB11" s="1"/>
  <c r="AA12" s="1"/>
  <c r="Z12" s="1"/>
  <c r="AB12" s="1"/>
  <c r="AA13" s="1"/>
  <c r="Z13" s="1"/>
  <c r="AB13" s="1"/>
  <c r="AA14" s="1"/>
  <c r="Z14" s="1"/>
  <c r="AB14" s="1"/>
  <c r="AA15" s="1"/>
  <c r="Z15" s="1"/>
  <c r="AB15" s="1"/>
  <c r="AA16" s="1"/>
  <c r="Z16" s="1"/>
  <c r="AB16" s="1"/>
  <c r="AA17" s="1"/>
  <c r="Z17" s="1"/>
  <c r="AB17" s="1"/>
  <c r="AA19" s="1"/>
  <c r="Z19" s="1"/>
  <c r="AB19" s="1"/>
  <c r="AA20" s="1"/>
  <c r="Z20" s="1"/>
  <c r="AB20" s="1"/>
  <c r="AA21" s="1"/>
  <c r="Z21" s="1"/>
  <c r="AB21" s="1"/>
  <c r="AA22" s="1"/>
  <c r="Z22" s="1"/>
  <c r="AB22" s="1"/>
  <c r="AA23" s="1"/>
  <c r="Z23" s="1"/>
  <c r="AB23" s="1"/>
  <c r="AA24" s="1"/>
  <c r="Z24" s="1"/>
  <c r="AB24" s="1"/>
  <c r="AA25" s="1"/>
  <c r="Z25" s="1"/>
  <c r="AB25" s="1"/>
  <c r="AA26" s="1"/>
  <c r="Z26" s="1"/>
  <c r="O9"/>
  <c r="N9" l="1"/>
  <c r="AH24"/>
  <c r="AG24" s="1"/>
  <c r="AI24" s="1"/>
  <c r="AS11"/>
  <c r="V15"/>
  <c r="U16" s="1"/>
  <c r="T16" s="1"/>
  <c r="V16" s="1"/>
  <c r="U17" s="1"/>
  <c r="T17" s="1"/>
  <c r="V17" s="1"/>
  <c r="U19" s="1"/>
  <c r="T19" s="1"/>
  <c r="V19" s="1"/>
  <c r="U20" s="1"/>
  <c r="T20" s="1"/>
  <c r="V20" s="1"/>
  <c r="U21" s="1"/>
  <c r="T21" s="1"/>
  <c r="V21" s="1"/>
  <c r="U22" s="1"/>
  <c r="T22" s="1"/>
  <c r="V22" s="1"/>
  <c r="F34" i="6"/>
  <c r="E207" i="8" s="1"/>
  <c r="D207"/>
  <c r="AB26" i="3"/>
  <c r="AA27" s="1"/>
  <c r="Z27" s="1"/>
  <c r="P9" l="1"/>
  <c r="AH25"/>
  <c r="AG25" s="1"/>
  <c r="AI25" s="1"/>
  <c r="U23"/>
  <c r="T23" s="1"/>
  <c r="V23" s="1"/>
  <c r="U24" s="1"/>
  <c r="T24" s="1"/>
  <c r="AB27"/>
  <c r="AA28" s="1"/>
  <c r="Z28" s="1"/>
  <c r="AB28" s="1"/>
  <c r="O10" l="1"/>
  <c r="AH26"/>
  <c r="AG26" s="1"/>
  <c r="AI26" s="1"/>
  <c r="V24"/>
  <c r="U25" s="1"/>
  <c r="T25" s="1"/>
  <c r="V25" s="1"/>
  <c r="U26" s="1"/>
  <c r="T26" s="1"/>
  <c r="AA29"/>
  <c r="Z29" s="1"/>
  <c r="AB29" s="1"/>
  <c r="N10" l="1"/>
  <c r="AH27"/>
  <c r="AG27" s="1"/>
  <c r="AI27" s="1"/>
  <c r="V26"/>
  <c r="U27" s="1"/>
  <c r="T27" s="1"/>
  <c r="AA30"/>
  <c r="Z30" s="1"/>
  <c r="AB30" s="1"/>
  <c r="P10" l="1"/>
  <c r="AH28"/>
  <c r="AG28" s="1"/>
  <c r="AI28" s="1"/>
  <c r="V27"/>
  <c r="U28" s="1"/>
  <c r="T28" s="1"/>
  <c r="AA31"/>
  <c r="Z31" s="1"/>
  <c r="AB31" s="1"/>
  <c r="O11" l="1"/>
  <c r="AH29"/>
  <c r="AG29" s="1"/>
  <c r="AI29" s="1"/>
  <c r="V28"/>
  <c r="U29" s="1"/>
  <c r="T29" s="1"/>
  <c r="AA32"/>
  <c r="Z32" s="1"/>
  <c r="AB32" s="1"/>
  <c r="N11" l="1"/>
  <c r="AH30"/>
  <c r="AG30" s="1"/>
  <c r="AI30" s="1"/>
  <c r="V29"/>
  <c r="U30" s="1"/>
  <c r="T30" s="1"/>
  <c r="AA33"/>
  <c r="Z33" s="1"/>
  <c r="AB33" s="1"/>
  <c r="P11" l="1"/>
  <c r="O12" s="1"/>
  <c r="AH31"/>
  <c r="AG31" s="1"/>
  <c r="AI31" s="1"/>
  <c r="V30"/>
  <c r="U31" s="1"/>
  <c r="T31" s="1"/>
  <c r="AA34"/>
  <c r="Z34" s="1"/>
  <c r="AB34" s="1"/>
  <c r="N12" l="1"/>
  <c r="AH32"/>
  <c r="AG32" s="1"/>
  <c r="AI32" s="1"/>
  <c r="AS20"/>
  <c r="V31"/>
  <c r="U32" s="1"/>
  <c r="T32" s="1"/>
  <c r="AA35"/>
  <c r="Z35" s="1"/>
  <c r="AB35" s="1"/>
  <c r="P12" l="1"/>
  <c r="O13" s="1"/>
  <c r="AH33"/>
  <c r="AG33" s="1"/>
  <c r="AI33" s="1"/>
  <c r="V32"/>
  <c r="U33" s="1"/>
  <c r="T33" s="1"/>
  <c r="AA36"/>
  <c r="Z36" s="1"/>
  <c r="AB36" s="1"/>
  <c r="N13" l="1"/>
  <c r="AH34"/>
  <c r="AT22"/>
  <c r="V33"/>
  <c r="U34" s="1"/>
  <c r="T34" s="1"/>
  <c r="AA37"/>
  <c r="Z37" s="1"/>
  <c r="AB37" s="1"/>
  <c r="P13" l="1"/>
  <c r="AG34"/>
  <c r="AS22"/>
  <c r="V34"/>
  <c r="U35" s="1"/>
  <c r="T35" s="1"/>
  <c r="AA38"/>
  <c r="Z38" s="1"/>
  <c r="AB38" s="1"/>
  <c r="O14" l="1"/>
  <c r="N14" s="1"/>
  <c r="P14" s="1"/>
  <c r="O15" s="1"/>
  <c r="N15" s="1"/>
  <c r="P15" s="1"/>
  <c r="O16" s="1"/>
  <c r="N16" s="1"/>
  <c r="P16" s="1"/>
  <c r="O17" s="1"/>
  <c r="N17" s="1"/>
  <c r="P17" s="1"/>
  <c r="O19" s="1"/>
  <c r="N19" s="1"/>
  <c r="P19" s="1"/>
  <c r="O20" s="1"/>
  <c r="N20" s="1"/>
  <c r="P20" s="1"/>
  <c r="O21" s="1"/>
  <c r="AI34"/>
  <c r="AU22"/>
  <c r="AT23" s="1"/>
  <c r="AS23" s="1"/>
  <c r="V35"/>
  <c r="U36" s="1"/>
  <c r="T36" s="1"/>
  <c r="AA39"/>
  <c r="Z39" s="1"/>
  <c r="AB39" s="1"/>
  <c r="AH35" l="1"/>
  <c r="AG35" s="1"/>
  <c r="AI35" s="1"/>
  <c r="N21"/>
  <c r="I10"/>
  <c r="C14" i="5" s="1"/>
  <c r="C15" s="1"/>
  <c r="C16" s="1"/>
  <c r="AU23" i="3"/>
  <c r="AT24" s="1"/>
  <c r="AS24" s="1"/>
  <c r="V36"/>
  <c r="U37" s="1"/>
  <c r="T37" s="1"/>
  <c r="AA40"/>
  <c r="Z40" s="1"/>
  <c r="AB40" s="1"/>
  <c r="AH36" l="1"/>
  <c r="AG36" s="1"/>
  <c r="AI36" s="1"/>
  <c r="AH37" s="1"/>
  <c r="AG37" s="1"/>
  <c r="D108" i="8"/>
  <c r="P21" i="3"/>
  <c r="H10"/>
  <c r="AU24"/>
  <c r="AT25" s="1"/>
  <c r="V37"/>
  <c r="U38" s="1"/>
  <c r="T38" s="1"/>
  <c r="AA41"/>
  <c r="Z41" s="1"/>
  <c r="AB41" s="1"/>
  <c r="J10" l="1"/>
  <c r="C108" i="8"/>
  <c r="O22" i="3"/>
  <c r="N22" s="1"/>
  <c r="P22" s="1"/>
  <c r="B125" i="8"/>
  <c r="AI37" i="3"/>
  <c r="AS25"/>
  <c r="V38"/>
  <c r="U39" s="1"/>
  <c r="T39" s="1"/>
  <c r="AA42"/>
  <c r="Z42" s="1"/>
  <c r="AB42" s="1"/>
  <c r="AH38" l="1"/>
  <c r="AG38" s="1"/>
  <c r="AI38" s="1"/>
  <c r="AH39" s="1"/>
  <c r="AG39" s="1"/>
  <c r="O23"/>
  <c r="N23" s="1"/>
  <c r="P23" s="1"/>
  <c r="B127" i="8"/>
  <c r="C31" i="5"/>
  <c r="B147" i="8" s="1"/>
  <c r="E108"/>
  <c r="AU25" i="3"/>
  <c r="AT26" s="1"/>
  <c r="V39"/>
  <c r="U40" s="1"/>
  <c r="T40" s="1"/>
  <c r="V40" s="1"/>
  <c r="U41" s="1"/>
  <c r="T41" s="1"/>
  <c r="AA43"/>
  <c r="Z43" s="1"/>
  <c r="AB43" s="1"/>
  <c r="B128" i="8" l="1"/>
  <c r="C29" i="5"/>
  <c r="O24" i="3"/>
  <c r="N24" s="1"/>
  <c r="P24" s="1"/>
  <c r="O25" s="1"/>
  <c r="N25" s="1"/>
  <c r="P25" s="1"/>
  <c r="O26" s="1"/>
  <c r="N26" s="1"/>
  <c r="P26" s="1"/>
  <c r="O27" s="1"/>
  <c r="N27" s="1"/>
  <c r="P27" s="1"/>
  <c r="O28" s="1"/>
  <c r="N28" s="1"/>
  <c r="P28" s="1"/>
  <c r="C17" i="5"/>
  <c r="AI39" i="3"/>
  <c r="AS26"/>
  <c r="V41"/>
  <c r="U42" s="1"/>
  <c r="T42" s="1"/>
  <c r="AA44"/>
  <c r="Z44" s="1"/>
  <c r="AB44" s="1"/>
  <c r="AH40" l="1"/>
  <c r="AG40" s="1"/>
  <c r="AI40" s="1"/>
  <c r="AH41" s="1"/>
  <c r="AG41" s="1"/>
  <c r="C45" i="5"/>
  <c r="B159" i="8" s="1"/>
  <c r="C30" i="5"/>
  <c r="B145" i="8"/>
  <c r="C35" i="5"/>
  <c r="B129" i="8"/>
  <c r="AU26" i="3"/>
  <c r="AT27" s="1"/>
  <c r="V42"/>
  <c r="U43" s="1"/>
  <c r="T43" s="1"/>
  <c r="AA45"/>
  <c r="Z45" s="1"/>
  <c r="AB45" s="1"/>
  <c r="O29"/>
  <c r="N29" s="1"/>
  <c r="P29" s="1"/>
  <c r="C36" i="5" l="1"/>
  <c r="B152" i="8" s="1"/>
  <c r="B151"/>
  <c r="B146"/>
  <c r="C32" i="5"/>
  <c r="AI41" i="3"/>
  <c r="AS27"/>
  <c r="V43"/>
  <c r="U44" s="1"/>
  <c r="T44" s="1"/>
  <c r="AA46"/>
  <c r="Z46" s="1"/>
  <c r="AB46" s="1"/>
  <c r="O30"/>
  <c r="N30" s="1"/>
  <c r="P30" s="1"/>
  <c r="AH42" l="1"/>
  <c r="AG42" s="1"/>
  <c r="AI42" s="1"/>
  <c r="AH43" s="1"/>
  <c r="AG43" s="1"/>
  <c r="AI43" s="1"/>
  <c r="C38" i="5"/>
  <c r="B148" i="8"/>
  <c r="AU27" i="3"/>
  <c r="AT28" s="1"/>
  <c r="V44"/>
  <c r="U45" s="1"/>
  <c r="T45" s="1"/>
  <c r="AA47"/>
  <c r="Z47" s="1"/>
  <c r="AB47" s="1"/>
  <c r="O31"/>
  <c r="N31" s="1"/>
  <c r="P31" s="1"/>
  <c r="AH44" l="1"/>
  <c r="AG44" s="1"/>
  <c r="AI44" s="1"/>
  <c r="AH45" s="1"/>
  <c r="AG45" s="1"/>
  <c r="C22" i="5"/>
  <c r="B154" i="8"/>
  <c r="AS28" i="3"/>
  <c r="V45"/>
  <c r="AA48"/>
  <c r="Z48" s="1"/>
  <c r="AB48" s="1"/>
  <c r="O32"/>
  <c r="N32" s="1"/>
  <c r="P32" s="1"/>
  <c r="B138" i="8" l="1"/>
  <c r="C44" i="5"/>
  <c r="C27"/>
  <c r="AI45" i="3"/>
  <c r="AH46" s="1"/>
  <c r="AU28"/>
  <c r="AT29" s="1"/>
  <c r="AS29" s="1"/>
  <c r="AU29" s="1"/>
  <c r="AT30" s="1"/>
  <c r="AS30" s="1"/>
  <c r="AU30" s="1"/>
  <c r="AT31" s="1"/>
  <c r="AS31" s="1"/>
  <c r="AU31" s="1"/>
  <c r="AT32" s="1"/>
  <c r="AS32" s="1"/>
  <c r="AU32" s="1"/>
  <c r="AT33" s="1"/>
  <c r="AA49"/>
  <c r="Z49" s="1"/>
  <c r="AB49" s="1"/>
  <c r="O33"/>
  <c r="C39" i="5" l="1"/>
  <c r="B143" i="8"/>
  <c r="C46" i="5"/>
  <c r="B158" i="8"/>
  <c r="AG46" i="3"/>
  <c r="AS33"/>
  <c r="I11"/>
  <c r="D109" i="8" s="1"/>
  <c r="AA50" i="3"/>
  <c r="Z50" s="1"/>
  <c r="AB50" s="1"/>
  <c r="N33"/>
  <c r="C52" i="5" l="1"/>
  <c r="B160" i="8"/>
  <c r="AI46" i="3"/>
  <c r="D14" i="5"/>
  <c r="AU33" i="3"/>
  <c r="AT34" s="1"/>
  <c r="H11"/>
  <c r="C109" i="8" s="1"/>
  <c r="AA51" i="3"/>
  <c r="Z51" s="1"/>
  <c r="AB51" s="1"/>
  <c r="P33"/>
  <c r="C125" i="8" l="1"/>
  <c r="D15" i="5"/>
  <c r="D16" s="1"/>
  <c r="AH47" i="3"/>
  <c r="AG47" s="1"/>
  <c r="AI47" s="1"/>
  <c r="AH48" s="1"/>
  <c r="AG48" s="1"/>
  <c r="B166" i="8"/>
  <c r="C58" i="5"/>
  <c r="AS34" i="3"/>
  <c r="J11"/>
  <c r="E109" i="8" s="1"/>
  <c r="AA52" i="3"/>
  <c r="Z52" s="1"/>
  <c r="AB52" s="1"/>
  <c r="O34"/>
  <c r="C127" i="8" l="1"/>
  <c r="C59" i="5"/>
  <c r="B172" i="8"/>
  <c r="D31" i="5"/>
  <c r="C147" i="8" s="1"/>
  <c r="AI48" i="3"/>
  <c r="AU34"/>
  <c r="AT35" s="1"/>
  <c r="D29" i="5"/>
  <c r="C128" i="8"/>
  <c r="D17" i="5"/>
  <c r="N34" i="3"/>
  <c r="AA53"/>
  <c r="Z53" s="1"/>
  <c r="AB53" s="1"/>
  <c r="AH49" l="1"/>
  <c r="AG49" s="1"/>
  <c r="AI49" s="1"/>
  <c r="D7" i="6"/>
  <c r="B173" i="8"/>
  <c r="AS35" i="3"/>
  <c r="C145" i="8"/>
  <c r="D45" i="5"/>
  <c r="C159" i="8" s="1"/>
  <c r="D30" i="5"/>
  <c r="D35"/>
  <c r="C129" i="8"/>
  <c r="P34" i="3"/>
  <c r="AA54"/>
  <c r="Z54" s="1"/>
  <c r="AB54" s="1"/>
  <c r="B182" i="8" l="1"/>
  <c r="AH50" i="3"/>
  <c r="AG50" s="1"/>
  <c r="AI50" s="1"/>
  <c r="AU35"/>
  <c r="AT36" s="1"/>
  <c r="C146" i="8"/>
  <c r="D32" i="5"/>
  <c r="D36"/>
  <c r="C152" i="8" s="1"/>
  <c r="C151"/>
  <c r="O35" i="3"/>
  <c r="N35" s="1"/>
  <c r="P35" s="1"/>
  <c r="O36" s="1"/>
  <c r="N36" s="1"/>
  <c r="AA55"/>
  <c r="Z55" s="1"/>
  <c r="AB55" s="1"/>
  <c r="AH51" l="1"/>
  <c r="AG51" s="1"/>
  <c r="AI51" s="1"/>
  <c r="AS36"/>
  <c r="D38" i="5"/>
  <c r="C148" i="8"/>
  <c r="P36" i="3"/>
  <c r="AA56"/>
  <c r="Z56" s="1"/>
  <c r="AB56" s="1"/>
  <c r="AH52" l="1"/>
  <c r="AG52" s="1"/>
  <c r="AI52" s="1"/>
  <c r="AU36"/>
  <c r="AT37" s="1"/>
  <c r="D22" i="5"/>
  <c r="C154" i="8"/>
  <c r="O37" i="3"/>
  <c r="N37" s="1"/>
  <c r="P37" s="1"/>
  <c r="AA57"/>
  <c r="Z57" s="1"/>
  <c r="AB57" s="1"/>
  <c r="AH53" l="1"/>
  <c r="AG53" s="1"/>
  <c r="AI53" s="1"/>
  <c r="AH54" s="1"/>
  <c r="AG54" s="1"/>
  <c r="AS37"/>
  <c r="D44" i="5"/>
  <c r="C138" i="8"/>
  <c r="D27" i="5"/>
  <c r="O38" i="3"/>
  <c r="N38" s="1"/>
  <c r="P38" s="1"/>
  <c r="O39" s="1"/>
  <c r="N39" s="1"/>
  <c r="AA58"/>
  <c r="AI54" l="1"/>
  <c r="AU37"/>
  <c r="AT38" s="1"/>
  <c r="AS38" s="1"/>
  <c r="AU38" s="1"/>
  <c r="AT39" s="1"/>
  <c r="AS39" s="1"/>
  <c r="AU39" s="1"/>
  <c r="AT40" s="1"/>
  <c r="AS40" s="1"/>
  <c r="AU40" s="1"/>
  <c r="AT41" s="1"/>
  <c r="AS41" s="1"/>
  <c r="AU41" s="1"/>
  <c r="AT42" s="1"/>
  <c r="AS42" s="1"/>
  <c r="AU42" s="1"/>
  <c r="AT43" s="1"/>
  <c r="AS43" s="1"/>
  <c r="AU43" s="1"/>
  <c r="AT44" s="1"/>
  <c r="AS44" s="1"/>
  <c r="AU44" s="1"/>
  <c r="AT45" s="1"/>
  <c r="D46" i="5"/>
  <c r="C158" i="8"/>
  <c r="D39" i="5"/>
  <c r="C143" i="8"/>
  <c r="P39" i="3"/>
  <c r="O40" s="1"/>
  <c r="N40" s="1"/>
  <c r="Z58"/>
  <c r="AH55" l="1"/>
  <c r="AG55" s="1"/>
  <c r="AI55" s="1"/>
  <c r="AS45"/>
  <c r="D52" i="5"/>
  <c r="C160" i="8"/>
  <c r="P40" i="3"/>
  <c r="O41" s="1"/>
  <c r="N41" s="1"/>
  <c r="P41" s="1"/>
  <c r="O42" s="1"/>
  <c r="N42" s="1"/>
  <c r="AB58"/>
  <c r="AH56" l="1"/>
  <c r="AG56" s="1"/>
  <c r="AI56" s="1"/>
  <c r="AU45"/>
  <c r="AT46" s="1"/>
  <c r="D58" i="5"/>
  <c r="C166" i="8"/>
  <c r="AA59" i="3"/>
  <c r="P42"/>
  <c r="O43" s="1"/>
  <c r="N43" s="1"/>
  <c r="AH57" l="1"/>
  <c r="AG57" s="1"/>
  <c r="AI57" s="1"/>
  <c r="AS46"/>
  <c r="D59" i="5"/>
  <c r="C172" i="8"/>
  <c r="P43" i="3"/>
  <c r="O44" s="1"/>
  <c r="N44" s="1"/>
  <c r="Z59"/>
  <c r="AH58" l="1"/>
  <c r="AG58" s="1"/>
  <c r="AI58" s="1"/>
  <c r="AU46"/>
  <c r="AT47" s="1"/>
  <c r="E7" i="6"/>
  <c r="C173" i="8"/>
  <c r="P44" i="3"/>
  <c r="O45" s="1"/>
  <c r="I12" s="1"/>
  <c r="AB59"/>
  <c r="C182" i="8" l="1"/>
  <c r="AH59" i="3"/>
  <c r="AG59" s="1"/>
  <c r="AI59" s="1"/>
  <c r="AS47"/>
  <c r="N45"/>
  <c r="H12" s="1"/>
  <c r="AU47" l="1"/>
  <c r="AT48" s="1"/>
  <c r="E14" i="5"/>
  <c r="E15" s="1"/>
  <c r="D110" i="8"/>
  <c r="P45" i="3"/>
  <c r="AS48" l="1"/>
  <c r="D125" i="8"/>
  <c r="J12" i="3"/>
  <c r="C110" i="8"/>
  <c r="O46" i="3"/>
  <c r="AU48" l="1"/>
  <c r="AT49" s="1"/>
  <c r="E16" i="5"/>
  <c r="D127" i="8"/>
  <c r="E31" i="5"/>
  <c r="E110" i="8"/>
  <c r="N46" i="3"/>
  <c r="AS49" l="1"/>
  <c r="E29" i="5"/>
  <c r="D128" i="8"/>
  <c r="E17" i="5"/>
  <c r="D147" i="8"/>
  <c r="P46" i="3"/>
  <c r="AU49" l="1"/>
  <c r="AT50" s="1"/>
  <c r="AS50" s="1"/>
  <c r="AU50" s="1"/>
  <c r="AT51" s="1"/>
  <c r="AS51" s="1"/>
  <c r="AU51" s="1"/>
  <c r="AT52" s="1"/>
  <c r="AS52" s="1"/>
  <c r="AU52" s="1"/>
  <c r="AT53" s="1"/>
  <c r="AS53" s="1"/>
  <c r="AU53" s="1"/>
  <c r="AT54" s="1"/>
  <c r="AS54" s="1"/>
  <c r="AU54" s="1"/>
  <c r="AT55" s="1"/>
  <c r="AS55" s="1"/>
  <c r="AU55" s="1"/>
  <c r="AT56" s="1"/>
  <c r="AS56" s="1"/>
  <c r="AU56" s="1"/>
  <c r="AT57" s="1"/>
  <c r="E35" i="5"/>
  <c r="D129" i="8"/>
  <c r="E30" i="5"/>
  <c r="D145" i="8"/>
  <c r="E45" i="5"/>
  <c r="D159" i="8" s="1"/>
  <c r="O47" i="3"/>
  <c r="AS57" l="1"/>
  <c r="D146" i="8"/>
  <c r="E32" i="5"/>
  <c r="E36"/>
  <c r="D152" i="8" s="1"/>
  <c r="D151"/>
  <c r="N47" i="3"/>
  <c r="AU57" l="1"/>
  <c r="AT58" s="1"/>
  <c r="E38" i="5"/>
  <c r="D148" i="8"/>
  <c r="P47" i="3"/>
  <c r="AS58" l="1"/>
  <c r="E22" i="5"/>
  <c r="D154" i="8"/>
  <c r="O48" i="3"/>
  <c r="N48" l="1"/>
  <c r="AU58"/>
  <c r="AT59" s="1"/>
  <c r="E44" i="5"/>
  <c r="D138" i="8"/>
  <c r="E27" i="5"/>
  <c r="P48" i="3" l="1"/>
  <c r="O49" s="1"/>
  <c r="AS59"/>
  <c r="I14"/>
  <c r="E46" i="5"/>
  <c r="D158" i="8"/>
  <c r="E39" i="5"/>
  <c r="D143" i="8"/>
  <c r="N49" i="3" l="1"/>
  <c r="G14" i="5"/>
  <c r="G15" s="1"/>
  <c r="D112" i="8"/>
  <c r="AU59" i="3"/>
  <c r="H14"/>
  <c r="C112" i="8" s="1"/>
  <c r="E52" i="5"/>
  <c r="D160" i="8"/>
  <c r="P49" i="3" l="1"/>
  <c r="O50" s="1"/>
  <c r="F125" i="8"/>
  <c r="E58" i="5"/>
  <c r="D166" i="8"/>
  <c r="N50" i="3" l="1"/>
  <c r="F127" i="8"/>
  <c r="G16" i="5"/>
  <c r="E59"/>
  <c r="D172" i="8"/>
  <c r="P50" i="3" l="1"/>
  <c r="O51" s="1"/>
  <c r="G29" i="5"/>
  <c r="F128" i="8"/>
  <c r="G17" i="5"/>
  <c r="F7" i="6"/>
  <c r="D173" i="8"/>
  <c r="D182" l="1"/>
  <c r="N51" i="3"/>
  <c r="G35" i="5"/>
  <c r="F129" i="8"/>
  <c r="G45" i="5"/>
  <c r="F159" i="8" s="1"/>
  <c r="G30" i="5"/>
  <c r="F146" i="8" s="1"/>
  <c r="F145"/>
  <c r="P51" i="3" l="1"/>
  <c r="F151" i="8"/>
  <c r="G36" i="5"/>
  <c r="F152" i="8" s="1"/>
  <c r="O52" i="3" l="1"/>
  <c r="N52" l="1"/>
  <c r="I13"/>
  <c r="D111" i="8" l="1"/>
  <c r="F14" i="5"/>
  <c r="F15" s="1"/>
  <c r="H13" i="3"/>
  <c r="P52"/>
  <c r="J13" l="1"/>
  <c r="C111" i="8"/>
  <c r="E125"/>
  <c r="F16" i="5" l="1"/>
  <c r="E127" i="8"/>
  <c r="E111"/>
  <c r="F31" i="5"/>
  <c r="E147" i="8" s="1"/>
  <c r="J14" i="3"/>
  <c r="E112" i="8" l="1"/>
  <c r="G31" i="5"/>
  <c r="F17"/>
  <c r="F29"/>
  <c r="E128" i="8"/>
  <c r="F45" i="5" l="1"/>
  <c r="E159" i="8" s="1"/>
  <c r="E145"/>
  <c r="F30" i="5"/>
  <c r="E129" i="8"/>
  <c r="F35" i="5"/>
  <c r="F147" i="8"/>
  <c r="G32" i="5"/>
  <c r="G38" l="1"/>
  <c r="F148" i="8"/>
  <c r="E146"/>
  <c r="F32" i="5"/>
  <c r="F36"/>
  <c r="E152" i="8" s="1"/>
  <c r="E151"/>
  <c r="F38" i="5" l="1"/>
  <c r="E148" i="8"/>
  <c r="G22" i="5"/>
  <c r="F154" i="8"/>
  <c r="F138" l="1"/>
  <c r="G27" i="5"/>
  <c r="G44"/>
  <c r="F22"/>
  <c r="E154" i="8"/>
  <c r="E138" l="1"/>
  <c r="F44" i="5"/>
  <c r="F27"/>
  <c r="G46"/>
  <c r="F158" i="8"/>
  <c r="G39" i="5"/>
  <c r="F143" i="8"/>
  <c r="G52" i="5" l="1"/>
  <c r="F160" i="8"/>
  <c r="E143"/>
  <c r="F39" i="5"/>
  <c r="E158" i="8"/>
  <c r="F46" i="5"/>
  <c r="F52" l="1"/>
  <c r="G58" s="1"/>
  <c r="E160" i="8"/>
  <c r="F166"/>
  <c r="F172" l="1"/>
  <c r="G59" i="5"/>
  <c r="F58"/>
  <c r="E166" i="8"/>
  <c r="F59" i="5" l="1"/>
  <c r="E172" i="8"/>
  <c r="H7" i="6"/>
  <c r="F182" i="8" s="1"/>
  <c r="F173"/>
  <c r="E173" l="1"/>
  <c r="G7" i="6"/>
  <c r="D9" s="1"/>
  <c r="D185" i="8" l="1"/>
  <c r="E182"/>
  <c r="D10" i="6"/>
  <c r="D187" i="8" s="1"/>
</calcChain>
</file>

<file path=xl/comments1.xml><?xml version="1.0" encoding="utf-8"?>
<comments xmlns="http://schemas.openxmlformats.org/spreadsheetml/2006/main">
  <authors>
    <author>DARIO MAURICIO REYES GIRALDO</author>
  </authors>
  <commentList>
    <comment ref="Z1" authorId="0">
      <text>
        <r>
          <rPr>
            <b/>
            <sz val="9"/>
            <color indexed="81"/>
            <rFont val="Tahoma"/>
            <family val="2"/>
          </rPr>
          <t>DARIO MAURICIO REYES GIRALDO:</t>
        </r>
        <r>
          <rPr>
            <sz val="9"/>
            <color indexed="81"/>
            <rFont val="Tahoma"/>
            <family val="2"/>
          </rPr>
          <t xml:space="preserve">
Defina el año base o de inicio de la operación del negocio.</t>
        </r>
      </text>
    </comment>
    <comment ref="B3" authorId="0">
      <text>
        <r>
          <rPr>
            <b/>
            <sz val="9"/>
            <color indexed="81"/>
            <rFont val="Tahoma"/>
            <family val="2"/>
          </rPr>
          <t>DARIO MAURICIO REYES GIRALDO:</t>
        </r>
        <r>
          <rPr>
            <sz val="9"/>
            <color indexed="81"/>
            <rFont val="Tahoma"/>
            <family val="2"/>
          </rPr>
          <t xml:space="preserve">
Digita el nombre de cada línea de producto o servicio a vender</t>
        </r>
      </text>
    </comment>
    <comment ref="C3" authorId="0">
      <text>
        <r>
          <rPr>
            <b/>
            <sz val="9"/>
            <color indexed="81"/>
            <rFont val="Tahoma"/>
            <family val="2"/>
          </rPr>
          <t>DARIO MAURICIO REYES GIRALDO:</t>
        </r>
        <r>
          <rPr>
            <sz val="9"/>
            <color indexed="81"/>
            <rFont val="Tahoma"/>
            <family val="2"/>
          </rPr>
          <t xml:space="preserve">
Digita las cantidades a vender en el primer año de cada pdto/servicio.</t>
        </r>
      </text>
    </comment>
    <comment ref="D3" authorId="0">
      <text>
        <r>
          <rPr>
            <b/>
            <sz val="9"/>
            <color indexed="81"/>
            <rFont val="Tahoma"/>
            <family val="2"/>
          </rPr>
          <t>DARIO MAURICIO REYES GIRALDO:</t>
        </r>
        <r>
          <rPr>
            <sz val="9"/>
            <color indexed="81"/>
            <rFont val="Tahoma"/>
            <family val="2"/>
          </rPr>
          <t xml:space="preserve">
Digita el precio UNITARIO, sin IVA, de cada pdto/servicio.</t>
        </r>
      </text>
    </comment>
    <comment ref="G3" authorId="0">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Y4" authorId="0">
      <text>
        <r>
          <rPr>
            <b/>
            <sz val="9"/>
            <color indexed="81"/>
            <rFont val="Tahoma"/>
            <family val="2"/>
          </rPr>
          <t>DARIO MAURICIO REYES GIRALDO:</t>
        </r>
        <r>
          <rPr>
            <sz val="9"/>
            <color indexed="81"/>
            <rFont val="Tahoma"/>
            <family val="2"/>
          </rPr>
          <t xml:space="preserve">
Actualizar los datos según proyecciones macroeconómicas. Se pueden buscar en la página web del Banco de la República o del Banco de Colombia.</t>
        </r>
      </text>
    </comment>
    <comment ref="Y5" authorId="0">
      <text>
        <r>
          <rPr>
            <b/>
            <sz val="9"/>
            <color indexed="81"/>
            <rFont val="Tahoma"/>
            <family val="2"/>
          </rPr>
          <t>DARIO MAURICIO REYES GIRALDO:</t>
        </r>
        <r>
          <rPr>
            <sz val="9"/>
            <color indexed="81"/>
            <rFont val="Tahoma"/>
            <family val="2"/>
          </rPr>
          <t xml:space="preserve">
Actualizar los datos según proyecciones macroeconómicas. Se pueden buscar en la página web del Banco de la República o del Banco de Colombia.</t>
        </r>
      </text>
    </comment>
    <comment ref="AB7" authorId="0">
      <text>
        <r>
          <rPr>
            <b/>
            <sz val="9"/>
            <color indexed="81"/>
            <rFont val="Tahoma"/>
            <family val="2"/>
          </rPr>
          <t>DARIO MAURICIO REYES GIRALDO:</t>
        </r>
        <r>
          <rPr>
            <sz val="9"/>
            <color indexed="81"/>
            <rFont val="Tahoma"/>
            <family val="2"/>
          </rPr>
          <t xml:space="preserve">
incluya la tasa de impuesto de Renta vigente.</t>
        </r>
      </text>
    </comment>
    <comment ref="D17" authorId="0">
      <text>
        <r>
          <rPr>
            <b/>
            <sz val="9"/>
            <color indexed="81"/>
            <rFont val="Tahoma"/>
            <family val="2"/>
          </rPr>
          <t>DARIO MAURICIO REYES GIRALDO:</t>
        </r>
        <r>
          <rPr>
            <sz val="9"/>
            <color indexed="81"/>
            <rFont val="Tahoma"/>
            <family val="2"/>
          </rPr>
          <t xml:space="preserve">
INCLUIR  SOLO LOS COSTOS VARIABLES UNITARIOS DE PRODUCCIÓN, COMERCIALIZACIÓN O DE PRESTACIÓN DEL SERVICIO. </t>
        </r>
      </text>
    </comment>
  </commentList>
</comments>
</file>

<file path=xl/comments2.xml><?xml version="1.0" encoding="utf-8"?>
<comments xmlns="http://schemas.openxmlformats.org/spreadsheetml/2006/main">
  <authors>
    <author>DARIO MAURICIO REYES GIRALDO</author>
  </authors>
  <commentList>
    <comment ref="C4" authorId="0">
      <text>
        <r>
          <rPr>
            <b/>
            <sz val="9"/>
            <color indexed="81"/>
            <rFont val="Tahoma"/>
            <family val="2"/>
          </rPr>
          <t>DARIO MAURICIO REYES GIRALDO:</t>
        </r>
        <r>
          <rPr>
            <sz val="9"/>
            <color indexed="81"/>
            <rFont val="Tahoma"/>
            <family val="2"/>
          </rPr>
          <t xml:space="preserve">
En esta columna solo ingrese las nuevas inversiones que el empresario va a realizar, ó las inversiones iniciales SI LA EMPRESA ES TOTALEMNET NUEVA!!</t>
        </r>
      </text>
    </comment>
    <comment ref="C5" authorId="0">
      <text>
        <r>
          <rPr>
            <b/>
            <sz val="9"/>
            <color indexed="81"/>
            <rFont val="Tahoma"/>
            <family val="2"/>
          </rPr>
          <t>DARIO MAURICIO REYES GIRALDO:</t>
        </r>
        <r>
          <rPr>
            <sz val="9"/>
            <color indexed="81"/>
            <rFont val="Tahoma"/>
            <family val="2"/>
          </rPr>
          <t xml:space="preserve">
Todos los valores deben se anuales.</t>
        </r>
      </text>
    </comment>
    <comment ref="E6" authorId="0">
      <text>
        <r>
          <rPr>
            <b/>
            <sz val="9"/>
            <color indexed="81"/>
            <rFont val="Tahoma"/>
            <family val="2"/>
          </rPr>
          <t>DARIO MAURICIO REYES GIRALDO:</t>
        </r>
        <r>
          <rPr>
            <sz val="9"/>
            <color indexed="81"/>
            <rFont val="Tahoma"/>
            <family val="2"/>
          </rPr>
          <t xml:space="preserve">
SOLO PARA NEGOCIOS QUE YA ESTÉN FUNCIONANDO, Una buen forma de determinar este valor es preguntarle al empresario cuanto cree que vale su negocio, descontándole las deudas del mismo, si lo desease vender.</t>
        </r>
      </text>
    </comment>
    <comment ref="C19" authorId="0">
      <text>
        <r>
          <rPr>
            <b/>
            <sz val="9"/>
            <color indexed="81"/>
            <rFont val="Tahoma"/>
            <family val="2"/>
          </rPr>
          <t>DARIO MAURICIO REYES GIRALDO:</t>
        </r>
        <r>
          <rPr>
            <sz val="9"/>
            <color indexed="81"/>
            <rFont val="Tahoma"/>
            <family val="2"/>
          </rPr>
          <t xml:space="preserve">
Tengan en cuenta el valor de la nómina que deberá asumir como un pago fijo durante el año, indiferentemente del nivel de ventas o de producción. 
Calcule este valor  de forma apróximada teniendo en cuenta el factor prestacional actual, sí hay contratos directos con la empresa, de lo contrario calcule el valor como si fueran contratos de prestación de servicios o una mezcla de ambos si su modelo de negocio así lo ha definido.</t>
        </r>
      </text>
    </comment>
    <comment ref="F19" authorId="0">
      <text>
        <r>
          <rPr>
            <b/>
            <sz val="9"/>
            <color indexed="81"/>
            <rFont val="Tahoma"/>
            <family val="2"/>
          </rPr>
          <t>DARIO MAURICIO REYES GIRALDO:</t>
        </r>
        <r>
          <rPr>
            <sz val="9"/>
            <color indexed="81"/>
            <rFont val="Tahoma"/>
            <family val="2"/>
          </rPr>
          <t xml:space="preserve">
Todos los valores deben se anuales.</t>
        </r>
      </text>
    </comment>
    <comment ref="C21" authorId="0">
      <text>
        <r>
          <rPr>
            <b/>
            <sz val="9"/>
            <color indexed="81"/>
            <rFont val="Tahoma"/>
            <family val="2"/>
          </rPr>
          <t>DARIO MAURICIO REYES GIRALDO:</t>
        </r>
        <r>
          <rPr>
            <sz val="9"/>
            <color indexed="81"/>
            <rFont val="Tahoma"/>
            <family val="2"/>
          </rPr>
          <t xml:space="preserve">
Tengan en cuenta el valor de la nómina que deberá asumir como un pago fijo durante el año, indiferentemente del nivel de ventas o de producción. 
Calcule este valor  de forma apróximada teniendo en cuenta el factor prestacional actual, sí hay contratos directos con la empresa, de lo contrario calcule el valor como si fueran contratos de prestación de servicios o una mezcla de ambos si su modelo de negocio así lo ha definido.</t>
        </r>
      </text>
    </comment>
    <comment ref="C23" authorId="0">
      <text>
        <r>
          <rPr>
            <b/>
            <sz val="9"/>
            <color indexed="81"/>
            <rFont val="Tahoma"/>
            <family val="2"/>
          </rPr>
          <t>DARIO MAURICIO REYES GIRALDO:</t>
        </r>
        <r>
          <rPr>
            <sz val="9"/>
            <color indexed="81"/>
            <rFont val="Tahoma"/>
            <family val="2"/>
          </rPr>
          <t xml:space="preserve">
Tengan en cuenta el valor de la nómina que deberá asumir como un pago fijo durante el año, indiferentemente del nivel de ventas o de producción. 
Calcule este valor  de forma apróximada teniendo en cuenta el factor prestacional actual, sí hay contratos directos con la empresa, de lo contrario calcule el valor como si fueran contratos de prestación de servicios o una mezcla de ambos si su modelo de negocio así lo ha definido.</t>
        </r>
      </text>
    </comment>
    <comment ref="C26" authorId="0">
      <text>
        <r>
          <rPr>
            <b/>
            <sz val="9"/>
            <color indexed="81"/>
            <rFont val="Tahoma"/>
            <family val="2"/>
          </rPr>
          <t>DARIO MAURICIO REYES GIRALDO:</t>
        </r>
        <r>
          <rPr>
            <sz val="9"/>
            <color indexed="81"/>
            <rFont val="Tahoma"/>
            <family val="2"/>
          </rPr>
          <t xml:space="preserve">
Incluya el valor anual del presupuesto para el desarrollo de las estrategias de:
1. Producto (diseño, empaque, imagen)
2. Promoción.
3. Comunicación.
4. Servicio.
5. Precio (si hay presupuestos asociados para este proceso).</t>
        </r>
      </text>
    </comment>
    <comment ref="E26" authorId="0">
      <text>
        <r>
          <rPr>
            <b/>
            <sz val="9"/>
            <color indexed="81"/>
            <rFont val="Tahoma"/>
            <family val="2"/>
          </rPr>
          <t>DARIO MAURICIO REYES GIRALDO:</t>
        </r>
        <r>
          <rPr>
            <sz val="9"/>
            <color indexed="81"/>
            <rFont val="Tahoma"/>
            <family val="2"/>
          </rPr>
          <t xml:space="preserve">
Digite el nombre de los rubros adicionales.</t>
        </r>
      </text>
    </comment>
    <comment ref="E27" authorId="0">
      <text>
        <r>
          <rPr>
            <b/>
            <sz val="9"/>
            <color indexed="81"/>
            <rFont val="Tahoma"/>
            <family val="2"/>
          </rPr>
          <t>DARIO MAURICIO REYES GIRALDO:</t>
        </r>
        <r>
          <rPr>
            <sz val="9"/>
            <color indexed="81"/>
            <rFont val="Tahoma"/>
            <family val="2"/>
          </rPr>
          <t xml:space="preserve">
Digite el nombre de los rubros adicionales.</t>
        </r>
      </text>
    </comment>
    <comment ref="E28" authorId="0">
      <text>
        <r>
          <rPr>
            <b/>
            <sz val="9"/>
            <color indexed="81"/>
            <rFont val="Tahoma"/>
            <family val="2"/>
          </rPr>
          <t>DARIO MAURICIO REYES GIRALDO:</t>
        </r>
        <r>
          <rPr>
            <sz val="9"/>
            <color indexed="81"/>
            <rFont val="Tahoma"/>
            <family val="2"/>
          </rPr>
          <t xml:space="preserve">
Digite el nombre de los rubros adicionales.</t>
        </r>
      </text>
    </comment>
    <comment ref="E29" authorId="0">
      <text>
        <r>
          <rPr>
            <b/>
            <sz val="9"/>
            <color indexed="81"/>
            <rFont val="Tahoma"/>
            <family val="2"/>
          </rPr>
          <t>DARIO MAURICIO REYES GIRALDO:</t>
        </r>
        <r>
          <rPr>
            <sz val="9"/>
            <color indexed="81"/>
            <rFont val="Tahoma"/>
            <family val="2"/>
          </rPr>
          <t xml:space="preserve">
Digite el nombre de los rubros adicionales.</t>
        </r>
      </text>
    </comment>
    <comment ref="E30" authorId="0">
      <text>
        <r>
          <rPr>
            <b/>
            <sz val="9"/>
            <color indexed="81"/>
            <rFont val="Tahoma"/>
            <family val="2"/>
          </rPr>
          <t>DARIO MAURICIO REYES GIRALDO:</t>
        </r>
        <r>
          <rPr>
            <sz val="9"/>
            <color indexed="81"/>
            <rFont val="Tahoma"/>
            <family val="2"/>
          </rPr>
          <t xml:space="preserve">
Digite el nombre de los rubros adicionales.</t>
        </r>
      </text>
    </comment>
    <comment ref="E31" authorId="0">
      <text>
        <r>
          <rPr>
            <b/>
            <sz val="9"/>
            <color indexed="81"/>
            <rFont val="Tahoma"/>
            <family val="2"/>
          </rPr>
          <t>DARIO MAURICIO REYES GIRALDO:</t>
        </r>
        <r>
          <rPr>
            <sz val="9"/>
            <color indexed="81"/>
            <rFont val="Tahoma"/>
            <family val="2"/>
          </rPr>
          <t xml:space="preserve">
Digite el nombre de los rubros adicionales.</t>
        </r>
      </text>
    </comment>
  </commentList>
</comments>
</file>

<file path=xl/comments3.xml><?xml version="1.0" encoding="utf-8"?>
<comments xmlns="http://schemas.openxmlformats.org/spreadsheetml/2006/main">
  <authors>
    <author>DARIO MAURICIO REYES GIRALDO</author>
  </authors>
  <commentList>
    <comment ref="F4" authorId="0">
      <text>
        <r>
          <rPr>
            <b/>
            <sz val="9"/>
            <color indexed="81"/>
            <rFont val="Tahoma"/>
            <family val="2"/>
          </rPr>
          <t>DARIO MAURICIO REYES GIRALDO:</t>
        </r>
        <r>
          <rPr>
            <sz val="9"/>
            <color indexed="81"/>
            <rFont val="Tahoma"/>
            <family val="2"/>
          </rPr>
          <t xml:space="preserve">
Digite la tasa de interés anual a la que un banco les podría prestar esete dinero.</t>
        </r>
      </text>
    </comment>
    <comment ref="C8" authorId="0">
      <text>
        <r>
          <rPr>
            <b/>
            <sz val="9"/>
            <color indexed="81"/>
            <rFont val="Tahoma"/>
            <family val="2"/>
          </rPr>
          <t>DARIO MAURICIO REYES GIRALDO:</t>
        </r>
        <r>
          <rPr>
            <sz val="9"/>
            <color indexed="81"/>
            <rFont val="Tahoma"/>
            <family val="2"/>
          </rPr>
          <t xml:space="preserve">
Este valor debe ser el resultado de la política de Capital de Trabajo, es decir, deben calcular cuantos meses de efectivo  requieren para cubrir estas necesidades, hasta que se recuperen las primeras ventas. Luego el negocio debe ser autosuficiente por si mismo.</t>
        </r>
      </text>
    </comment>
    <comment ref="J21" authorId="0">
      <text>
        <r>
          <rPr>
            <b/>
            <sz val="9"/>
            <color indexed="81"/>
            <rFont val="Tahoma"/>
            <family val="2"/>
          </rPr>
          <t>DARIO MAURICIO REYES GIRALDO:</t>
        </r>
        <r>
          <rPr>
            <sz val="9"/>
            <color indexed="81"/>
            <rFont val="Tahoma"/>
            <family val="2"/>
          </rPr>
          <t xml:space="preserve">
Escoja el tipo de emprendedor:
Tipo 1 Empresario nuevo, tiene derecho a una año de gracia.
Tipo 2:empresario ya constituido, paga su crédito desde el año 0.</t>
        </r>
      </text>
    </comment>
  </commentList>
</comments>
</file>

<file path=xl/comments4.xml><?xml version="1.0" encoding="utf-8"?>
<comments xmlns="http://schemas.openxmlformats.org/spreadsheetml/2006/main">
  <authors>
    <author>DARIO MAURICIO REYES GIRALDO</author>
  </authors>
  <commentList>
    <comment ref="E3" authorId="0">
      <text>
        <r>
          <rPr>
            <b/>
            <sz val="9"/>
            <color indexed="81"/>
            <rFont val="Tahoma"/>
            <family val="2"/>
          </rPr>
          <t>DARIO MAURICIO REYES GIRALDO:</t>
        </r>
        <r>
          <rPr>
            <sz val="9"/>
            <color indexed="81"/>
            <rFont val="Tahoma"/>
            <family val="2"/>
          </rPr>
          <t xml:space="preserve">
Esta es la tasa mínima que usted como emprendedor espera obtener al invertir en este plan de negocio.
Sea justo y realista en su determinación, revise la rentabilidad promedio de las empresas del sector, también tenga en cuenta que usted debe aspirar como mínimo a ganar rentabilidades por encima de las que ofrezcan las inversiones de bajo o cero riesgo, en nuestro caso puede tomar como punto de partida las tasas de los CDT.  A esta tasa le puede sumar la tasa de inflación promedio para los próximos 5 años, estos indicadores los puede consultar en la Página del Banco de la República o En la de estudios económicos de Bancolombia, por último puede sumar un porcentaje adicional debido al riesgo implícito en el tipo de actividad económica que usted como emprendedor piensa desarrollar, para ello consulte la rentabilidad promedio de la Industria. </t>
        </r>
      </text>
    </comment>
  </commentList>
</comments>
</file>

<file path=xl/sharedStrings.xml><?xml version="1.0" encoding="utf-8"?>
<sst xmlns="http://schemas.openxmlformats.org/spreadsheetml/2006/main" count="588" uniqueCount="250">
  <si>
    <t>CANTIDADES</t>
  </si>
  <si>
    <t>INGRESOS TOTALES</t>
  </si>
  <si>
    <t>COSTOS TOTALES</t>
  </si>
  <si>
    <t>NOMBRE DEL PRODUCTO SERVICIO</t>
  </si>
  <si>
    <t>NOMBRE DEL PRODUCTO O SERVICIO</t>
  </si>
  <si>
    <t>INGRESOS/VENTAS DEL PRIMER AÑO</t>
  </si>
  <si>
    <t>COSTOS DE CADA PRODUCTO O SERVICIO</t>
  </si>
  <si>
    <t>PRECIO DE VENTA UNITARIO SIN IVA</t>
  </si>
  <si>
    <t>COSTO UNITARIO DEL PDTO O SERVICIO</t>
  </si>
  <si>
    <t>TOTAL</t>
  </si>
  <si>
    <t>AÑO BASE</t>
  </si>
  <si>
    <t>AÑO</t>
  </si>
  <si>
    <t>AÑO 3</t>
  </si>
  <si>
    <t>CRECIMIENTO PORCENTUAL  EN VTAS (CANTIDADES)</t>
  </si>
  <si>
    <t>AÑO 2</t>
  </si>
  <si>
    <t>INFLACIÓN</t>
  </si>
  <si>
    <t>IPP</t>
  </si>
  <si>
    <t>INCREMENTO EN PRECIO</t>
  </si>
  <si>
    <t>año 2</t>
  </si>
  <si>
    <t>año 3</t>
  </si>
  <si>
    <t>PROYECCIONES</t>
  </si>
  <si>
    <t>VENTAS ANUALES</t>
  </si>
  <si>
    <t>COSTOS ANUALES</t>
  </si>
  <si>
    <t>MARGEN OPERATIVO</t>
  </si>
  <si>
    <t>AÑO 4</t>
  </si>
  <si>
    <t>AÑO 5</t>
  </si>
  <si>
    <t>año 4</t>
  </si>
  <si>
    <t>año 5</t>
  </si>
  <si>
    <t>AÑO:</t>
  </si>
  <si>
    <t>NÓMINAS:</t>
  </si>
  <si>
    <t>ADMINISTRATIVA:</t>
  </si>
  <si>
    <t>VALOR AÑO 1</t>
  </si>
  <si>
    <t>VENTAS</t>
  </si>
  <si>
    <t>VENTAS:</t>
  </si>
  <si>
    <t>PRODUCCIÓN:</t>
  </si>
  <si>
    <t>PRESUPUESTO DEL MARKETING MIX</t>
  </si>
  <si>
    <t>GASTOS FIJOS</t>
  </si>
  <si>
    <t>GASTOS FIJOS:</t>
  </si>
  <si>
    <t>ARRENDO:</t>
  </si>
  <si>
    <t>SERVICIOS PÚBLICOS:</t>
  </si>
  <si>
    <t>TELEFONÍA CELULAR:</t>
  </si>
  <si>
    <t>INTERNET:</t>
  </si>
  <si>
    <t>PAPELERÍA:</t>
  </si>
  <si>
    <t>SERVICIOS DE SEGURIDAD:</t>
  </si>
  <si>
    <t>SERVICIOS DE ASEO:</t>
  </si>
  <si>
    <t>TOTAL GASTOS FIJOS</t>
  </si>
  <si>
    <t>INCLUYA EN CADA CATEGORÍA LOS COSTOS Y GASTOS FIJOS DEL PRIMER AÑO, EN LOS QUE DEBERÁN INCURRRIR PARA LA OPERACIÓN DEL NEGOCIO</t>
  </si>
  <si>
    <t>TERRENOS</t>
  </si>
  <si>
    <t>MUEBLES Y ENSERES</t>
  </si>
  <si>
    <t>EQUIPO DE OFICINA</t>
  </si>
  <si>
    <t>PROPIEDAD PLANTA Y EQUIPO</t>
  </si>
  <si>
    <t>EQUIPO DE TRANSPORTE</t>
  </si>
  <si>
    <t>FRANQUICIAS</t>
  </si>
  <si>
    <t>PATENTES</t>
  </si>
  <si>
    <t>GASTOS DE PUESTA EN MARCHA</t>
  </si>
  <si>
    <t>TOTAL INVERSIONES</t>
  </si>
  <si>
    <t>CALCULO DEL CAPITAL DE TRABAJO INICIAL</t>
  </si>
  <si>
    <t>COSTOS OPERATIVOS</t>
  </si>
  <si>
    <t>MESES</t>
  </si>
  <si>
    <t>VALOR</t>
  </si>
  <si>
    <t>TOTAL NÓMINAS</t>
  </si>
  <si>
    <t>NÓMINAS</t>
  </si>
  <si>
    <t>MARKETING MIX</t>
  </si>
  <si>
    <t>PRÉSTAMO A SOLICITAR</t>
  </si>
  <si>
    <t>TASA DE INT ANUAL CRÉDITO</t>
  </si>
  <si>
    <t>AÑOS</t>
  </si>
  <si>
    <t>CUOTA A PAGAR</t>
  </si>
  <si>
    <t>ABONO A CAPITAL</t>
  </si>
  <si>
    <t>INTERESES</t>
  </si>
  <si>
    <t>SALDO DE LA DEUDA</t>
  </si>
  <si>
    <t>BALANCE</t>
  </si>
  <si>
    <t xml:space="preserve">ACTIVO </t>
  </si>
  <si>
    <t>COSTO VENTAS</t>
  </si>
  <si>
    <t>UTILIDAD BRUTA</t>
  </si>
  <si>
    <t>GASTOS ADTIVOS Y VTAS</t>
  </si>
  <si>
    <t>OTROS GASTOS</t>
  </si>
  <si>
    <t>UTILIDAD OPERATIVA</t>
  </si>
  <si>
    <t>GASTOS FINACIEROS</t>
  </si>
  <si>
    <t>UTILIDAD ANTES DE IMPTOS</t>
  </si>
  <si>
    <t>IMPUESTOS</t>
  </si>
  <si>
    <t>UTILIDAD NETA</t>
  </si>
  <si>
    <t>PASIVO</t>
  </si>
  <si>
    <t>Impuestos X Pagar</t>
  </si>
  <si>
    <t>TOTAL PASIVO CORRIENTE</t>
  </si>
  <si>
    <t>Obligaciones Financieras</t>
  </si>
  <si>
    <t>PATRIMONIO</t>
  </si>
  <si>
    <t>Capital Social</t>
  </si>
  <si>
    <t>Utilidades del Ejercicio</t>
  </si>
  <si>
    <t>TOTAL PATRIMONIO</t>
  </si>
  <si>
    <t>TOTAL PAS + PAT</t>
  </si>
  <si>
    <t>AÑO 0</t>
  </si>
  <si>
    <t>TOTAL ACTIVO</t>
  </si>
  <si>
    <t>DEPRECIACIÓN</t>
  </si>
  <si>
    <t>DEPRECIACIÓN ACUMULADA</t>
  </si>
  <si>
    <t>ACTIVO FIJO NETO</t>
  </si>
  <si>
    <t>ESTADO DE RESULTADOS</t>
  </si>
  <si>
    <t>CUADRE (ACT = PAS+PAT)</t>
  </si>
  <si>
    <t>TASA IMPTO RENTA</t>
  </si>
  <si>
    <t>DEP</t>
  </si>
  <si>
    <t>FIJO NO DEPRECIABLE</t>
  </si>
  <si>
    <t>FIJO DEPRECIABLE</t>
  </si>
  <si>
    <t>CAJA/BANCOS</t>
  </si>
  <si>
    <t>FLUJO DE CAJA DEL PROYECTO:</t>
  </si>
  <si>
    <t>CAPITAL INVERTIDO</t>
  </si>
  <si>
    <t>Activos Corrientes</t>
  </si>
  <si>
    <t>Pasivos Corrientes</t>
  </si>
  <si>
    <t>KTNO</t>
  </si>
  <si>
    <t>Activo Fijo Neto</t>
  </si>
  <si>
    <t>Depreciación Acumulada</t>
  </si>
  <si>
    <t>Activo Fijo Bruto</t>
  </si>
  <si>
    <t>Total Capital Operativo Neto</t>
  </si>
  <si>
    <t>CALCULO DEL FLUJO DE CAJA LIBRE</t>
  </si>
  <si>
    <t>EBIT</t>
  </si>
  <si>
    <t>Impuestos</t>
  </si>
  <si>
    <t>NOPLAT</t>
  </si>
  <si>
    <t>Inversión Neta</t>
  </si>
  <si>
    <t>Flujo de Caja Libre del periódo</t>
  </si>
  <si>
    <t xml:space="preserve">Tasa mínima de rentabilidad esperada por los emprendedores (TMR):  </t>
  </si>
  <si>
    <t>FLUJO DE CAJA DE PROYECTO</t>
  </si>
  <si>
    <t>INVERSIÓN AÑO 0</t>
  </si>
  <si>
    <t>VALOR PRESENTE NETO DEL PROYECTO =</t>
  </si>
  <si>
    <t>TASA INTERNA DE RETORNO =</t>
  </si>
  <si>
    <t>INVERSIÓN TOTAL Y NECESIDADES DE FINANCIACIÓN</t>
  </si>
  <si>
    <t xml:space="preserve">CALCULO DEL PRÉSTAMO </t>
  </si>
  <si>
    <t>ESTADOS FINANCIEROS BÁSICOS PROYECTADOS</t>
  </si>
  <si>
    <t>PUNTO DE EQULIBRIO</t>
  </si>
  <si>
    <t>MARGEN DE CONTRIBUCIÓN UNITARIO</t>
  </si>
  <si>
    <t>PARTICIPACIÓN % EN VENTAS TOTALES</t>
  </si>
  <si>
    <t>MARGEN DE CONTRIBUCIÓN PONDERADO</t>
  </si>
  <si>
    <t>UNIDADES</t>
  </si>
  <si>
    <t>PTO EQUILIBRIO POR REFERENCIA DE PDTO O SERVICIO</t>
  </si>
  <si>
    <t>COSTOS FIJO</t>
  </si>
  <si>
    <t>INGRESOS</t>
  </si>
  <si>
    <t>COSTO TOTAL</t>
  </si>
  <si>
    <t>COSTO</t>
  </si>
  <si>
    <t>COSTO VAR</t>
  </si>
  <si>
    <t>PUNTO DE EQULIBRIO = COSTOS Y GTOS FIJO/MCPP    =</t>
  </si>
  <si>
    <t>TOTAL MARGEN DE CONTRIBUCIÓN PROMEDIO PONDERADO  =</t>
  </si>
  <si>
    <t>EVALUACIÓN FINANCIERA Y PUNTO DE EQULIBRIO</t>
  </si>
  <si>
    <t>Todos los datos de los Estados financieros se generan de forma automática.</t>
  </si>
  <si>
    <t>TRANSPORTE</t>
  </si>
  <si>
    <t>GASTOS FIJOS DEL PERIODO</t>
  </si>
  <si>
    <t>MES</t>
  </si>
  <si>
    <t xml:space="preserve">INVERSIÓN </t>
  </si>
  <si>
    <r>
      <t xml:space="preserve">DEFINA LA INVERISIÓN </t>
    </r>
    <r>
      <rPr>
        <sz val="18"/>
        <color theme="1"/>
        <rFont val="Aharoni"/>
        <charset val="177"/>
      </rPr>
      <t>INICIAL O NUEVA</t>
    </r>
    <r>
      <rPr>
        <b/>
        <sz val="14"/>
        <color theme="1"/>
        <rFont val="Aharoni"/>
        <charset val="177"/>
      </rPr>
      <t xml:space="preserve"> QUE REALIZARÁN PARA LA PUESTA EN MARCHA DEL NEGOCIO:</t>
    </r>
  </si>
  <si>
    <t>INGRESE EL VALOR DEL PATRIMONIO ACTUAL DE LA EMPRESA</t>
  </si>
  <si>
    <t>TOTAL INVERSIÓN INICIAL Ó NUEVA</t>
  </si>
  <si>
    <t>INVERSIÓN YA REALIZADA POR EL EMPRESARIO</t>
  </si>
  <si>
    <t>SI EL PRÉSTAMO A SOLICTAR SOLO ES PARA INVERSIONES FIJAS, ESTOS VALORES DEBEN SER CEROS</t>
  </si>
  <si>
    <t>FINANCIARÁ INV FIJAS?</t>
  </si>
  <si>
    <t>SI</t>
  </si>
  <si>
    <t>NO</t>
  </si>
  <si>
    <t>TOTAL INVERSIÓN EN LA EMPRESA</t>
  </si>
  <si>
    <t>APORTE YA REALIZADO POR EL EMPRESARIO</t>
  </si>
  <si>
    <t>NECESIDADES DE CAPITAL DE TRABAJO</t>
  </si>
  <si>
    <t>NECESIDADES DE INVERSIÓN FIJA</t>
  </si>
  <si>
    <t>APORTE NUEVO A REALIZAR POR EL EMPRESARIO</t>
  </si>
  <si>
    <t>CONTROL</t>
  </si>
  <si>
    <t>PLAZO DEL PRÉSTAMO QUE DEBE APLICAR:</t>
  </si>
  <si>
    <t>TIPO DE PRÉSTAMO QUE DEBE USAR:</t>
  </si>
  <si>
    <t>INVERSIONES Y GASTOS DEL PERIODO</t>
  </si>
  <si>
    <t>EN EL NEGOCIO:</t>
  </si>
  <si>
    <t>CALCULO DEL PRESTAMO A SOLICITAR</t>
  </si>
  <si>
    <t>TABLA DE AMORTIZACIÓN DEL CRÉDITO</t>
  </si>
  <si>
    <t>TASA DE INTERÉS</t>
  </si>
  <si>
    <t>VALOR INVERSIÓN YA REALIZADA</t>
  </si>
  <si>
    <t>ESTADOS FINANCIEROS</t>
  </si>
  <si>
    <t>BALANCE GENERAL</t>
  </si>
  <si>
    <t>FLUJO DE CAJA EL PROYECTO</t>
  </si>
  <si>
    <t>EAVLUACIÓN FINANCIERA Y PUNTO DE EQUILIBRIO:</t>
  </si>
  <si>
    <t>NOMBRE DEL PROYECTO O EMPRESA:</t>
  </si>
  <si>
    <t>Nombre del proyecto:</t>
  </si>
  <si>
    <t xml:space="preserve">TIPO DE EMPRENDEDOR </t>
  </si>
  <si>
    <t>TIPO 1</t>
  </si>
  <si>
    <t>TIPO 2</t>
  </si>
  <si>
    <t>tasa de interés</t>
  </si>
  <si>
    <t>36 meses</t>
  </si>
  <si>
    <t>50 meses</t>
  </si>
  <si>
    <t>meses</t>
  </si>
  <si>
    <t>CARGOS POR SERVICIOS BANCARIOS</t>
  </si>
  <si>
    <t>REPARACIONES Y MANTENIMIENTO</t>
  </si>
  <si>
    <t>SUSCRIPCIONES Y AFILIACIONES</t>
  </si>
  <si>
    <t>MARKETING</t>
  </si>
  <si>
    <t>GOALGESTOR</t>
  </si>
  <si>
    <t xml:space="preserve">	Venta de paquetes virtuales de asesoría en sistemas de gestión</t>
  </si>
  <si>
    <t>Venta de documentación de sistemas de gestión</t>
  </si>
  <si>
    <t>Franquicia</t>
  </si>
  <si>
    <t>Alquiler de plataforma de sistemas de gestión</t>
  </si>
  <si>
    <t>ENCUESTA GOALGESTOR</t>
  </si>
  <si>
    <t>Año</t>
  </si>
  <si>
    <t>Lugares</t>
  </si>
  <si>
    <t>Bogotá y Cúcuta</t>
  </si>
  <si>
    <t xml:space="preserve">Servicio: Plataforma web para diseñar, documentar y estructurar el sistema de gestión y/o integrarlo con otros, 100% sin apoyo de asesores presenciales, en los tiempos requeridos por el cliente. </t>
  </si>
  <si>
    <t>Pregunta 1</t>
  </si>
  <si>
    <t>Sí</t>
  </si>
  <si>
    <t>No</t>
  </si>
  <si>
    <t>Está interesado en implementar un sistema de gestión en su empresa o cuenta con uno o más de uno actualmente?</t>
  </si>
  <si>
    <t>Pregunta 2</t>
  </si>
  <si>
    <t>Encontraría útil realizar la implementación de un sistema de gestión mediante una plataforma web?</t>
  </si>
  <si>
    <t>Pregunta 3</t>
  </si>
  <si>
    <t>Considera que está en capacidad de manejar una herramienta de dichas características?</t>
  </si>
  <si>
    <t>Pregunta 4</t>
  </si>
  <si>
    <t>Estaría dispuesto a pagar por contar con una plataforma de estas características que incluya asesoría especializada?</t>
  </si>
  <si>
    <t>Pregunta 5</t>
  </si>
  <si>
    <t>Rango</t>
  </si>
  <si>
    <t>Solamente si respondió afirmativamente a la respuesta 4, cuánto estaría dispuesto a pagar por este servicio anualmente?</t>
  </si>
  <si>
    <t>0 hasta 1 millón ($)</t>
  </si>
  <si>
    <t>&gt; 1 hasta 2 millones ($)</t>
  </si>
  <si>
    <t>&gt; 2 hasta 3 millones ($)</t>
  </si>
  <si>
    <t>&gt; 3 hasta 4 millones ($)</t>
  </si>
  <si>
    <t>&gt; 4 millones ($)</t>
  </si>
  <si>
    <t>Pregunta 6</t>
  </si>
  <si>
    <t>Opciones</t>
  </si>
  <si>
    <t>Qué espera de un servicio de estas características? Puede escoger más de una opción.</t>
  </si>
  <si>
    <t>Asesoría frecuente</t>
  </si>
  <si>
    <t>Facilidad de manejo</t>
  </si>
  <si>
    <t>Disponibilidad</t>
  </si>
  <si>
    <t>Buen precio</t>
  </si>
  <si>
    <t>Calidad en servicio</t>
  </si>
  <si>
    <t>Empresa 1</t>
  </si>
  <si>
    <t>X</t>
  </si>
  <si>
    <t>Empresa 2</t>
  </si>
  <si>
    <t>Empresa 3</t>
  </si>
  <si>
    <t>Empresa 4</t>
  </si>
  <si>
    <t>Empresa 5</t>
  </si>
  <si>
    <t>Empresa 6</t>
  </si>
  <si>
    <t>Empresa 7</t>
  </si>
  <si>
    <t>Empresa 8</t>
  </si>
  <si>
    <t>Empresa 9</t>
  </si>
  <si>
    <t>Empresa 10</t>
  </si>
  <si>
    <t>Empresa 11</t>
  </si>
  <si>
    <t>Empresa 12</t>
  </si>
  <si>
    <t>Empresa 13</t>
  </si>
  <si>
    <t>Empresa 14</t>
  </si>
  <si>
    <t>Empresa 15</t>
  </si>
  <si>
    <t>Empresa 16</t>
  </si>
  <si>
    <t>Empresa 17</t>
  </si>
  <si>
    <t>Empresa 18</t>
  </si>
  <si>
    <t>Empresa 19</t>
  </si>
  <si>
    <t>Empresa 20</t>
  </si>
  <si>
    <t>Empresa 21</t>
  </si>
  <si>
    <t>Empresa 22</t>
  </si>
  <si>
    <t>Empresa 23</t>
  </si>
  <si>
    <t>Empresa 24</t>
  </si>
  <si>
    <t>Empresa 25</t>
  </si>
  <si>
    <t>Empresa 26</t>
  </si>
  <si>
    <t>Empresa 27</t>
  </si>
  <si>
    <t>Empresa 28</t>
  </si>
  <si>
    <t>Empresa 29</t>
  </si>
  <si>
    <t>Empresa 30</t>
  </si>
</sst>
</file>

<file path=xl/styles.xml><?xml version="1.0" encoding="utf-8"?>
<styleSheet xmlns="http://schemas.openxmlformats.org/spreadsheetml/2006/main">
  <numFmts count="19">
    <numFmt numFmtId="164" formatCode="_-* #,##0.00\ _€_-;\-* #,##0.00\ _€_-;_-* &quot;-&quot;??\ _€_-;_-@_-"/>
    <numFmt numFmtId="165" formatCode="&quot;$&quot;\ #,##0.00_);[Red]\(&quot;$&quot;\ #,##0.00\)"/>
    <numFmt numFmtId="166" formatCode="_(&quot;$&quot;\ * #,##0.00_);_(&quot;$&quot;\ * \(#,##0.00\);_(&quot;$&quot;\ * &quot;-&quot;??_);_(@_)"/>
    <numFmt numFmtId="167" formatCode="_(* #,##0.00_);_(* \(#,##0.00\);_(* &quot;-&quot;??_);_(@_)"/>
    <numFmt numFmtId="168" formatCode="_(&quot;$&quot;\ * #,##0.0_);_(&quot;$&quot;\ * \(#,##0.0\);_(&quot;$&quot;\ * &quot;-&quot;??_);_(@_)"/>
    <numFmt numFmtId="169" formatCode="_(&quot;$&quot;\ * #,##0_);_(&quot;$&quot;\ * \(#,##0\);_(&quot;$&quot;\ * &quot;-&quot;??_);_(@_)"/>
    <numFmt numFmtId="170" formatCode="0.0%"/>
    <numFmt numFmtId="171" formatCode="_([$$-240A]\ * #,##0.00_);_([$$-240A]\ * \(#,##0.00\);_([$$-240A]\ * &quot;-&quot;??_);_(@_)"/>
    <numFmt numFmtId="172" formatCode="_(&quot;$&quot;\ * #,##0.00000_);_(&quot;$&quot;\ * \(#,##0.00000\);_(&quot;$&quot;\ * &quot;-&quot;??_);_(@_)"/>
    <numFmt numFmtId="173" formatCode="_ &quot;$&quot;\ * #,##0_ ;_ &quot;$&quot;\ * \-#,##0_ ;_ &quot;$&quot;\ * &quot;-&quot;??_ ;_ @_ "/>
    <numFmt numFmtId="174" formatCode="_(&quot;$&quot;\ * #,##0.0_);_(&quot;$&quot;\ * \(#,##0.0\);_(&quot;$&quot;\ * &quot;-&quot;?_);_(@_)"/>
    <numFmt numFmtId="175" formatCode="_(* #,##0_);_(* \(#,##0\);_(* &quot;-&quot;??_);_(@_)"/>
    <numFmt numFmtId="176" formatCode="_ &quot;$&quot;\ * #,##0.0_ ;_ &quot;$&quot;\ * \-#,##0.0_ ;_ &quot;$&quot;\ * &quot;-&quot;??_ ;_ @_ "/>
    <numFmt numFmtId="177" formatCode="_(* #,##0.0_);_(* \(#,##0.0\);_(* &quot;-&quot;??_);_(@_)"/>
    <numFmt numFmtId="178" formatCode="_-[$$-240A]\ * #,##0_ ;_-[$$-240A]\ * \-#,##0\ ;_-[$$-240A]\ * &quot;-&quot;??_ ;_-@_ "/>
    <numFmt numFmtId="179" formatCode="_ &quot;$&quot;\ * #,##0.00_ ;_ &quot;$&quot;\ * \-#,##0.00_ ;_ &quot;$&quot;\ * &quot;-&quot;??_ ;_ @_ "/>
    <numFmt numFmtId="180" formatCode="_-[$$-240A]\ * #,##0.00_ ;_-[$$-240A]\ * \-#,##0.00\ ;_-[$$-240A]\ * &quot;-&quot;??_ ;_-@_ "/>
    <numFmt numFmtId="181" formatCode="_-[$$-240A]\ * #,##0.0_ ;_-[$$-240A]\ * \-#,##0.0\ ;_-[$$-240A]\ * &quot;-&quot;??_ ;_-@_ "/>
    <numFmt numFmtId="182" formatCode="0.0"/>
  </numFmts>
  <fonts count="66">
    <font>
      <sz val="11"/>
      <color theme="1"/>
      <name val="Calibri"/>
      <family val="2"/>
      <scheme val="minor"/>
    </font>
    <font>
      <sz val="11"/>
      <color theme="1"/>
      <name val="Arial"/>
      <family val="2"/>
    </font>
    <font>
      <sz val="11"/>
      <color theme="1"/>
      <name val="Arial"/>
      <family val="2"/>
    </font>
    <font>
      <sz val="11"/>
      <color theme="1"/>
      <name val="Calibri"/>
      <family val="2"/>
      <scheme val="minor"/>
    </font>
    <font>
      <b/>
      <sz val="11"/>
      <color theme="1"/>
      <name val="Calibri"/>
      <family val="2"/>
      <scheme val="minor"/>
    </font>
    <font>
      <b/>
      <sz val="11"/>
      <color theme="1"/>
      <name val="Aharoni"/>
      <charset val="177"/>
    </font>
    <font>
      <sz val="11"/>
      <color theme="1"/>
      <name val="Aharoni"/>
      <charset val="177"/>
    </font>
    <font>
      <b/>
      <sz val="8"/>
      <color theme="1"/>
      <name val="Antique Olive"/>
      <family val="2"/>
    </font>
    <font>
      <sz val="11"/>
      <color theme="1"/>
      <name val="Arial"/>
      <family val="2"/>
    </font>
    <font>
      <b/>
      <sz val="11"/>
      <color theme="1"/>
      <name val="Arial"/>
      <family val="2"/>
    </font>
    <font>
      <sz val="18"/>
      <color theme="1"/>
      <name val="Aharoni"/>
      <charset val="177"/>
    </font>
    <font>
      <sz val="20"/>
      <color theme="1"/>
      <name val="Aharoni"/>
      <charset val="177"/>
    </font>
    <font>
      <b/>
      <sz val="10"/>
      <color theme="1"/>
      <name val="Aharoni"/>
      <charset val="177"/>
    </font>
    <font>
      <b/>
      <sz val="12"/>
      <color theme="1"/>
      <name val="Aharoni"/>
      <charset val="177"/>
    </font>
    <font>
      <b/>
      <sz val="14"/>
      <color theme="1"/>
      <name val="Aharoni"/>
      <charset val="177"/>
    </font>
    <font>
      <b/>
      <sz val="18"/>
      <color theme="1"/>
      <name val="Aharoni"/>
      <charset val="177"/>
    </font>
    <font>
      <sz val="9"/>
      <color indexed="81"/>
      <name val="Tahoma"/>
      <family val="2"/>
    </font>
    <font>
      <b/>
      <sz val="9"/>
      <color indexed="81"/>
      <name val="Tahoma"/>
      <family val="2"/>
    </font>
    <font>
      <sz val="10"/>
      <color theme="1"/>
      <name val="Aharoni"/>
      <charset val="177"/>
    </font>
    <font>
      <sz val="9"/>
      <color theme="1"/>
      <name val="Arial"/>
      <family val="2"/>
    </font>
    <font>
      <sz val="11"/>
      <color theme="0"/>
      <name val="Calibri"/>
      <family val="2"/>
      <scheme val="minor"/>
    </font>
    <font>
      <b/>
      <sz val="9"/>
      <color theme="1"/>
      <name val="Aharoni"/>
      <charset val="177"/>
    </font>
    <font>
      <sz val="10"/>
      <name val="Arial"/>
      <family val="2"/>
    </font>
    <font>
      <b/>
      <sz val="12"/>
      <color theme="1"/>
      <name val="Calibri"/>
      <family val="2"/>
      <scheme val="minor"/>
    </font>
    <font>
      <b/>
      <sz val="14"/>
      <color theme="1"/>
      <name val="Calibri"/>
      <family val="2"/>
      <scheme val="minor"/>
    </font>
    <font>
      <sz val="14"/>
      <color theme="1"/>
      <name val="Aharoni"/>
      <charset val="177"/>
    </font>
    <font>
      <b/>
      <sz val="10"/>
      <name val="Arial"/>
      <family val="2"/>
    </font>
    <font>
      <sz val="11"/>
      <name val="Arial"/>
      <family val="2"/>
    </font>
    <font>
      <b/>
      <sz val="11"/>
      <name val="Arial"/>
      <family val="2"/>
    </font>
    <font>
      <sz val="10"/>
      <color theme="1"/>
      <name val="Arial"/>
      <family val="2"/>
    </font>
    <font>
      <b/>
      <sz val="9"/>
      <name val="Arial"/>
      <family val="2"/>
    </font>
    <font>
      <sz val="12"/>
      <color theme="1"/>
      <name val="Calibri"/>
      <family val="2"/>
      <scheme val="minor"/>
    </font>
    <font>
      <sz val="11"/>
      <color theme="0"/>
      <name val="Arial"/>
      <family val="2"/>
    </font>
    <font>
      <sz val="18"/>
      <color theme="0"/>
      <name val="Aharoni"/>
      <charset val="177"/>
    </font>
    <font>
      <sz val="12"/>
      <color theme="0"/>
      <name val="Aharoni"/>
      <charset val="177"/>
    </font>
    <font>
      <sz val="12"/>
      <color theme="1"/>
      <name val="Aharoni"/>
      <charset val="177"/>
    </font>
    <font>
      <b/>
      <sz val="12"/>
      <color rgb="FFFF0000"/>
      <name val="Calibri"/>
      <family val="2"/>
      <scheme val="minor"/>
    </font>
    <font>
      <sz val="9"/>
      <color theme="1"/>
      <name val="Aharoni"/>
      <charset val="177"/>
    </font>
    <font>
      <b/>
      <sz val="14"/>
      <color theme="0"/>
      <name val="Arial"/>
      <family val="2"/>
    </font>
    <font>
      <b/>
      <sz val="20"/>
      <color theme="1"/>
      <name val="Aharoni"/>
      <charset val="177"/>
    </font>
    <font>
      <b/>
      <sz val="10"/>
      <color indexed="8"/>
      <name val="Arial"/>
      <family val="2"/>
    </font>
    <font>
      <sz val="10"/>
      <color indexed="8"/>
      <name val="Arial"/>
      <family val="2"/>
    </font>
    <font>
      <u/>
      <sz val="11"/>
      <color theme="10"/>
      <name val="Calibri"/>
      <family val="2"/>
      <scheme val="minor"/>
    </font>
    <font>
      <u/>
      <sz val="11"/>
      <color theme="11"/>
      <name val="Calibri"/>
      <family val="2"/>
      <scheme val="minor"/>
    </font>
    <font>
      <b/>
      <sz val="11"/>
      <color rgb="FFFA7D00"/>
      <name val="Arial"/>
      <family val="2"/>
    </font>
    <font>
      <b/>
      <sz val="9"/>
      <color rgb="FFFF0000"/>
      <name val="Arial"/>
      <family val="2"/>
    </font>
    <font>
      <b/>
      <sz val="14"/>
      <color rgb="FFFF0000"/>
      <name val="Calibri"/>
      <family val="2"/>
      <scheme val="minor"/>
    </font>
    <font>
      <b/>
      <sz val="12"/>
      <color theme="1"/>
      <name val="Arial"/>
      <family val="2"/>
    </font>
    <font>
      <b/>
      <sz val="10"/>
      <color theme="1"/>
      <name val="Calibri"/>
      <family val="2"/>
      <scheme val="minor"/>
    </font>
    <font>
      <b/>
      <sz val="10"/>
      <color theme="1"/>
      <name val="Arial"/>
      <family val="2"/>
    </font>
    <font>
      <sz val="10"/>
      <color theme="0"/>
      <name val="Arial"/>
      <family val="2"/>
    </font>
    <font>
      <sz val="8"/>
      <color theme="1"/>
      <name val="Arial"/>
      <family val="2"/>
    </font>
    <font>
      <b/>
      <sz val="8"/>
      <color theme="1"/>
      <name val="Arial"/>
      <family val="2"/>
    </font>
    <font>
      <b/>
      <sz val="9"/>
      <color theme="1"/>
      <name val="Arial"/>
      <family val="2"/>
    </font>
    <font>
      <b/>
      <sz val="9"/>
      <color theme="0"/>
      <name val="Arial"/>
      <family val="2"/>
    </font>
    <font>
      <sz val="11"/>
      <color theme="0"/>
      <name val="Aharoni"/>
      <charset val="177"/>
    </font>
    <font>
      <sz val="11"/>
      <color rgb="FFFF0000"/>
      <name val="Aharoni"/>
      <charset val="177"/>
    </font>
    <font>
      <b/>
      <sz val="11"/>
      <color rgb="FF3F3F3F"/>
      <name val="Arial"/>
      <family val="2"/>
    </font>
    <font>
      <b/>
      <sz val="16"/>
      <color theme="1"/>
      <name val="Calibri"/>
      <family val="2"/>
      <scheme val="minor"/>
    </font>
    <font>
      <b/>
      <sz val="18"/>
      <color rgb="FFFA7D00"/>
      <name val="Arial"/>
      <family val="2"/>
    </font>
    <font>
      <sz val="11"/>
      <color indexed="9"/>
      <name val="Arial"/>
      <family val="2"/>
    </font>
    <font>
      <b/>
      <sz val="10"/>
      <name val="Calibri"/>
      <family val="2"/>
      <scheme val="minor"/>
    </font>
    <font>
      <b/>
      <sz val="16"/>
      <color theme="1"/>
      <name val="Aharoni"/>
      <charset val="177"/>
    </font>
    <font>
      <sz val="16"/>
      <color theme="1"/>
      <name val="Aharoni"/>
      <charset val="177"/>
    </font>
    <font>
      <b/>
      <sz val="11"/>
      <color theme="1"/>
      <name val="Aharoni"/>
    </font>
    <font>
      <b/>
      <sz val="14"/>
      <name val="Aharoni"/>
      <charset val="177"/>
    </font>
  </fonts>
  <fills count="13">
    <fill>
      <patternFill patternType="none"/>
    </fill>
    <fill>
      <patternFill patternType="gray125"/>
    </fill>
    <fill>
      <patternFill patternType="solid">
        <fgColor rgb="FF92D050"/>
        <bgColor indexed="64"/>
      </patternFill>
    </fill>
    <fill>
      <patternFill patternType="solid">
        <fgColor theme="6" tint="0.59999389629810485"/>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3"/>
        <bgColor indexed="64"/>
      </patternFill>
    </fill>
    <fill>
      <patternFill patternType="solid">
        <fgColor rgb="FFF2F2F2"/>
      </patternFill>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
      <patternFill patternType="solid">
        <fgColor rgb="FF00B050"/>
        <bgColor indexed="64"/>
      </patternFill>
    </fill>
    <fill>
      <patternFill patternType="solid">
        <fgColor indexed="56"/>
        <bgColor indexed="64"/>
      </patternFill>
    </fill>
  </fills>
  <borders count="17">
    <border>
      <left/>
      <right/>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9">
    <xf numFmtId="0" fontId="0" fillId="0" borderId="0"/>
    <xf numFmtId="166" fontId="3" fillId="0" borderId="0" applyFont="0" applyFill="0" applyBorder="0" applyAlignment="0" applyProtection="0"/>
    <xf numFmtId="9" fontId="3" fillId="0" borderId="0" applyFont="0" applyFill="0" applyBorder="0" applyAlignment="0" applyProtection="0"/>
    <xf numFmtId="167" fontId="22" fillId="0" borderId="0" applyFont="0" applyFill="0" applyBorder="0" applyAlignment="0" applyProtection="0"/>
    <xf numFmtId="167" fontId="3"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7" borderId="15" applyNumberFormat="0" applyAlignment="0" applyProtection="0"/>
    <xf numFmtId="0" fontId="57" fillId="7" borderId="16" applyNumberFormat="0" applyAlignment="0" applyProtection="0"/>
  </cellStyleXfs>
  <cellXfs count="293">
    <xf numFmtId="0" fontId="0" fillId="0" borderId="0" xfId="0"/>
    <xf numFmtId="0" fontId="27" fillId="0" borderId="0" xfId="0" applyFont="1" applyFill="1" applyBorder="1" applyProtection="1">
      <protection hidden="1"/>
    </xf>
    <xf numFmtId="173" fontId="0" fillId="0" borderId="0" xfId="1" applyNumberFormat="1" applyFont="1" applyFill="1" applyProtection="1">
      <protection hidden="1"/>
    </xf>
    <xf numFmtId="173" fontId="0" fillId="0" borderId="8" xfId="1" applyNumberFormat="1" applyFont="1" applyFill="1" applyBorder="1" applyProtection="1">
      <protection hidden="1"/>
    </xf>
    <xf numFmtId="0" fontId="28" fillId="0" borderId="0" xfId="0" applyFont="1" applyFill="1" applyBorder="1" applyProtection="1">
      <protection hidden="1"/>
    </xf>
    <xf numFmtId="173" fontId="26" fillId="0" borderId="0" xfId="1" applyNumberFormat="1" applyFont="1" applyFill="1" applyProtection="1">
      <protection hidden="1"/>
    </xf>
    <xf numFmtId="173" fontId="26" fillId="0" borderId="1" xfId="1" applyNumberFormat="1" applyFont="1" applyFill="1" applyBorder="1" applyProtection="1">
      <protection hidden="1"/>
    </xf>
    <xf numFmtId="175" fontId="22" fillId="0" borderId="0" xfId="3" applyNumberFormat="1" applyFont="1" applyFill="1" applyProtection="1">
      <protection hidden="1"/>
    </xf>
    <xf numFmtId="0" fontId="0" fillId="0" borderId="0" xfId="0" applyFill="1" applyProtection="1">
      <protection hidden="1"/>
    </xf>
    <xf numFmtId="176" fontId="0" fillId="0" borderId="0" xfId="1" applyNumberFormat="1" applyFont="1" applyFill="1" applyProtection="1">
      <protection hidden="1"/>
    </xf>
    <xf numFmtId="176" fontId="0" fillId="0" borderId="8" xfId="1" applyNumberFormat="1" applyFont="1" applyFill="1" applyBorder="1" applyProtection="1">
      <protection hidden="1"/>
    </xf>
    <xf numFmtId="175" fontId="29" fillId="0" borderId="0" xfId="3" applyNumberFormat="1" applyFont="1" applyFill="1" applyBorder="1" applyProtection="1">
      <protection hidden="1"/>
    </xf>
    <xf numFmtId="0" fontId="30" fillId="0" borderId="0" xfId="0" applyFont="1" applyFill="1" applyBorder="1" applyProtection="1">
      <protection hidden="1"/>
    </xf>
    <xf numFmtId="166" fontId="32" fillId="4" borderId="0" xfId="1" applyFont="1" applyFill="1" applyProtection="1">
      <protection locked="0"/>
    </xf>
    <xf numFmtId="0" fontId="0" fillId="0" borderId="0" xfId="0" applyProtection="1">
      <protection hidden="1"/>
    </xf>
    <xf numFmtId="0" fontId="34" fillId="6" borderId="0" xfId="0" applyFont="1" applyFill="1" applyProtection="1">
      <protection hidden="1"/>
    </xf>
    <xf numFmtId="0" fontId="6" fillId="0" borderId="0" xfId="0" applyFont="1" applyProtection="1">
      <protection hidden="1"/>
    </xf>
    <xf numFmtId="0" fontId="7" fillId="0" borderId="0" xfId="0" applyFont="1" applyAlignment="1" applyProtection="1">
      <alignment wrapText="1"/>
      <protection hidden="1"/>
    </xf>
    <xf numFmtId="0" fontId="7" fillId="0" borderId="0" xfId="0" applyFont="1" applyAlignment="1" applyProtection="1">
      <alignment vertical="center" wrapText="1"/>
      <protection hidden="1"/>
    </xf>
    <xf numFmtId="0" fontId="14" fillId="0" borderId="0" xfId="0" applyFont="1" applyFill="1" applyAlignment="1" applyProtection="1">
      <alignment horizontal="right"/>
      <protection hidden="1"/>
    </xf>
    <xf numFmtId="0" fontId="15" fillId="3" borderId="0" xfId="0" applyFont="1" applyFill="1" applyAlignment="1" applyProtection="1">
      <alignment wrapText="1"/>
      <protection hidden="1"/>
    </xf>
    <xf numFmtId="0" fontId="9" fillId="0" borderId="0" xfId="0" applyFont="1" applyAlignment="1" applyProtection="1">
      <alignment horizontal="center"/>
      <protection hidden="1"/>
    </xf>
    <xf numFmtId="169" fontId="8" fillId="0" borderId="0" xfId="1" applyNumberFormat="1" applyFont="1" applyProtection="1">
      <protection hidden="1"/>
    </xf>
    <xf numFmtId="9" fontId="0" fillId="0" borderId="0" xfId="2" applyFont="1" applyAlignment="1" applyProtection="1">
      <alignment horizontal="center"/>
      <protection hidden="1"/>
    </xf>
    <xf numFmtId="169" fontId="0" fillId="0" borderId="0" xfId="1" applyNumberFormat="1" applyFont="1" applyProtection="1">
      <protection hidden="1"/>
    </xf>
    <xf numFmtId="166" fontId="0" fillId="0" borderId="0" xfId="1" applyFont="1" applyProtection="1">
      <protection hidden="1"/>
    </xf>
    <xf numFmtId="166" fontId="0" fillId="0" borderId="0" xfId="0" applyNumberFormat="1" applyProtection="1">
      <protection hidden="1"/>
    </xf>
    <xf numFmtId="0" fontId="14" fillId="0" borderId="5" xfId="0" applyFont="1" applyFill="1" applyBorder="1" applyProtection="1">
      <protection hidden="1"/>
    </xf>
    <xf numFmtId="0" fontId="5" fillId="0" borderId="12" xfId="0" applyFont="1" applyBorder="1" applyProtection="1">
      <protection hidden="1"/>
    </xf>
    <xf numFmtId="0" fontId="5" fillId="0" borderId="5" xfId="0" applyFont="1" applyBorder="1" applyProtection="1">
      <protection hidden="1"/>
    </xf>
    <xf numFmtId="0" fontId="0" fillId="0" borderId="6" xfId="0" applyBorder="1" applyProtection="1">
      <protection hidden="1"/>
    </xf>
    <xf numFmtId="0" fontId="0" fillId="0" borderId="7" xfId="0" applyBorder="1" applyProtection="1">
      <protection hidden="1"/>
    </xf>
    <xf numFmtId="169" fontId="9" fillId="5" borderId="0" xfId="0" applyNumberFormat="1" applyFont="1" applyFill="1" applyProtection="1">
      <protection hidden="1"/>
    </xf>
    <xf numFmtId="9" fontId="9" fillId="5" borderId="0" xfId="2" applyFont="1" applyFill="1" applyAlignment="1" applyProtection="1">
      <alignment horizontal="center"/>
      <protection hidden="1"/>
    </xf>
    <xf numFmtId="166" fontId="4" fillId="0" borderId="0" xfId="0" applyNumberFormat="1" applyFont="1" applyProtection="1">
      <protection hidden="1"/>
    </xf>
    <xf numFmtId="169" fontId="0" fillId="0" borderId="0" xfId="0" applyNumberFormat="1" applyProtection="1">
      <protection hidden="1"/>
    </xf>
    <xf numFmtId="0" fontId="7" fillId="0" borderId="0" xfId="0" applyFont="1" applyAlignment="1" applyProtection="1">
      <alignment vertical="center"/>
      <protection hidden="1"/>
    </xf>
    <xf numFmtId="0" fontId="8" fillId="0" borderId="0" xfId="0" applyFont="1" applyProtection="1">
      <protection hidden="1"/>
    </xf>
    <xf numFmtId="0" fontId="8" fillId="0" borderId="0" xfId="0" applyFont="1" applyAlignment="1" applyProtection="1">
      <alignment horizontal="center"/>
      <protection hidden="1"/>
    </xf>
    <xf numFmtId="171" fontId="0" fillId="0" borderId="0" xfId="0" applyNumberFormat="1" applyProtection="1">
      <protection hidden="1"/>
    </xf>
    <xf numFmtId="49" fontId="8" fillId="0" borderId="0" xfId="0" applyNumberFormat="1" applyFont="1" applyProtection="1">
      <protection hidden="1"/>
    </xf>
    <xf numFmtId="0" fontId="11" fillId="0" borderId="0" xfId="0" applyFont="1" applyAlignment="1" applyProtection="1">
      <alignment horizontal="center"/>
      <protection hidden="1"/>
    </xf>
    <xf numFmtId="0" fontId="11" fillId="0" borderId="0" xfId="0" applyFont="1" applyProtection="1">
      <protection hidden="1"/>
    </xf>
    <xf numFmtId="0" fontId="19" fillId="0" borderId="0" xfId="0" applyFont="1" applyProtection="1">
      <protection hidden="1"/>
    </xf>
    <xf numFmtId="168" fontId="8" fillId="0" borderId="0" xfId="1" applyNumberFormat="1" applyFont="1" applyProtection="1">
      <protection hidden="1"/>
    </xf>
    <xf numFmtId="168" fontId="8" fillId="0" borderId="0" xfId="0" applyNumberFormat="1" applyFont="1" applyProtection="1">
      <protection hidden="1"/>
    </xf>
    <xf numFmtId="0" fontId="18" fillId="0" borderId="0" xfId="0" applyFont="1" applyProtection="1">
      <protection hidden="1"/>
    </xf>
    <xf numFmtId="9" fontId="32" fillId="4" borderId="0" xfId="2" applyFont="1" applyFill="1" applyProtection="1">
      <protection locked="0"/>
    </xf>
    <xf numFmtId="0" fontId="33" fillId="6" borderId="0" xfId="0" applyFont="1" applyFill="1" applyProtection="1">
      <protection locked="0"/>
    </xf>
    <xf numFmtId="170" fontId="33" fillId="6" borderId="6" xfId="2" applyNumberFormat="1" applyFont="1" applyFill="1" applyBorder="1" applyProtection="1">
      <protection locked="0"/>
    </xf>
    <xf numFmtId="168" fontId="9" fillId="5" borderId="1" xfId="1" applyNumberFormat="1" applyFont="1" applyFill="1" applyBorder="1" applyProtection="1">
      <protection hidden="1"/>
    </xf>
    <xf numFmtId="177" fontId="32" fillId="4" borderId="0" xfId="4" applyNumberFormat="1" applyFont="1" applyFill="1" applyAlignment="1" applyProtection="1">
      <alignment horizontal="center"/>
      <protection locked="0"/>
    </xf>
    <xf numFmtId="0" fontId="15" fillId="0" borderId="0" xfId="0" applyFont="1" applyAlignment="1" applyProtection="1">
      <alignment horizontal="center" vertical="center"/>
      <protection hidden="1"/>
    </xf>
    <xf numFmtId="0" fontId="28" fillId="5" borderId="0" xfId="0" applyFont="1" applyFill="1" applyBorder="1" applyProtection="1">
      <protection hidden="1"/>
    </xf>
    <xf numFmtId="0" fontId="0" fillId="5" borderId="0" xfId="0" applyFill="1" applyProtection="1">
      <protection hidden="1"/>
    </xf>
    <xf numFmtId="173" fontId="26" fillId="5" borderId="1" xfId="1" applyNumberFormat="1" applyFont="1" applyFill="1" applyBorder="1" applyProtection="1">
      <protection hidden="1"/>
    </xf>
    <xf numFmtId="0" fontId="10" fillId="0" borderId="0" xfId="0" applyFont="1" applyAlignment="1" applyProtection="1">
      <alignment horizontal="center" vertical="center"/>
      <protection hidden="1"/>
    </xf>
    <xf numFmtId="168" fontId="0" fillId="0" borderId="0" xfId="1" applyNumberFormat="1" applyFont="1" applyProtection="1">
      <protection hidden="1"/>
    </xf>
    <xf numFmtId="0" fontId="4" fillId="0" borderId="1" xfId="0" applyFont="1" applyBorder="1" applyProtection="1">
      <protection hidden="1"/>
    </xf>
    <xf numFmtId="168" fontId="0" fillId="0" borderId="1" xfId="0" applyNumberFormat="1" applyBorder="1" applyProtection="1">
      <protection hidden="1"/>
    </xf>
    <xf numFmtId="174" fontId="0" fillId="0" borderId="1" xfId="0" applyNumberFormat="1" applyBorder="1" applyProtection="1">
      <protection hidden="1"/>
    </xf>
    <xf numFmtId="174" fontId="0" fillId="0" borderId="0" xfId="0" applyNumberFormat="1" applyProtection="1">
      <protection hidden="1"/>
    </xf>
    <xf numFmtId="0" fontId="4" fillId="0" borderId="3" xfId="0" applyFont="1" applyBorder="1" applyProtection="1">
      <protection hidden="1"/>
    </xf>
    <xf numFmtId="174" fontId="4" fillId="0" borderId="3" xfId="0" applyNumberFormat="1" applyFont="1" applyBorder="1" applyProtection="1">
      <protection hidden="1"/>
    </xf>
    <xf numFmtId="0" fontId="25" fillId="0" borderId="0" xfId="0" applyFont="1" applyAlignment="1" applyProtection="1">
      <alignment horizontal="center" vertical="center"/>
      <protection hidden="1"/>
    </xf>
    <xf numFmtId="166" fontId="4" fillId="0" borderId="1" xfId="0" applyNumberFormat="1" applyFont="1" applyBorder="1" applyProtection="1">
      <protection hidden="1"/>
    </xf>
    <xf numFmtId="166" fontId="0" fillId="5" borderId="0" xfId="0" applyNumberFormat="1" applyFill="1" applyProtection="1">
      <protection hidden="1"/>
    </xf>
    <xf numFmtId="0" fontId="20" fillId="0" borderId="0" xfId="0" applyFont="1" applyProtection="1">
      <protection hidden="1"/>
    </xf>
    <xf numFmtId="166" fontId="20" fillId="0" borderId="0" xfId="0" applyNumberFormat="1" applyFont="1" applyProtection="1">
      <protection hidden="1"/>
    </xf>
    <xf numFmtId="0" fontId="9" fillId="0" borderId="0" xfId="0" applyFont="1" applyProtection="1">
      <protection hidden="1"/>
    </xf>
    <xf numFmtId="166" fontId="23" fillId="0" borderId="0" xfId="0" applyNumberFormat="1" applyFont="1" applyProtection="1">
      <protection hidden="1"/>
    </xf>
    <xf numFmtId="0" fontId="5" fillId="0" borderId="0" xfId="0" applyFont="1" applyAlignment="1" applyProtection="1">
      <alignment horizontal="left" wrapText="1"/>
      <protection hidden="1"/>
    </xf>
    <xf numFmtId="0" fontId="5" fillId="0" borderId="0" xfId="0" applyFont="1" applyProtection="1">
      <protection hidden="1"/>
    </xf>
    <xf numFmtId="0" fontId="21" fillId="0" borderId="0" xfId="0" applyFont="1" applyAlignment="1" applyProtection="1">
      <alignment wrapText="1"/>
      <protection hidden="1"/>
    </xf>
    <xf numFmtId="172" fontId="0" fillId="0" borderId="0" xfId="1" applyNumberFormat="1" applyFont="1" applyProtection="1">
      <protection hidden="1"/>
    </xf>
    <xf numFmtId="0" fontId="18" fillId="0" borderId="0" xfId="0" applyFont="1" applyAlignment="1" applyProtection="1">
      <alignment horizontal="center"/>
      <protection hidden="1"/>
    </xf>
    <xf numFmtId="0" fontId="40" fillId="0" borderId="2" xfId="0" applyFont="1" applyFill="1" applyBorder="1" applyAlignment="1" applyProtection="1">
      <alignment horizontal="center"/>
      <protection hidden="1"/>
    </xf>
    <xf numFmtId="173" fontId="22" fillId="0" borderId="2" xfId="1" applyNumberFormat="1" applyFont="1" applyFill="1" applyBorder="1" applyProtection="1">
      <protection hidden="1"/>
    </xf>
    <xf numFmtId="173" fontId="41" fillId="0" borderId="2" xfId="1" applyNumberFormat="1" applyFont="1" applyFill="1" applyBorder="1" applyProtection="1">
      <protection hidden="1"/>
    </xf>
    <xf numFmtId="173" fontId="40" fillId="0" borderId="2" xfId="1" applyNumberFormat="1" applyFont="1" applyFill="1" applyBorder="1" applyProtection="1">
      <protection hidden="1"/>
    </xf>
    <xf numFmtId="0" fontId="35" fillId="5" borderId="0" xfId="0" applyFont="1" applyFill="1" applyProtection="1">
      <protection hidden="1"/>
    </xf>
    <xf numFmtId="166" fontId="23" fillId="5" borderId="0" xfId="0" applyNumberFormat="1" applyFont="1" applyFill="1" applyProtection="1">
      <protection hidden="1"/>
    </xf>
    <xf numFmtId="0" fontId="25" fillId="0" borderId="10"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0" fillId="0" borderId="12" xfId="0" applyBorder="1" applyProtection="1">
      <protection hidden="1"/>
    </xf>
    <xf numFmtId="173" fontId="31" fillId="0" borderId="4" xfId="0" applyNumberFormat="1" applyFont="1" applyBorder="1" applyProtection="1">
      <protection hidden="1"/>
    </xf>
    <xf numFmtId="173" fontId="31" fillId="0" borderId="13" xfId="0" applyNumberFormat="1" applyFont="1" applyBorder="1" applyProtection="1">
      <protection hidden="1"/>
    </xf>
    <xf numFmtId="165" fontId="24" fillId="5" borderId="0" xfId="0" applyNumberFormat="1" applyFont="1" applyFill="1" applyProtection="1">
      <protection hidden="1"/>
    </xf>
    <xf numFmtId="10" fontId="11" fillId="0" borderId="0" xfId="2" applyNumberFormat="1" applyFont="1" applyAlignment="1" applyProtection="1">
      <alignment horizontal="center" vertical="center"/>
      <protection hidden="1"/>
    </xf>
    <xf numFmtId="0" fontId="37" fillId="0" borderId="0" xfId="0" applyFont="1" applyAlignment="1" applyProtection="1">
      <alignment wrapText="1"/>
      <protection hidden="1"/>
    </xf>
    <xf numFmtId="0" fontId="8" fillId="0" borderId="0" xfId="0" applyFont="1" applyAlignment="1" applyProtection="1">
      <protection hidden="1"/>
    </xf>
    <xf numFmtId="166" fontId="8" fillId="0" borderId="0" xfId="0" applyNumberFormat="1" applyFont="1" applyAlignment="1" applyProtection="1">
      <protection hidden="1"/>
    </xf>
    <xf numFmtId="9" fontId="8" fillId="0" borderId="0" xfId="0" applyNumberFormat="1" applyFont="1" applyProtection="1">
      <protection hidden="1"/>
    </xf>
    <xf numFmtId="166" fontId="8" fillId="0" borderId="0" xfId="0" applyNumberFormat="1" applyFont="1" applyProtection="1">
      <protection hidden="1"/>
    </xf>
    <xf numFmtId="167" fontId="8" fillId="0" borderId="0" xfId="0" applyNumberFormat="1" applyFont="1" applyProtection="1">
      <protection hidden="1"/>
    </xf>
    <xf numFmtId="167" fontId="20" fillId="0" borderId="0" xfId="0" applyNumberFormat="1" applyFont="1" applyProtection="1">
      <protection hidden="1"/>
    </xf>
    <xf numFmtId="0" fontId="8" fillId="0" borderId="0" xfId="0" applyFont="1" applyAlignment="1" applyProtection="1">
      <alignment horizontal="left"/>
      <protection hidden="1"/>
    </xf>
    <xf numFmtId="0" fontId="0" fillId="0" borderId="0" xfId="0" applyAlignment="1" applyProtection="1">
      <protection hidden="1"/>
    </xf>
    <xf numFmtId="166" fontId="0" fillId="0" borderId="0" xfId="0" applyNumberFormat="1" applyAlignment="1" applyProtection="1">
      <protection hidden="1"/>
    </xf>
    <xf numFmtId="9" fontId="0" fillId="0" borderId="0" xfId="0" applyNumberFormat="1" applyProtection="1">
      <protection hidden="1"/>
    </xf>
    <xf numFmtId="167" fontId="39" fillId="0" borderId="0" xfId="4" applyFont="1" applyProtection="1">
      <protection hidden="1"/>
    </xf>
    <xf numFmtId="0" fontId="4" fillId="0" borderId="0" xfId="0" applyFont="1" applyProtection="1">
      <protection hidden="1"/>
    </xf>
    <xf numFmtId="167" fontId="4" fillId="0" borderId="0" xfId="4" applyFont="1" applyProtection="1">
      <protection hidden="1"/>
    </xf>
    <xf numFmtId="0" fontId="21" fillId="0" borderId="0" xfId="0" applyFont="1" applyAlignment="1" applyProtection="1">
      <alignment wrapText="1"/>
      <protection locked="0"/>
    </xf>
    <xf numFmtId="0" fontId="23" fillId="0" borderId="9" xfId="0" applyFont="1" applyBorder="1" applyProtection="1">
      <protection hidden="1"/>
    </xf>
    <xf numFmtId="166" fontId="15" fillId="0" borderId="0" xfId="1" applyFont="1" applyProtection="1">
      <protection hidden="1"/>
    </xf>
    <xf numFmtId="0" fontId="14" fillId="0" borderId="0" xfId="0" applyFont="1" applyFill="1" applyAlignment="1" applyProtection="1">
      <alignment horizontal="left" wrapText="1"/>
      <protection hidden="1"/>
    </xf>
    <xf numFmtId="0" fontId="6" fillId="0" borderId="14" xfId="0" applyFont="1" applyBorder="1" applyAlignment="1" applyProtection="1">
      <alignment horizontal="center"/>
      <protection hidden="1"/>
    </xf>
    <xf numFmtId="0" fontId="18" fillId="0" borderId="2" xfId="0" applyFont="1" applyFill="1" applyBorder="1" applyAlignment="1" applyProtection="1">
      <alignment horizontal="center" vertical="top" wrapText="1"/>
      <protection hidden="1"/>
    </xf>
    <xf numFmtId="0" fontId="4" fillId="8" borderId="0" xfId="0" applyFont="1" applyFill="1" applyProtection="1">
      <protection hidden="1"/>
    </xf>
    <xf numFmtId="0" fontId="4" fillId="8" borderId="0" xfId="0" applyFont="1" applyFill="1" applyAlignment="1" applyProtection="1">
      <alignment horizontal="left" vertical="top" wrapText="1"/>
      <protection hidden="1"/>
    </xf>
    <xf numFmtId="164" fontId="0" fillId="0" borderId="0" xfId="0" applyNumberFormat="1" applyProtection="1">
      <protection hidden="1"/>
    </xf>
    <xf numFmtId="0" fontId="18" fillId="0" borderId="9" xfId="0" applyFont="1" applyBorder="1" applyProtection="1">
      <protection hidden="1"/>
    </xf>
    <xf numFmtId="0" fontId="0" fillId="0" borderId="10" xfId="0" applyBorder="1" applyProtection="1">
      <protection hidden="1"/>
    </xf>
    <xf numFmtId="166" fontId="23" fillId="0" borderId="11" xfId="0" applyNumberFormat="1" applyFont="1" applyBorder="1" applyProtection="1">
      <protection hidden="1"/>
    </xf>
    <xf numFmtId="0" fontId="18" fillId="0" borderId="12" xfId="0" applyFont="1" applyBorder="1" applyProtection="1">
      <protection hidden="1"/>
    </xf>
    <xf numFmtId="0" fontId="0" fillId="0" borderId="4" xfId="0" applyBorder="1" applyProtection="1">
      <protection hidden="1"/>
    </xf>
    <xf numFmtId="166" fontId="23" fillId="0" borderId="13" xfId="0" applyNumberFormat="1" applyFont="1" applyBorder="1" applyProtection="1">
      <protection hidden="1"/>
    </xf>
    <xf numFmtId="179" fontId="45" fillId="0" borderId="2" xfId="1" applyNumberFormat="1" applyFont="1" applyFill="1" applyBorder="1" applyAlignment="1" applyProtection="1">
      <alignment wrapText="1"/>
      <protection hidden="1"/>
    </xf>
    <xf numFmtId="180" fontId="32" fillId="4" borderId="0" xfId="4" applyNumberFormat="1" applyFont="1" applyFill="1" applyAlignment="1" applyProtection="1">
      <alignment horizontal="center"/>
      <protection locked="0"/>
    </xf>
    <xf numFmtId="166" fontId="46" fillId="0" borderId="0" xfId="0" applyNumberFormat="1" applyFont="1" applyAlignment="1" applyProtection="1">
      <alignment wrapText="1"/>
      <protection hidden="1"/>
    </xf>
    <xf numFmtId="166" fontId="23" fillId="0" borderId="0" xfId="0" applyNumberFormat="1" applyFont="1" applyAlignment="1" applyProtection="1">
      <alignment horizontal="left" vertical="center" wrapText="1"/>
      <protection hidden="1"/>
    </xf>
    <xf numFmtId="0" fontId="18" fillId="0" borderId="5" xfId="0" applyFont="1" applyBorder="1" applyProtection="1">
      <protection hidden="1"/>
    </xf>
    <xf numFmtId="166" fontId="23" fillId="0" borderId="7" xfId="0" applyNumberFormat="1" applyFont="1" applyBorder="1" applyProtection="1">
      <protection hidden="1"/>
    </xf>
    <xf numFmtId="166" fontId="36" fillId="8" borderId="0" xfId="0" applyNumberFormat="1" applyFont="1" applyFill="1" applyAlignment="1" applyProtection="1">
      <alignment wrapText="1"/>
      <protection hidden="1"/>
    </xf>
    <xf numFmtId="0" fontId="47" fillId="0" borderId="0" xfId="0" applyFont="1" applyProtection="1">
      <protection hidden="1"/>
    </xf>
    <xf numFmtId="0" fontId="4" fillId="0" borderId="0" xfId="0" applyFont="1" applyAlignment="1" applyProtection="1">
      <protection hidden="1"/>
    </xf>
    <xf numFmtId="166" fontId="27" fillId="9" borderId="0" xfId="1" applyFont="1" applyFill="1" applyBorder="1" applyAlignment="1" applyProtection="1">
      <alignment horizontal="center"/>
      <protection hidden="1"/>
    </xf>
    <xf numFmtId="166" fontId="2" fillId="9" borderId="0" xfId="1" applyFont="1" applyFill="1" applyBorder="1" applyAlignment="1" applyProtection="1">
      <alignment horizontal="center"/>
      <protection hidden="1"/>
    </xf>
    <xf numFmtId="0" fontId="0" fillId="0" borderId="0" xfId="0" applyFont="1" applyBorder="1" applyProtection="1">
      <protection hidden="1"/>
    </xf>
    <xf numFmtId="0" fontId="0" fillId="0" borderId="0" xfId="0" applyFont="1" applyProtection="1">
      <protection hidden="1"/>
    </xf>
    <xf numFmtId="9" fontId="0" fillId="0" borderId="0" xfId="2" applyFont="1" applyBorder="1" applyProtection="1">
      <protection hidden="1"/>
    </xf>
    <xf numFmtId="10" fontId="0" fillId="0" borderId="0" xfId="2" applyNumberFormat="1" applyFont="1" applyBorder="1" applyProtection="1">
      <protection hidden="1"/>
    </xf>
    <xf numFmtId="0" fontId="0" fillId="0" borderId="0" xfId="0" applyFont="1" applyBorder="1" applyAlignment="1" applyProtection="1">
      <alignment wrapText="1"/>
      <protection hidden="1"/>
    </xf>
    <xf numFmtId="173" fontId="49" fillId="0" borderId="0" xfId="1" applyNumberFormat="1" applyFont="1" applyFill="1" applyBorder="1" applyProtection="1">
      <protection hidden="1"/>
    </xf>
    <xf numFmtId="173" fontId="0" fillId="0" borderId="0" xfId="0" applyNumberFormat="1" applyFont="1" applyBorder="1" applyProtection="1">
      <protection hidden="1"/>
    </xf>
    <xf numFmtId="0" fontId="4" fillId="2" borderId="0" xfId="0" applyFont="1" applyFill="1" applyAlignment="1" applyProtection="1">
      <alignment horizontal="center" vertical="center"/>
      <protection hidden="1"/>
    </xf>
    <xf numFmtId="0" fontId="50" fillId="4" borderId="0" xfId="0" applyFont="1" applyFill="1" applyProtection="1">
      <protection locked="0"/>
    </xf>
    <xf numFmtId="10" fontId="50" fillId="4" borderId="0" xfId="2" applyNumberFormat="1" applyFont="1" applyFill="1" applyProtection="1">
      <protection locked="0"/>
    </xf>
    <xf numFmtId="0" fontId="0" fillId="0" borderId="0" xfId="0" applyAlignment="1">
      <alignment wrapText="1"/>
    </xf>
    <xf numFmtId="0" fontId="2" fillId="0" borderId="0" xfId="0" applyFont="1"/>
    <xf numFmtId="0" fontId="51" fillId="0" borderId="0" xfId="0" applyFont="1" applyAlignment="1">
      <alignment wrapText="1"/>
    </xf>
    <xf numFmtId="0" fontId="19" fillId="0" borderId="0" xfId="0" applyFont="1"/>
    <xf numFmtId="0" fontId="52" fillId="0" borderId="0" xfId="0" applyFont="1" applyAlignment="1">
      <alignment wrapText="1"/>
    </xf>
    <xf numFmtId="0" fontId="51" fillId="0" borderId="0" xfId="0" applyFont="1"/>
    <xf numFmtId="0" fontId="29" fillId="0" borderId="0" xfId="0" applyFont="1"/>
    <xf numFmtId="178" fontId="29" fillId="0" borderId="0" xfId="0" applyNumberFormat="1" applyFont="1"/>
    <xf numFmtId="178" fontId="19" fillId="0" borderId="0" xfId="0" applyNumberFormat="1" applyFont="1"/>
    <xf numFmtId="180" fontId="51" fillId="0" borderId="0" xfId="0" applyNumberFormat="1" applyFont="1"/>
    <xf numFmtId="178" fontId="52" fillId="0" borderId="0" xfId="0" applyNumberFormat="1" applyFont="1"/>
    <xf numFmtId="0" fontId="29" fillId="0" borderId="0" xfId="0" applyFont="1" applyAlignment="1" applyProtection="1">
      <alignment horizontal="left"/>
      <protection hidden="1"/>
    </xf>
    <xf numFmtId="49" fontId="29" fillId="0" borderId="0" xfId="0" applyNumberFormat="1" applyFont="1" applyProtection="1">
      <protection hidden="1"/>
    </xf>
    <xf numFmtId="178" fontId="19" fillId="0" borderId="8" xfId="0" applyNumberFormat="1" applyFont="1" applyBorder="1"/>
    <xf numFmtId="0" fontId="4" fillId="0" borderId="0" xfId="0" applyFont="1"/>
    <xf numFmtId="0" fontId="53" fillId="0" borderId="0" xfId="0" applyFont="1"/>
    <xf numFmtId="0" fontId="53" fillId="0" borderId="0" xfId="0" applyFont="1" applyAlignment="1">
      <alignment horizontal="center"/>
    </xf>
    <xf numFmtId="0" fontId="53" fillId="2" borderId="0" xfId="0" applyFont="1" applyFill="1" applyAlignment="1">
      <alignment horizontal="center"/>
    </xf>
    <xf numFmtId="0" fontId="54" fillId="2" borderId="0" xfId="0" applyFont="1" applyFill="1" applyAlignment="1">
      <alignment horizontal="center"/>
    </xf>
    <xf numFmtId="0" fontId="9" fillId="0" borderId="0" xfId="0" applyFont="1"/>
    <xf numFmtId="0" fontId="49" fillId="0" borderId="0" xfId="0" applyFont="1"/>
    <xf numFmtId="0" fontId="52" fillId="0" borderId="0" xfId="0" applyFont="1"/>
    <xf numFmtId="0" fontId="19" fillId="0" borderId="0" xfId="0" applyFont="1" applyAlignment="1">
      <alignment wrapText="1"/>
    </xf>
    <xf numFmtId="180" fontId="19" fillId="0" borderId="0" xfId="0" applyNumberFormat="1" applyFont="1"/>
    <xf numFmtId="0" fontId="0" fillId="0" borderId="0" xfId="0" applyAlignment="1"/>
    <xf numFmtId="0" fontId="53" fillId="0" borderId="0" xfId="0" applyFont="1" applyAlignment="1">
      <alignment wrapText="1"/>
    </xf>
    <xf numFmtId="180" fontId="19" fillId="0" borderId="0" xfId="0" applyNumberFormat="1" applyFont="1" applyAlignment="1">
      <alignment wrapText="1"/>
    </xf>
    <xf numFmtId="180" fontId="53" fillId="0" borderId="0" xfId="0" applyNumberFormat="1" applyFont="1" applyAlignment="1">
      <alignment wrapText="1"/>
    </xf>
    <xf numFmtId="0" fontId="53" fillId="2" borderId="0" xfId="0" applyFont="1" applyFill="1"/>
    <xf numFmtId="0" fontId="54" fillId="2" borderId="0" xfId="0" applyFont="1" applyFill="1"/>
    <xf numFmtId="0" fontId="54" fillId="10" borderId="0" xfId="0" applyFont="1" applyFill="1" applyAlignment="1">
      <alignment horizontal="center" vertical="center" wrapText="1"/>
    </xf>
    <xf numFmtId="180" fontId="19" fillId="0" borderId="8" xfId="0" applyNumberFormat="1" applyFont="1" applyBorder="1" applyAlignment="1">
      <alignment wrapText="1"/>
    </xf>
    <xf numFmtId="180" fontId="53" fillId="0" borderId="0" xfId="0" applyNumberFormat="1" applyFont="1"/>
    <xf numFmtId="180" fontId="51" fillId="0" borderId="0" xfId="0" applyNumberFormat="1" applyFont="1" applyAlignment="1">
      <alignment wrapText="1"/>
    </xf>
    <xf numFmtId="180" fontId="51" fillId="0" borderId="8" xfId="0" applyNumberFormat="1" applyFont="1" applyBorder="1"/>
    <xf numFmtId="10" fontId="19" fillId="0" borderId="0" xfId="0" applyNumberFormat="1" applyFont="1" applyAlignment="1">
      <alignment wrapText="1"/>
    </xf>
    <xf numFmtId="0" fontId="6" fillId="0" borderId="14" xfId="0" applyFont="1" applyBorder="1" applyAlignment="1" applyProtection="1">
      <protection hidden="1"/>
    </xf>
    <xf numFmtId="0" fontId="53" fillId="2" borderId="0" xfId="0" applyFont="1" applyFill="1" applyAlignment="1">
      <alignment wrapText="1"/>
    </xf>
    <xf numFmtId="0" fontId="52" fillId="2" borderId="0" xfId="0" applyFont="1" applyFill="1" applyAlignment="1"/>
    <xf numFmtId="0" fontId="19" fillId="0" borderId="8" xfId="0" applyFont="1" applyBorder="1" applyAlignment="1">
      <alignment wrapText="1"/>
    </xf>
    <xf numFmtId="178" fontId="53" fillId="0" borderId="0" xfId="0" applyNumberFormat="1" applyFont="1"/>
    <xf numFmtId="178" fontId="29" fillId="0" borderId="8" xfId="0" applyNumberFormat="1" applyFont="1" applyBorder="1"/>
    <xf numFmtId="178" fontId="49" fillId="0" borderId="0" xfId="0" applyNumberFormat="1" applyFont="1"/>
    <xf numFmtId="178" fontId="29" fillId="0" borderId="1" xfId="0" applyNumberFormat="1" applyFont="1" applyBorder="1"/>
    <xf numFmtId="178" fontId="49" fillId="0" borderId="1" xfId="0" applyNumberFormat="1" applyFont="1" applyBorder="1"/>
    <xf numFmtId="0" fontId="49" fillId="0" borderId="0" xfId="0" applyFont="1" applyAlignment="1">
      <alignment wrapText="1"/>
    </xf>
    <xf numFmtId="0" fontId="14" fillId="5" borderId="0" xfId="0" applyFont="1" applyFill="1" applyAlignment="1" applyProtection="1">
      <protection hidden="1"/>
    </xf>
    <xf numFmtId="181" fontId="49" fillId="0" borderId="0" xfId="0" applyNumberFormat="1" applyFont="1"/>
    <xf numFmtId="10" fontId="49" fillId="0" borderId="0" xfId="0" applyNumberFormat="1" applyFont="1"/>
    <xf numFmtId="0" fontId="52" fillId="2" borderId="0" xfId="0" applyFont="1" applyFill="1" applyAlignment="1">
      <alignment horizontal="center" wrapText="1"/>
    </xf>
    <xf numFmtId="181" fontId="0" fillId="0" borderId="0" xfId="0" applyNumberFormat="1"/>
    <xf numFmtId="182" fontId="0" fillId="0" borderId="0" xfId="0" applyNumberFormat="1"/>
    <xf numFmtId="2" fontId="4" fillId="0" borderId="0" xfId="0" applyNumberFormat="1" applyFont="1"/>
    <xf numFmtId="180" fontId="52" fillId="0" borderId="0" xfId="0" applyNumberFormat="1" applyFont="1" applyAlignment="1">
      <alignment wrapText="1"/>
    </xf>
    <xf numFmtId="181" fontId="19" fillId="0" borderId="0" xfId="0" applyNumberFormat="1" applyFont="1" applyAlignment="1">
      <alignment wrapText="1"/>
    </xf>
    <xf numFmtId="0" fontId="20" fillId="0" borderId="0" xfId="0" applyFont="1"/>
    <xf numFmtId="2" fontId="20" fillId="0" borderId="0" xfId="0" applyNumberFormat="1" applyFont="1"/>
    <xf numFmtId="178" fontId="20" fillId="0" borderId="0" xfId="0" applyNumberFormat="1" applyFont="1"/>
    <xf numFmtId="0" fontId="35" fillId="0" borderId="0" xfId="0" applyFont="1" applyProtection="1">
      <protection hidden="1"/>
    </xf>
    <xf numFmtId="0" fontId="4" fillId="0" borderId="0" xfId="0" applyFont="1" applyAlignment="1"/>
    <xf numFmtId="178" fontId="4" fillId="0" borderId="0" xfId="0" applyNumberFormat="1" applyFont="1"/>
    <xf numFmtId="0" fontId="20" fillId="0" borderId="0" xfId="0" applyFont="1" applyFill="1" applyProtection="1">
      <protection hidden="1"/>
    </xf>
    <xf numFmtId="0" fontId="20" fillId="0" borderId="0" xfId="0" applyFont="1" applyFill="1" applyAlignment="1" applyProtection="1">
      <alignment horizontal="center"/>
      <protection hidden="1"/>
    </xf>
    <xf numFmtId="166" fontId="20" fillId="0" borderId="0" xfId="0" applyNumberFormat="1" applyFont="1" applyFill="1" applyProtection="1">
      <protection hidden="1"/>
    </xf>
    <xf numFmtId="167" fontId="20" fillId="0" borderId="0" xfId="0" applyNumberFormat="1" applyFont="1" applyFill="1" applyProtection="1">
      <protection hidden="1"/>
    </xf>
    <xf numFmtId="166" fontId="20" fillId="0" borderId="0" xfId="1" applyFont="1" applyFill="1" applyProtection="1">
      <protection hidden="1"/>
    </xf>
    <xf numFmtId="166" fontId="0" fillId="0" borderId="0" xfId="0" applyNumberFormat="1" applyFill="1" applyProtection="1">
      <protection hidden="1"/>
    </xf>
    <xf numFmtId="0" fontId="5" fillId="0" borderId="9" xfId="0" applyFont="1" applyBorder="1" applyAlignment="1" applyProtection="1">
      <alignment wrapText="1"/>
      <protection hidden="1"/>
    </xf>
    <xf numFmtId="0" fontId="1" fillId="0" borderId="0" xfId="0" applyFont="1" applyProtection="1">
      <protection hidden="1"/>
    </xf>
    <xf numFmtId="0" fontId="0" fillId="8" borderId="0" xfId="0" applyFont="1" applyFill="1" applyBorder="1" applyProtection="1">
      <protection hidden="1"/>
    </xf>
    <xf numFmtId="10" fontId="0" fillId="11" borderId="0" xfId="2" applyNumberFormat="1" applyFont="1" applyFill="1" applyBorder="1" applyProtection="1">
      <protection hidden="1"/>
    </xf>
    <xf numFmtId="10" fontId="0" fillId="0" borderId="0" xfId="0" applyNumberFormat="1" applyProtection="1">
      <protection hidden="1"/>
    </xf>
    <xf numFmtId="173" fontId="49" fillId="11" borderId="0" xfId="1" applyNumberFormat="1" applyFont="1" applyFill="1" applyBorder="1" applyProtection="1">
      <protection hidden="1"/>
    </xf>
    <xf numFmtId="173" fontId="0" fillId="0" borderId="0" xfId="0" applyNumberFormat="1" applyProtection="1">
      <protection hidden="1"/>
    </xf>
    <xf numFmtId="0" fontId="57" fillId="7" borderId="16" xfId="8" applyProtection="1">
      <protection hidden="1"/>
    </xf>
    <xf numFmtId="0" fontId="44" fillId="7" borderId="15" xfId="7" applyAlignment="1" applyProtection="1">
      <alignment horizontal="center"/>
      <protection locked="0"/>
    </xf>
    <xf numFmtId="0" fontId="59" fillId="7" borderId="15" xfId="7" applyFont="1" applyAlignment="1" applyProtection="1">
      <alignment horizontal="center"/>
      <protection locked="0"/>
    </xf>
    <xf numFmtId="0" fontId="60" fillId="12" borderId="0" xfId="0" applyFont="1" applyFill="1" applyProtection="1">
      <protection locked="0"/>
    </xf>
    <xf numFmtId="166" fontId="60" fillId="12" borderId="0" xfId="1" applyFont="1" applyFill="1" applyProtection="1">
      <protection locked="0"/>
    </xf>
    <xf numFmtId="166" fontId="61" fillId="2" borderId="0" xfId="0" applyNumberFormat="1" applyFont="1" applyFill="1" applyAlignment="1" applyProtection="1">
      <alignment horizontal="center" vertical="center" wrapText="1"/>
      <protection hidden="1"/>
    </xf>
    <xf numFmtId="0" fontId="13" fillId="0" borderId="0" xfId="0" applyFont="1" applyAlignment="1" applyProtection="1">
      <alignment horizontal="center"/>
      <protection hidden="1"/>
    </xf>
    <xf numFmtId="0" fontId="62" fillId="0" borderId="6" xfId="0" applyFont="1" applyFill="1" applyBorder="1" applyAlignment="1" applyProtection="1">
      <alignment horizontal="center"/>
      <protection hidden="1"/>
    </xf>
    <xf numFmtId="0" fontId="62" fillId="0" borderId="7" xfId="0" applyFont="1" applyFill="1" applyBorder="1" applyAlignment="1" applyProtection="1">
      <alignment horizontal="center"/>
      <protection hidden="1"/>
    </xf>
    <xf numFmtId="170" fontId="63" fillId="9" borderId="10" xfId="2" applyNumberFormat="1" applyFont="1" applyFill="1" applyBorder="1" applyAlignment="1" applyProtection="1">
      <alignment horizontal="center"/>
      <protection hidden="1"/>
    </xf>
    <xf numFmtId="170" fontId="63" fillId="9" borderId="11" xfId="2" applyNumberFormat="1" applyFont="1" applyFill="1" applyBorder="1" applyAlignment="1" applyProtection="1">
      <alignment horizontal="center"/>
      <protection hidden="1"/>
    </xf>
    <xf numFmtId="170" fontId="63" fillId="9" borderId="4" xfId="2" applyNumberFormat="1" applyFont="1" applyFill="1" applyBorder="1" applyAlignment="1" applyProtection="1">
      <alignment horizontal="center"/>
      <protection hidden="1"/>
    </xf>
    <xf numFmtId="170" fontId="63" fillId="9" borderId="13" xfId="2" applyNumberFormat="1" applyFont="1" applyFill="1" applyBorder="1" applyAlignment="1" applyProtection="1">
      <alignment horizontal="center"/>
      <protection hidden="1"/>
    </xf>
    <xf numFmtId="166" fontId="47" fillId="0" borderId="0" xfId="0" applyNumberFormat="1" applyFont="1" applyProtection="1">
      <protection hidden="1"/>
    </xf>
    <xf numFmtId="167" fontId="60" fillId="12" borderId="0" xfId="4" applyFont="1" applyFill="1" applyAlignment="1" applyProtection="1">
      <alignment horizontal="center"/>
      <protection locked="0"/>
    </xf>
    <xf numFmtId="167" fontId="32" fillId="4" borderId="0" xfId="4" applyFont="1" applyFill="1" applyAlignment="1" applyProtection="1">
      <alignment horizontal="center"/>
      <protection locked="0"/>
    </xf>
    <xf numFmtId="0" fontId="4" fillId="0" borderId="0" xfId="0" applyFont="1" applyAlignment="1">
      <alignment horizontal="center"/>
    </xf>
    <xf numFmtId="0" fontId="56" fillId="6" borderId="0" xfId="0" applyFont="1" applyFill="1" applyAlignment="1" applyProtection="1">
      <alignment horizontal="center" vertical="center" wrapText="1"/>
      <protection locked="0"/>
    </xf>
    <xf numFmtId="0" fontId="55" fillId="6" borderId="0" xfId="0" applyFont="1" applyFill="1" applyAlignment="1" applyProtection="1">
      <alignment horizontal="center" vertical="center" wrapText="1"/>
      <protection locked="0"/>
    </xf>
    <xf numFmtId="0" fontId="64" fillId="0" borderId="0" xfId="0" applyFont="1" applyAlignment="1" applyProtection="1">
      <alignment horizontal="center"/>
      <protection hidden="1"/>
    </xf>
    <xf numFmtId="0" fontId="65"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12" fillId="0" borderId="0" xfId="0" applyFont="1" applyAlignment="1" applyProtection="1">
      <alignment horizontal="center" wrapText="1"/>
      <protection hidden="1"/>
    </xf>
    <xf numFmtId="0" fontId="18" fillId="0" borderId="4" xfId="0" applyFont="1" applyBorder="1" applyAlignment="1" applyProtection="1">
      <alignment horizontal="center" wrapText="1"/>
      <protection hidden="1"/>
    </xf>
    <xf numFmtId="0" fontId="14" fillId="0" borderId="0" xfId="0" applyFont="1" applyFill="1" applyAlignment="1" applyProtection="1">
      <alignment horizontal="left" wrapText="1"/>
      <protection hidden="1"/>
    </xf>
    <xf numFmtId="0" fontId="5" fillId="2" borderId="9" xfId="0" applyFont="1" applyFill="1" applyBorder="1" applyAlignment="1" applyProtection="1">
      <alignment horizontal="left" wrapText="1"/>
      <protection hidden="1"/>
    </xf>
    <xf numFmtId="0" fontId="5" fillId="2" borderId="10" xfId="0" applyFont="1" applyFill="1" applyBorder="1" applyAlignment="1" applyProtection="1">
      <alignment horizontal="left" wrapText="1"/>
      <protection hidden="1"/>
    </xf>
    <xf numFmtId="0" fontId="5" fillId="2" borderId="11" xfId="0" applyFont="1" applyFill="1" applyBorder="1" applyAlignment="1" applyProtection="1">
      <alignment horizontal="left" wrapText="1"/>
      <protection hidden="1"/>
    </xf>
    <xf numFmtId="0" fontId="5" fillId="2" borderId="12" xfId="0" applyFont="1" applyFill="1" applyBorder="1" applyAlignment="1" applyProtection="1">
      <alignment horizontal="left" wrapText="1"/>
      <protection hidden="1"/>
    </xf>
    <xf numFmtId="0" fontId="5" fillId="2" borderId="4" xfId="0" applyFont="1" applyFill="1" applyBorder="1" applyAlignment="1" applyProtection="1">
      <alignment horizontal="left" wrapText="1"/>
      <protection hidden="1"/>
    </xf>
    <xf numFmtId="0" fontId="5" fillId="2" borderId="13" xfId="0" applyFont="1" applyFill="1" applyBorder="1" applyAlignment="1" applyProtection="1">
      <alignment horizontal="left" wrapText="1"/>
      <protection hidden="1"/>
    </xf>
    <xf numFmtId="0" fontId="58" fillId="8" borderId="5" xfId="0" applyFont="1" applyFill="1" applyBorder="1" applyAlignment="1" applyProtection="1">
      <alignment horizontal="center"/>
      <protection hidden="1"/>
    </xf>
    <xf numFmtId="0" fontId="58" fillId="8" borderId="6" xfId="0" applyFont="1" applyFill="1" applyBorder="1" applyAlignment="1" applyProtection="1">
      <alignment horizontal="center"/>
      <protection hidden="1"/>
    </xf>
    <xf numFmtId="0" fontId="58" fillId="8" borderId="7" xfId="0" applyFont="1" applyFill="1" applyBorder="1" applyAlignment="1" applyProtection="1">
      <alignment horizontal="center"/>
      <protection hidden="1"/>
    </xf>
    <xf numFmtId="0" fontId="4" fillId="8" borderId="5" xfId="0" applyFont="1" applyFill="1" applyBorder="1" applyAlignment="1" applyProtection="1">
      <alignment horizontal="left"/>
      <protection hidden="1"/>
    </xf>
    <xf numFmtId="0" fontId="4" fillId="8" borderId="6" xfId="0" applyFont="1" applyFill="1" applyBorder="1" applyAlignment="1" applyProtection="1">
      <alignment horizontal="left"/>
      <protection hidden="1"/>
    </xf>
    <xf numFmtId="0" fontId="4" fillId="8" borderId="7" xfId="0" applyFont="1" applyFill="1" applyBorder="1" applyAlignment="1" applyProtection="1">
      <alignment horizontal="left"/>
      <protection hidden="1"/>
    </xf>
    <xf numFmtId="0" fontId="24" fillId="8" borderId="5" xfId="0" applyFont="1" applyFill="1" applyBorder="1" applyAlignment="1" applyProtection="1">
      <alignment horizontal="center"/>
      <protection hidden="1"/>
    </xf>
    <xf numFmtId="0" fontId="24" fillId="8" borderId="6" xfId="0" applyFont="1" applyFill="1" applyBorder="1" applyAlignment="1" applyProtection="1">
      <alignment horizontal="center"/>
      <protection hidden="1"/>
    </xf>
    <xf numFmtId="0" fontId="24" fillId="8" borderId="7" xfId="0" applyFont="1" applyFill="1" applyBorder="1" applyAlignment="1" applyProtection="1">
      <alignment horizontal="center"/>
      <protection hidden="1"/>
    </xf>
    <xf numFmtId="0" fontId="0" fillId="0" borderId="0" xfId="0" applyAlignment="1" applyProtection="1">
      <alignment horizontal="center"/>
      <protection hidden="1"/>
    </xf>
    <xf numFmtId="10" fontId="32" fillId="4" borderId="0" xfId="2" applyNumberFormat="1" applyFont="1" applyFill="1" applyAlignment="1" applyProtection="1">
      <alignment horizontal="center"/>
      <protection locked="0"/>
    </xf>
    <xf numFmtId="0" fontId="15" fillId="0" borderId="0" xfId="0" applyFont="1" applyAlignment="1" applyProtection="1">
      <alignment horizontal="center" vertical="center"/>
      <protection hidden="1"/>
    </xf>
    <xf numFmtId="0" fontId="15" fillId="5" borderId="0" xfId="0" applyFont="1" applyFill="1" applyAlignment="1" applyProtection="1">
      <alignment horizontal="center" vertical="center"/>
      <protection hidden="1"/>
    </xf>
    <xf numFmtId="0" fontId="13" fillId="0" borderId="0" xfId="0" applyFont="1" applyAlignment="1" applyProtection="1">
      <alignment horizontal="center"/>
      <protection hidden="1"/>
    </xf>
    <xf numFmtId="0" fontId="4" fillId="0" borderId="0" xfId="0" applyFont="1" applyAlignment="1" applyProtection="1">
      <alignment horizontal="center"/>
      <protection hidden="1"/>
    </xf>
    <xf numFmtId="0" fontId="5" fillId="0" borderId="0" xfId="0" applyFont="1" applyAlignment="1" applyProtection="1">
      <alignment horizontal="center"/>
      <protection hidden="1"/>
    </xf>
    <xf numFmtId="0" fontId="5" fillId="0" borderId="0" xfId="0" applyFont="1" applyAlignment="1" applyProtection="1">
      <alignment horizontal="left"/>
      <protection hidden="1"/>
    </xf>
    <xf numFmtId="0" fontId="13" fillId="0" borderId="0" xfId="0" applyFont="1" applyAlignment="1" applyProtection="1">
      <alignment vertical="center" wrapText="1"/>
      <protection hidden="1"/>
    </xf>
    <xf numFmtId="10" fontId="38" fillId="4" borderId="0" xfId="2" applyNumberFormat="1" applyFont="1" applyFill="1" applyAlignment="1" applyProtection="1">
      <alignment horizontal="center" vertical="center"/>
      <protection locked="0"/>
    </xf>
    <xf numFmtId="0" fontId="14" fillId="5" borderId="0" xfId="0" applyFont="1" applyFill="1" applyAlignment="1" applyProtection="1">
      <alignment horizontal="center"/>
      <protection hidden="1"/>
    </xf>
    <xf numFmtId="0" fontId="4" fillId="0" borderId="0" xfId="0" applyFont="1" applyAlignment="1">
      <alignment horizontal="center"/>
    </xf>
    <xf numFmtId="0" fontId="19" fillId="0" borderId="0" xfId="0" applyFont="1" applyAlignment="1">
      <alignment horizontal="left" wrapText="1"/>
    </xf>
    <xf numFmtId="0" fontId="0" fillId="0" borderId="0" xfId="0" applyAlignment="1">
      <alignment horizontal="center" vertical="center" wrapText="1"/>
    </xf>
    <xf numFmtId="0" fontId="9" fillId="0" borderId="0" xfId="0" applyFont="1" applyAlignment="1">
      <alignment horizontal="center"/>
    </xf>
    <xf numFmtId="0" fontId="53" fillId="0" borderId="0" xfId="0" applyFont="1" applyAlignment="1">
      <alignment horizontal="center"/>
    </xf>
    <xf numFmtId="0" fontId="29" fillId="0" borderId="0" xfId="0" applyFont="1" applyAlignment="1">
      <alignment horizontal="center"/>
    </xf>
    <xf numFmtId="0" fontId="53" fillId="2" borderId="0" xfId="0" applyFont="1" applyFill="1" applyAlignment="1">
      <alignment horizontal="center"/>
    </xf>
    <xf numFmtId="0" fontId="54" fillId="10" borderId="0" xfId="0" applyFont="1" applyFill="1" applyAlignment="1">
      <alignment horizontal="center" wrapText="1"/>
    </xf>
    <xf numFmtId="0" fontId="19" fillId="0" borderId="0" xfId="0" applyFont="1" applyAlignment="1">
      <alignment horizontal="center" vertical="center" wrapText="1"/>
    </xf>
    <xf numFmtId="0" fontId="48" fillId="0" borderId="0" xfId="0" applyFont="1" applyAlignment="1">
      <alignment horizontal="left"/>
    </xf>
    <xf numFmtId="0" fontId="4" fillId="0" borderId="0" xfId="0" applyFont="1" applyAlignment="1">
      <alignment horizontal="left"/>
    </xf>
    <xf numFmtId="0" fontId="4" fillId="0" borderId="2" xfId="0" applyFont="1" applyBorder="1" applyAlignment="1">
      <alignment horizontal="center" vertical="center"/>
    </xf>
    <xf numFmtId="0" fontId="0" fillId="0" borderId="0" xfId="0" applyAlignment="1">
      <alignment vertical="center"/>
    </xf>
    <xf numFmtId="0" fontId="4" fillId="0" borderId="2"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justify" vertical="center" wrapText="1"/>
    </xf>
    <xf numFmtId="0" fontId="4" fillId="0" borderId="2" xfId="0" applyFont="1" applyBorder="1" applyAlignment="1">
      <alignment horizontal="lef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0" xfId="0" applyAlignment="1">
      <alignment horizontal="center"/>
    </xf>
    <xf numFmtId="0" fontId="4" fillId="0" borderId="2" xfId="0" applyFont="1" applyBorder="1" applyAlignment="1">
      <alignment horizontal="center"/>
    </xf>
    <xf numFmtId="0" fontId="0" fillId="0" borderId="2" xfId="0" applyBorder="1" applyAlignment="1">
      <alignment horizontal="center"/>
    </xf>
    <xf numFmtId="0" fontId="0" fillId="0" borderId="2" xfId="0" applyBorder="1"/>
    <xf numFmtId="0" fontId="0" fillId="10" borderId="2" xfId="0" applyFill="1" applyBorder="1" applyAlignment="1">
      <alignment horizontal="center"/>
    </xf>
    <xf numFmtId="170" fontId="4" fillId="0" borderId="0" xfId="2" applyNumberFormat="1" applyFont="1" applyAlignment="1">
      <alignment horizontal="center"/>
    </xf>
  </cellXfs>
  <cellStyles count="9">
    <cellStyle name="Cálculo" xfId="7" builtinId="22"/>
    <cellStyle name="Hipervínculo" xfId="5" builtinId="8" hidden="1"/>
    <cellStyle name="Hipervínculo visitado" xfId="6" builtinId="9" hidden="1"/>
    <cellStyle name="Millares" xfId="4" builtinId="3"/>
    <cellStyle name="Millares_Modelo Financiero ACME Final 2" xfId="3"/>
    <cellStyle name="Moneda" xfId="1" builtinId="4"/>
    <cellStyle name="Normal" xfId="0" builtinId="0"/>
    <cellStyle name="Porcentual" xfId="2" builtinId="5"/>
    <cellStyle name="Salida" xfId="8" builtinId="21"/>
  </cellStyles>
  <dxfs count="7">
    <dxf>
      <font>
        <color rgb="FF9C0006"/>
      </font>
      <fill>
        <patternFill>
          <bgColor rgb="FFFFC7CE"/>
        </patternFill>
      </fill>
    </dxf>
    <dxf>
      <font>
        <color theme="1" tint="4.9989318521683403E-2"/>
      </font>
      <fill>
        <patternFill>
          <bgColor rgb="FF00B050"/>
        </patternFill>
      </fill>
    </dxf>
    <dxf>
      <font>
        <color rgb="FF9C6500"/>
      </font>
      <fill>
        <patternFill>
          <bgColor rgb="FFFFEB9C"/>
        </patternFill>
      </fill>
    </dxf>
    <dxf>
      <font>
        <color rgb="FF9C0006"/>
      </font>
      <fill>
        <patternFill>
          <bgColor rgb="FFFFC7CE"/>
        </patternFill>
      </fill>
    </dxf>
    <dxf>
      <font>
        <color rgb="FF9C0006"/>
      </font>
    </dxf>
    <dxf>
      <font>
        <color rgb="FF9C0006"/>
      </font>
      <fill>
        <patternFill>
          <bgColor rgb="FFFFC7CE"/>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lang val="es-CO"/>
  <c:style val="42"/>
  <c:chart>
    <c:plotArea>
      <c:layout>
        <c:manualLayout>
          <c:layoutTarget val="inner"/>
          <c:xMode val="edge"/>
          <c:yMode val="edge"/>
          <c:x val="0.20978299507161199"/>
          <c:y val="4.2355815040486813E-2"/>
          <c:w val="0.70800194207522704"/>
          <c:h val="0.80141434497983732"/>
        </c:manualLayout>
      </c:layout>
      <c:lineChart>
        <c:grouping val="standard"/>
        <c:ser>
          <c:idx val="0"/>
          <c:order val="0"/>
          <c:tx>
            <c:strRef>
              <c:f>'5'!$C$31</c:f>
              <c:strCache>
                <c:ptCount val="1"/>
                <c:pt idx="0">
                  <c:v>COSTOS FIJO</c:v>
                </c:pt>
              </c:strCache>
            </c:strRef>
          </c:tx>
          <c:marker>
            <c:symbol val="none"/>
          </c:marker>
          <c:cat>
            <c:numRef>
              <c:f>'5'!$B$32:$B$34</c:f>
              <c:numCache>
                <c:formatCode>_-* #,##0.00_-;\-* #,##0.00_-;_-* "-"??_-;_-@_-</c:formatCode>
                <c:ptCount val="3"/>
                <c:pt idx="0" formatCode="General">
                  <c:v>0</c:v>
                </c:pt>
                <c:pt idx="1">
                  <c:v>129.6421019652521</c:v>
                </c:pt>
                <c:pt idx="2">
                  <c:v>259.28420393050419</c:v>
                </c:pt>
              </c:numCache>
            </c:numRef>
          </c:cat>
          <c:val>
            <c:numRef>
              <c:f>'5'!$C$32:$C$34</c:f>
              <c:numCache>
                <c:formatCode>_("$"\ * #,##0.00_);_("$"\ * \(#,##0.00\);_("$"\ * "-"??_);_(@_)</c:formatCode>
                <c:ptCount val="3"/>
                <c:pt idx="0">
                  <c:v>215722000</c:v>
                </c:pt>
                <c:pt idx="1">
                  <c:v>215722000</c:v>
                </c:pt>
                <c:pt idx="2">
                  <c:v>215722000</c:v>
                </c:pt>
              </c:numCache>
            </c:numRef>
          </c:val>
          <c:extLst xmlns:c16r2="http://schemas.microsoft.com/office/drawing/2015/06/chart">
            <c:ext xmlns:c16="http://schemas.microsoft.com/office/drawing/2014/chart" uri="{C3380CC4-5D6E-409C-BE32-E72D297353CC}">
              <c16:uniqueId val="{00000000-8748-4E59-B8CB-4E980A188FD2}"/>
            </c:ext>
          </c:extLst>
        </c:ser>
        <c:ser>
          <c:idx val="1"/>
          <c:order val="1"/>
          <c:tx>
            <c:strRef>
              <c:f>'5'!$D$31</c:f>
              <c:strCache>
                <c:ptCount val="1"/>
                <c:pt idx="0">
                  <c:v>INGRESOS</c:v>
                </c:pt>
              </c:strCache>
            </c:strRef>
          </c:tx>
          <c:marker>
            <c:symbol val="none"/>
          </c:marker>
          <c:cat>
            <c:numRef>
              <c:f>'5'!$B$32:$B$34</c:f>
              <c:numCache>
                <c:formatCode>_-* #,##0.00_-;\-* #,##0.00_-;_-* "-"??_-;_-@_-</c:formatCode>
                <c:ptCount val="3"/>
                <c:pt idx="0" formatCode="General">
                  <c:v>0</c:v>
                </c:pt>
                <c:pt idx="1">
                  <c:v>129.6421019652521</c:v>
                </c:pt>
                <c:pt idx="2">
                  <c:v>259.28420393050419</c:v>
                </c:pt>
              </c:numCache>
            </c:numRef>
          </c:cat>
          <c:val>
            <c:numRef>
              <c:f>'5'!$D$32:$D$34</c:f>
              <c:numCache>
                <c:formatCode>_("$"\ * #,##0.00_);_("$"\ * \(#,##0.00\);_("$"\ * "-"??_);_(@_)</c:formatCode>
                <c:ptCount val="3"/>
                <c:pt idx="0" formatCode="General">
                  <c:v>0</c:v>
                </c:pt>
                <c:pt idx="1">
                  <c:v>396790850.46995169</c:v>
                </c:pt>
                <c:pt idx="2">
                  <c:v>793581700.93990338</c:v>
                </c:pt>
              </c:numCache>
            </c:numRef>
          </c:val>
          <c:extLst xmlns:c16r2="http://schemas.microsoft.com/office/drawing/2015/06/chart">
            <c:ext xmlns:c16="http://schemas.microsoft.com/office/drawing/2014/chart" uri="{C3380CC4-5D6E-409C-BE32-E72D297353CC}">
              <c16:uniqueId val="{00000001-8748-4E59-B8CB-4E980A188FD2}"/>
            </c:ext>
          </c:extLst>
        </c:ser>
        <c:ser>
          <c:idx val="2"/>
          <c:order val="2"/>
          <c:tx>
            <c:strRef>
              <c:f>'5'!$F$31</c:f>
              <c:strCache>
                <c:ptCount val="1"/>
                <c:pt idx="0">
                  <c:v>COSTO TOTAL</c:v>
                </c:pt>
              </c:strCache>
            </c:strRef>
          </c:tx>
          <c:marker>
            <c:symbol val="none"/>
          </c:marker>
          <c:cat>
            <c:numRef>
              <c:f>'5'!$B$32:$B$34</c:f>
              <c:numCache>
                <c:formatCode>_-* #,##0.00_-;\-* #,##0.00_-;_-* "-"??_-;_-@_-</c:formatCode>
                <c:ptCount val="3"/>
                <c:pt idx="0" formatCode="General">
                  <c:v>0</c:v>
                </c:pt>
                <c:pt idx="1">
                  <c:v>129.6421019652521</c:v>
                </c:pt>
                <c:pt idx="2">
                  <c:v>259.28420393050419</c:v>
                </c:pt>
              </c:numCache>
            </c:numRef>
          </c:cat>
          <c:val>
            <c:numRef>
              <c:f>'5'!$F$32:$F$34</c:f>
              <c:numCache>
                <c:formatCode>_("$"\ * #,##0.00_);_("$"\ * \(#,##0.00\);_("$"\ * "-"??_);_(@_)</c:formatCode>
                <c:ptCount val="3"/>
                <c:pt idx="0">
                  <c:v>215722000</c:v>
                </c:pt>
                <c:pt idx="1">
                  <c:v>396790850.46995163</c:v>
                </c:pt>
                <c:pt idx="2">
                  <c:v>577859700.93990326</c:v>
                </c:pt>
              </c:numCache>
            </c:numRef>
          </c:val>
          <c:extLst xmlns:c16r2="http://schemas.microsoft.com/office/drawing/2015/06/chart">
            <c:ext xmlns:c16="http://schemas.microsoft.com/office/drawing/2014/chart" uri="{C3380CC4-5D6E-409C-BE32-E72D297353CC}">
              <c16:uniqueId val="{00000002-8748-4E59-B8CB-4E980A188FD2}"/>
            </c:ext>
          </c:extLst>
        </c:ser>
        <c:marker val="1"/>
        <c:axId val="87643264"/>
        <c:axId val="87644800"/>
      </c:lineChart>
      <c:catAx>
        <c:axId val="87643264"/>
        <c:scaling>
          <c:orientation val="minMax"/>
        </c:scaling>
        <c:axPos val="b"/>
        <c:numFmt formatCode="General" sourceLinked="1"/>
        <c:tickLblPos val="nextTo"/>
        <c:crossAx val="87644800"/>
        <c:crosses val="autoZero"/>
        <c:auto val="1"/>
        <c:lblAlgn val="ctr"/>
        <c:lblOffset val="100"/>
      </c:catAx>
      <c:valAx>
        <c:axId val="87644800"/>
        <c:scaling>
          <c:orientation val="minMax"/>
        </c:scaling>
        <c:axPos val="l"/>
        <c:majorGridlines/>
        <c:numFmt formatCode="_(&quot;$&quot;\ * #,##0.00_);_(&quot;$&quot;\ * \(#,##0.00\);_(&quot;$&quot;\ * &quot;-&quot;??_);_(@_)" sourceLinked="1"/>
        <c:tickLblPos val="nextTo"/>
        <c:txPr>
          <a:bodyPr/>
          <a:lstStyle/>
          <a:p>
            <a:pPr>
              <a:defRPr sz="800">
                <a:latin typeface="Arial" pitchFamily="34" charset="0"/>
                <a:cs typeface="Arial" pitchFamily="34" charset="0"/>
              </a:defRPr>
            </a:pPr>
            <a:endParaRPr lang="es-CO"/>
          </a:p>
        </c:txPr>
        <c:crossAx val="87643264"/>
        <c:crosses val="autoZero"/>
        <c:crossBetween val="midCat"/>
      </c:valAx>
    </c:plotArea>
    <c:legend>
      <c:legendPos val="r"/>
      <c:layout>
        <c:manualLayout>
          <c:xMode val="edge"/>
          <c:yMode val="edge"/>
          <c:x val="2.2698594538394689E-2"/>
          <c:y val="0.93824729917921001"/>
          <c:w val="0.95884696821386695"/>
          <c:h val="5.8173535020252395E-2"/>
        </c:manualLayout>
      </c:layout>
    </c:legend>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t>PUNTO</a:t>
            </a:r>
            <a:r>
              <a:rPr lang="es-CO" b="1" baseline="0"/>
              <a:t> DE EQUILBRIO</a:t>
            </a:r>
            <a:endParaRPr lang="es-CO" b="1"/>
          </a:p>
        </c:rich>
      </c:tx>
      <c:spPr>
        <a:noFill/>
        <a:ln>
          <a:noFill/>
        </a:ln>
        <a:effectLst/>
      </c:spPr>
    </c:title>
    <c:plotArea>
      <c:layout/>
      <c:lineChart>
        <c:grouping val="standard"/>
        <c:ser>
          <c:idx val="0"/>
          <c:order val="0"/>
          <c:tx>
            <c:strRef>
              <c:f>'6'!$B$204</c:f>
              <c:strCache>
                <c:ptCount val="1"/>
                <c:pt idx="0">
                  <c:v>COSTOS FIJO</c:v>
                </c:pt>
              </c:strCache>
            </c:strRef>
          </c:tx>
          <c:spPr>
            <a:ln w="28575" cap="rnd">
              <a:solidFill>
                <a:schemeClr val="accent1"/>
              </a:solidFill>
              <a:round/>
            </a:ln>
            <a:effectLst/>
          </c:spPr>
          <c:marker>
            <c:symbol val="none"/>
          </c:marker>
          <c:cat>
            <c:numRef>
              <c:f>'6'!$A$205:$A$207</c:f>
              <c:numCache>
                <c:formatCode>0.00</c:formatCode>
                <c:ptCount val="3"/>
                <c:pt idx="0">
                  <c:v>0</c:v>
                </c:pt>
                <c:pt idx="1">
                  <c:v>129.6421019652521</c:v>
                </c:pt>
                <c:pt idx="2">
                  <c:v>259.28420393050419</c:v>
                </c:pt>
              </c:numCache>
            </c:numRef>
          </c:cat>
          <c:val>
            <c:numRef>
              <c:f>'6'!$B$205:$B$207</c:f>
              <c:numCache>
                <c:formatCode>_-[$$-240A]\ * #,##0_ ;_-[$$-240A]\ * \-#,##0\ ;_-[$$-240A]\ * "-"??_ ;_-@_ </c:formatCode>
                <c:ptCount val="3"/>
                <c:pt idx="0">
                  <c:v>215722000</c:v>
                </c:pt>
                <c:pt idx="1">
                  <c:v>215722000</c:v>
                </c:pt>
                <c:pt idx="2">
                  <c:v>215722000</c:v>
                </c:pt>
              </c:numCache>
            </c:numRef>
          </c:val>
          <c:extLst xmlns:c16r2="http://schemas.microsoft.com/office/drawing/2015/06/chart">
            <c:ext xmlns:c16="http://schemas.microsoft.com/office/drawing/2014/chart" uri="{C3380CC4-5D6E-409C-BE32-E72D297353CC}">
              <c16:uniqueId val="{00000000-C4E0-4A6C-8331-F8C445EA3C2E}"/>
            </c:ext>
          </c:extLst>
        </c:ser>
        <c:ser>
          <c:idx val="1"/>
          <c:order val="1"/>
          <c:tx>
            <c:strRef>
              <c:f>'6'!$C$204</c:f>
              <c:strCache>
                <c:ptCount val="1"/>
                <c:pt idx="0">
                  <c:v>INGRESOS</c:v>
                </c:pt>
              </c:strCache>
            </c:strRef>
          </c:tx>
          <c:spPr>
            <a:ln w="28575" cap="rnd">
              <a:solidFill>
                <a:srgbClr val="92D050"/>
              </a:solidFill>
              <a:round/>
            </a:ln>
            <a:effectLst/>
          </c:spPr>
          <c:marker>
            <c:symbol val="none"/>
          </c:marker>
          <c:cat>
            <c:numRef>
              <c:f>'6'!$A$205:$A$207</c:f>
              <c:numCache>
                <c:formatCode>0.00</c:formatCode>
                <c:ptCount val="3"/>
                <c:pt idx="0">
                  <c:v>0</c:v>
                </c:pt>
                <c:pt idx="1">
                  <c:v>129.6421019652521</c:v>
                </c:pt>
                <c:pt idx="2">
                  <c:v>259.28420393050419</c:v>
                </c:pt>
              </c:numCache>
            </c:numRef>
          </c:cat>
          <c:val>
            <c:numRef>
              <c:f>'6'!$C$205:$C$207</c:f>
              <c:numCache>
                <c:formatCode>_-[$$-240A]\ * #,##0_ ;_-[$$-240A]\ * \-#,##0\ ;_-[$$-240A]\ * "-"??_ ;_-@_ </c:formatCode>
                <c:ptCount val="3"/>
                <c:pt idx="0">
                  <c:v>0</c:v>
                </c:pt>
                <c:pt idx="1">
                  <c:v>396790850.46995169</c:v>
                </c:pt>
                <c:pt idx="2">
                  <c:v>793581700.93990338</c:v>
                </c:pt>
              </c:numCache>
            </c:numRef>
          </c:val>
          <c:extLst xmlns:c16r2="http://schemas.microsoft.com/office/drawing/2015/06/chart">
            <c:ext xmlns:c16="http://schemas.microsoft.com/office/drawing/2014/chart" uri="{C3380CC4-5D6E-409C-BE32-E72D297353CC}">
              <c16:uniqueId val="{00000001-C4E0-4A6C-8331-F8C445EA3C2E}"/>
            </c:ext>
          </c:extLst>
        </c:ser>
        <c:ser>
          <c:idx val="2"/>
          <c:order val="2"/>
          <c:tx>
            <c:strRef>
              <c:f>'6'!$E$204</c:f>
              <c:strCache>
                <c:ptCount val="1"/>
                <c:pt idx="0">
                  <c:v>COSTO TOTAL</c:v>
                </c:pt>
              </c:strCache>
            </c:strRef>
          </c:tx>
          <c:spPr>
            <a:ln w="28575" cap="rnd">
              <a:solidFill>
                <a:srgbClr val="FF0000"/>
              </a:solidFill>
              <a:round/>
            </a:ln>
            <a:effectLst/>
          </c:spPr>
          <c:marker>
            <c:symbol val="none"/>
          </c:marker>
          <c:cat>
            <c:numRef>
              <c:f>'6'!$A$205:$A$207</c:f>
              <c:numCache>
                <c:formatCode>0.00</c:formatCode>
                <c:ptCount val="3"/>
                <c:pt idx="0">
                  <c:v>0</c:v>
                </c:pt>
                <c:pt idx="1">
                  <c:v>129.6421019652521</c:v>
                </c:pt>
                <c:pt idx="2">
                  <c:v>259.28420393050419</c:v>
                </c:pt>
              </c:numCache>
            </c:numRef>
          </c:cat>
          <c:val>
            <c:numRef>
              <c:f>'6'!$E$205:$E$207</c:f>
              <c:numCache>
                <c:formatCode>_-[$$-240A]\ * #,##0_ ;_-[$$-240A]\ * \-#,##0\ ;_-[$$-240A]\ * "-"??_ ;_-@_ </c:formatCode>
                <c:ptCount val="3"/>
                <c:pt idx="0">
                  <c:v>215722000</c:v>
                </c:pt>
                <c:pt idx="1">
                  <c:v>396790850.46995163</c:v>
                </c:pt>
                <c:pt idx="2">
                  <c:v>577859700.93990326</c:v>
                </c:pt>
              </c:numCache>
            </c:numRef>
          </c:val>
          <c:extLst xmlns:c16r2="http://schemas.microsoft.com/office/drawing/2015/06/chart">
            <c:ext xmlns:c16="http://schemas.microsoft.com/office/drawing/2014/chart" uri="{C3380CC4-5D6E-409C-BE32-E72D297353CC}">
              <c16:uniqueId val="{00000002-C4E0-4A6C-8331-F8C445EA3C2E}"/>
            </c:ext>
          </c:extLst>
        </c:ser>
        <c:marker val="1"/>
        <c:axId val="88567808"/>
        <c:axId val="88569344"/>
      </c:lineChart>
      <c:catAx>
        <c:axId val="88567808"/>
        <c:scaling>
          <c:orientation val="minMax"/>
        </c:scaling>
        <c:axPos val="b"/>
        <c:numFmt formatCode="0.00"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8569344"/>
        <c:crosses val="autoZero"/>
        <c:auto val="1"/>
        <c:lblAlgn val="ctr"/>
        <c:lblOffset val="100"/>
      </c:catAx>
      <c:valAx>
        <c:axId val="88569344"/>
        <c:scaling>
          <c:orientation val="minMax"/>
        </c:scaling>
        <c:axPos val="l"/>
        <c:majorGridlines>
          <c:spPr>
            <a:ln w="9525" cap="flat" cmpd="sng" algn="ctr">
              <a:solidFill>
                <a:schemeClr val="tx1">
                  <a:lumMod val="15000"/>
                  <a:lumOff val="85000"/>
                </a:schemeClr>
              </a:solidFill>
              <a:round/>
            </a:ln>
            <a:effectLst/>
          </c:spPr>
        </c:majorGridlines>
        <c:numFmt formatCode="_-[$$-240A]\ * #,##0_ ;_-[$$-240A]\ * \-#,##0\ ;_-[$$-240A]\ * &quot;-&quot;??_ ;_-@_ "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8567808"/>
        <c:crosses val="autoZero"/>
        <c:crossBetween val="midCat"/>
      </c:valAx>
      <c:spPr>
        <a:noFill/>
        <a:ln>
          <a:noFill/>
        </a:ln>
        <a:effectLst/>
      </c:spPr>
    </c:plotArea>
    <c:legend>
      <c:legendPos val="b"/>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78" l="0.70000000000000062" r="0.70000000000000062" t="0.75000000000000078"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3'!A1"/><Relationship Id="rId7" Type="http://schemas.openxmlformats.org/officeDocument/2006/relationships/hyperlink" Target="mailto:dmreyes@ean.edu.co" TargetMode="External"/><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image" Target="../media/image1.jpeg"/><Relationship Id="rId5" Type="http://schemas.openxmlformats.org/officeDocument/2006/relationships/hyperlink" Target="#'5'!A1"/><Relationship Id="rId10" Type="http://schemas.openxmlformats.org/officeDocument/2006/relationships/hyperlink" Target="#'6'!A1"/><Relationship Id="rId4" Type="http://schemas.openxmlformats.org/officeDocument/2006/relationships/hyperlink" Target="#'4'!A1"/><Relationship Id="rId9"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ailto:dmreyes@ean.edu.co" TargetMode="External"/><Relationship Id="rId1" Type="http://schemas.openxmlformats.org/officeDocument/2006/relationships/hyperlink" Target="#Men&#250;!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ilto:dmreyes@ean.edu.co" TargetMode="External"/><Relationship Id="rId1" Type="http://schemas.openxmlformats.org/officeDocument/2006/relationships/hyperlink" Target="#Men&#250;!A1"/><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ilto:dmreyes@ean.edu.co" TargetMode="External"/><Relationship Id="rId1" Type="http://schemas.openxmlformats.org/officeDocument/2006/relationships/hyperlink" Target="#Men&#250;!A1"/><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ilto:dmreyes@ean.edu.co" TargetMode="External"/><Relationship Id="rId1" Type="http://schemas.openxmlformats.org/officeDocument/2006/relationships/hyperlink" Target="#Men&#250;!A1"/><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hyperlink" Target="#Men&#250;!A1"/><Relationship Id="rId2" Type="http://schemas.openxmlformats.org/officeDocument/2006/relationships/hyperlink" Target="#Men&#250;!A1"/><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hyperlink" Target="mailto:dmreyes@ean.edu.co"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chart" Target="../charts/chart2.xml"/><Relationship Id="rId4" Type="http://schemas.openxmlformats.org/officeDocument/2006/relationships/hyperlink" Target="#Men&#250;!A1"/></Relationships>
</file>

<file path=xl/drawings/drawing1.xml><?xml version="1.0" encoding="utf-8"?>
<xdr:wsDr xmlns:xdr="http://schemas.openxmlformats.org/drawingml/2006/spreadsheetDrawing" xmlns:a="http://schemas.openxmlformats.org/drawingml/2006/main">
  <xdr:twoCellAnchor>
    <xdr:from>
      <xdr:col>1</xdr:col>
      <xdr:colOff>200025</xdr:colOff>
      <xdr:row>2</xdr:row>
      <xdr:rowOff>19050</xdr:rowOff>
    </xdr:from>
    <xdr:to>
      <xdr:col>5</xdr:col>
      <xdr:colOff>190500</xdr:colOff>
      <xdr:row>22</xdr:row>
      <xdr:rowOff>95250</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962025" y="400050"/>
          <a:ext cx="3038475" cy="3886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200">
              <a:latin typeface="Aharoni" pitchFamily="2" charset="-79"/>
              <a:cs typeface="Aharoni" pitchFamily="2" charset="-79"/>
            </a:rPr>
            <a:t>BIENVENIDO A LA SIMULACIÓN</a:t>
          </a:r>
          <a:r>
            <a:rPr lang="es-CO" sz="1200" baseline="0">
              <a:latin typeface="Aharoni" pitchFamily="2" charset="-79"/>
              <a:cs typeface="Aharoni" pitchFamily="2" charset="-79"/>
            </a:rPr>
            <a:t> FINANCIERA BÁSICA DE TU MODELO DE NEGOCIO.</a:t>
          </a:r>
        </a:p>
        <a:p>
          <a:pPr algn="just"/>
          <a:endParaRPr lang="es-CO" sz="1200" baseline="0">
            <a:latin typeface="Aharoni" pitchFamily="2" charset="-79"/>
            <a:cs typeface="Aharoni" pitchFamily="2" charset="-79"/>
          </a:endParaRPr>
        </a:p>
        <a:p>
          <a:pPr algn="just"/>
          <a:r>
            <a:rPr lang="es-CO" sz="1200" baseline="0">
              <a:latin typeface="Aharoni" pitchFamily="2" charset="-79"/>
              <a:cs typeface="Aharoni" pitchFamily="2" charset="-79"/>
            </a:rPr>
            <a:t>ANTES DE DIGITAR LA INFORMACIÓN EN ESTE SIMULADOR, TEN EN CUENTA QUE:</a:t>
          </a:r>
        </a:p>
        <a:p>
          <a:pPr algn="just"/>
          <a:endParaRPr lang="es-CO" sz="1200" baseline="0">
            <a:latin typeface="Aharoni" pitchFamily="2" charset="-79"/>
            <a:cs typeface="Aharoni" pitchFamily="2" charset="-79"/>
          </a:endParaRPr>
        </a:p>
        <a:p>
          <a:pPr algn="just"/>
          <a:r>
            <a:rPr lang="es-CO" sz="1800" baseline="0">
              <a:latin typeface="Aharoni" pitchFamily="2" charset="-79"/>
              <a:cs typeface="Aharoni" pitchFamily="2" charset="-79"/>
            </a:rPr>
            <a:t>1. </a:t>
          </a:r>
          <a:r>
            <a:rPr lang="es-CO" sz="1100" baseline="0">
              <a:latin typeface="Aharoni" pitchFamily="2" charset="-79"/>
              <a:cs typeface="Aharoni" pitchFamily="2" charset="-79"/>
            </a:rPr>
            <a:t>SOLO SE PODRÁN MODIFICAR LAS CELDAS RESALTAS CON COLOR AZUL</a:t>
          </a:r>
          <a:r>
            <a:rPr lang="es-CO" sz="1200" baseline="0">
              <a:latin typeface="Aharoni" pitchFamily="2" charset="-79"/>
              <a:cs typeface="Aharoni" pitchFamily="2" charset="-79"/>
            </a:rPr>
            <a:t>.</a:t>
          </a:r>
        </a:p>
        <a:p>
          <a:pPr algn="just"/>
          <a:endParaRPr lang="es-CO" sz="1200" baseline="0">
            <a:latin typeface="Aharoni" pitchFamily="2" charset="-79"/>
            <a:cs typeface="Aharoni" pitchFamily="2" charset="-79"/>
          </a:endParaRPr>
        </a:p>
        <a:p>
          <a:pPr algn="just"/>
          <a:r>
            <a:rPr lang="es-CO" sz="1600" baseline="0">
              <a:latin typeface="Aharoni" pitchFamily="2" charset="-79"/>
              <a:cs typeface="Aharoni" pitchFamily="2" charset="-79"/>
            </a:rPr>
            <a:t>2. </a:t>
          </a:r>
          <a:r>
            <a:rPr lang="es-CO" sz="1100" baseline="0">
              <a:latin typeface="Aharoni" pitchFamily="2" charset="-79"/>
              <a:cs typeface="Aharoni" pitchFamily="2" charset="-79"/>
            </a:rPr>
            <a:t>REVISA LOS COMENTARIOS DE LAS CELDAS, TE DARÁN CLAVES PARA EL CORRECTO DILIGENCIAMIENTO DE LA INFORMACIÓN.</a:t>
          </a:r>
        </a:p>
        <a:p>
          <a:pPr algn="just"/>
          <a:endParaRPr lang="es-CO" sz="1200" baseline="0">
            <a:latin typeface="Aharoni" pitchFamily="2" charset="-79"/>
            <a:cs typeface="Aharoni" pitchFamily="2" charset="-79"/>
          </a:endParaRPr>
        </a:p>
        <a:p>
          <a:pPr algn="just"/>
          <a:r>
            <a:rPr lang="es-CO" sz="1600" baseline="0">
              <a:latin typeface="Aharoni" pitchFamily="2" charset="-79"/>
              <a:cs typeface="Aharoni" pitchFamily="2" charset="-79"/>
            </a:rPr>
            <a:t>3. </a:t>
          </a:r>
          <a:r>
            <a:rPr lang="es-CO" sz="1100" baseline="0">
              <a:latin typeface="Aharoni" pitchFamily="2" charset="-79"/>
              <a:cs typeface="Aharoni" pitchFamily="2" charset="-79"/>
            </a:rPr>
            <a:t>LOS ESTADOS FINANCIEROS SE ELABORAN DE FORMA AUTÓMATICA Y NO REQUIEREN NINGUNA INTERVENCIÓN DEL EMPRENDEDOR.</a:t>
          </a:r>
        </a:p>
        <a:p>
          <a:pPr algn="just"/>
          <a:endParaRPr lang="es-CO" sz="1200" baseline="0">
            <a:latin typeface="Aharoni" pitchFamily="2" charset="-79"/>
            <a:cs typeface="Aharoni" pitchFamily="2" charset="-79"/>
          </a:endParaRPr>
        </a:p>
        <a:p>
          <a:endParaRPr lang="es-CO" sz="1100" baseline="0"/>
        </a:p>
        <a:p>
          <a:endParaRPr lang="es-CO" sz="1100"/>
        </a:p>
      </xdr:txBody>
    </xdr:sp>
    <xdr:clientData/>
  </xdr:twoCellAnchor>
  <xdr:oneCellAnchor>
    <xdr:from>
      <xdr:col>9</xdr:col>
      <xdr:colOff>257175</xdr:colOff>
      <xdr:row>19</xdr:row>
      <xdr:rowOff>66675</xdr:rowOff>
    </xdr:from>
    <xdr:ext cx="184731" cy="264560"/>
    <xdr:sp macro="" textlink="">
      <xdr:nvSpPr>
        <xdr:cNvPr id="3" name="2 CuadroTexto">
          <a:extLst>
            <a:ext uri="{FF2B5EF4-FFF2-40B4-BE49-F238E27FC236}">
              <a16:creationId xmlns="" xmlns:a16="http://schemas.microsoft.com/office/drawing/2014/main" id="{00000000-0008-0000-0000-000003000000}"/>
            </a:ext>
          </a:extLst>
        </xdr:cNvPr>
        <xdr:cNvSpPr txBox="1"/>
      </xdr:nvSpPr>
      <xdr:spPr>
        <a:xfrm>
          <a:off x="6353175" y="34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5</xdr:col>
      <xdr:colOff>200024</xdr:colOff>
      <xdr:row>2</xdr:row>
      <xdr:rowOff>66675</xdr:rowOff>
    </xdr:from>
    <xdr:to>
      <xdr:col>8</xdr:col>
      <xdr:colOff>476249</xdr:colOff>
      <xdr:row>5</xdr:row>
      <xdr:rowOff>47625</xdr:rowOff>
    </xdr:to>
    <xdr:sp macro="" textlink="">
      <xdr:nvSpPr>
        <xdr:cNvPr id="4" name="3 CuadroTexto">
          <a:hlinkClick xmlns:r="http://schemas.openxmlformats.org/officeDocument/2006/relationships" r:id="rId1"/>
          <a:extLst>
            <a:ext uri="{FF2B5EF4-FFF2-40B4-BE49-F238E27FC236}">
              <a16:creationId xmlns="" xmlns:a16="http://schemas.microsoft.com/office/drawing/2014/main" id="{00000000-0008-0000-0000-000004000000}"/>
            </a:ext>
          </a:extLst>
        </xdr:cNvPr>
        <xdr:cNvSpPr txBox="1"/>
      </xdr:nvSpPr>
      <xdr:spPr>
        <a:xfrm>
          <a:off x="4010024" y="447675"/>
          <a:ext cx="2562225" cy="5524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PROYECCIÓN</a:t>
          </a:r>
          <a:r>
            <a:rPr lang="es-CO" sz="1400" b="1" baseline="0">
              <a:latin typeface="Arial" pitchFamily="34" charset="0"/>
              <a:cs typeface="Arial" pitchFamily="34" charset="0"/>
            </a:rPr>
            <a:t> DE VENTAS Y PREMISAS</a:t>
          </a:r>
          <a:endParaRPr lang="es-CO" sz="1400" b="1">
            <a:latin typeface="Arial" pitchFamily="34" charset="0"/>
            <a:cs typeface="Arial" pitchFamily="34" charset="0"/>
          </a:endParaRPr>
        </a:p>
      </xdr:txBody>
    </xdr:sp>
    <xdr:clientData/>
  </xdr:twoCellAnchor>
  <xdr:twoCellAnchor>
    <xdr:from>
      <xdr:col>5</xdr:col>
      <xdr:colOff>200025</xdr:colOff>
      <xdr:row>5</xdr:row>
      <xdr:rowOff>95250</xdr:rowOff>
    </xdr:from>
    <xdr:to>
      <xdr:col>8</xdr:col>
      <xdr:colOff>476250</xdr:colOff>
      <xdr:row>8</xdr:row>
      <xdr:rowOff>76200</xdr:rowOff>
    </xdr:to>
    <xdr:sp macro="" textlink="">
      <xdr:nvSpPr>
        <xdr:cNvPr id="5" name="4 CuadroTexto">
          <a:hlinkClick xmlns:r="http://schemas.openxmlformats.org/officeDocument/2006/relationships" r:id="rId2"/>
          <a:extLst>
            <a:ext uri="{FF2B5EF4-FFF2-40B4-BE49-F238E27FC236}">
              <a16:creationId xmlns="" xmlns:a16="http://schemas.microsoft.com/office/drawing/2014/main" id="{00000000-0008-0000-0000-000005000000}"/>
            </a:ext>
          </a:extLst>
        </xdr:cNvPr>
        <xdr:cNvSpPr txBox="1"/>
      </xdr:nvSpPr>
      <xdr:spPr>
        <a:xfrm>
          <a:off x="4010025" y="1047750"/>
          <a:ext cx="2562225" cy="5524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INFRAESTRUCTURA</a:t>
          </a:r>
          <a:r>
            <a:rPr lang="es-CO" sz="1400" b="1" baseline="0">
              <a:latin typeface="Arial" pitchFamily="34" charset="0"/>
              <a:cs typeface="Arial" pitchFamily="34" charset="0"/>
            </a:rPr>
            <a:t>  Y GASTOS</a:t>
          </a:r>
          <a:endParaRPr lang="es-CO" sz="1400" b="1">
            <a:latin typeface="Arial" pitchFamily="34" charset="0"/>
            <a:cs typeface="Arial" pitchFamily="34" charset="0"/>
          </a:endParaRPr>
        </a:p>
      </xdr:txBody>
    </xdr:sp>
    <xdr:clientData/>
  </xdr:twoCellAnchor>
  <xdr:twoCellAnchor>
    <xdr:from>
      <xdr:col>5</xdr:col>
      <xdr:colOff>200025</xdr:colOff>
      <xdr:row>8</xdr:row>
      <xdr:rowOff>142875</xdr:rowOff>
    </xdr:from>
    <xdr:to>
      <xdr:col>8</xdr:col>
      <xdr:colOff>476250</xdr:colOff>
      <xdr:row>11</xdr:row>
      <xdr:rowOff>123825</xdr:rowOff>
    </xdr:to>
    <xdr:sp macro="" textlink="">
      <xdr:nvSpPr>
        <xdr:cNvPr id="6" name="5 CuadroTexto">
          <a:hlinkClick xmlns:r="http://schemas.openxmlformats.org/officeDocument/2006/relationships" r:id="rId3"/>
          <a:extLst>
            <a:ext uri="{FF2B5EF4-FFF2-40B4-BE49-F238E27FC236}">
              <a16:creationId xmlns="" xmlns:a16="http://schemas.microsoft.com/office/drawing/2014/main" id="{00000000-0008-0000-0000-000006000000}"/>
            </a:ext>
          </a:extLst>
        </xdr:cNvPr>
        <xdr:cNvSpPr txBox="1"/>
      </xdr:nvSpPr>
      <xdr:spPr>
        <a:xfrm>
          <a:off x="4010025" y="1666875"/>
          <a:ext cx="2562225" cy="5524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INVERSIÓN</a:t>
          </a:r>
          <a:r>
            <a:rPr lang="es-CO" sz="1400" b="1" baseline="0">
              <a:latin typeface="Arial" pitchFamily="34" charset="0"/>
              <a:cs typeface="Arial" pitchFamily="34" charset="0"/>
            </a:rPr>
            <a:t> TOTAL Y FINANCIACIÓN</a:t>
          </a:r>
          <a:endParaRPr lang="es-CO" sz="1400" b="1">
            <a:latin typeface="Arial" pitchFamily="34" charset="0"/>
            <a:cs typeface="Arial" pitchFamily="34" charset="0"/>
          </a:endParaRPr>
        </a:p>
      </xdr:txBody>
    </xdr:sp>
    <xdr:clientData/>
  </xdr:twoCellAnchor>
  <xdr:twoCellAnchor>
    <xdr:from>
      <xdr:col>5</xdr:col>
      <xdr:colOff>200025</xdr:colOff>
      <xdr:row>11</xdr:row>
      <xdr:rowOff>161925</xdr:rowOff>
    </xdr:from>
    <xdr:to>
      <xdr:col>8</xdr:col>
      <xdr:colOff>476250</xdr:colOff>
      <xdr:row>14</xdr:row>
      <xdr:rowOff>142875</xdr:rowOff>
    </xdr:to>
    <xdr:sp macro="" textlink="">
      <xdr:nvSpPr>
        <xdr:cNvPr id="7" name="6 CuadroTexto">
          <a:hlinkClick xmlns:r="http://schemas.openxmlformats.org/officeDocument/2006/relationships" r:id="rId4"/>
          <a:extLst>
            <a:ext uri="{FF2B5EF4-FFF2-40B4-BE49-F238E27FC236}">
              <a16:creationId xmlns="" xmlns:a16="http://schemas.microsoft.com/office/drawing/2014/main" id="{00000000-0008-0000-0000-000007000000}"/>
            </a:ext>
          </a:extLst>
        </xdr:cNvPr>
        <xdr:cNvSpPr txBox="1"/>
      </xdr:nvSpPr>
      <xdr:spPr>
        <a:xfrm>
          <a:off x="4010025" y="2257425"/>
          <a:ext cx="2562225" cy="5524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ESTADOS</a:t>
          </a:r>
          <a:r>
            <a:rPr lang="es-CO" sz="1400" b="1" baseline="0">
              <a:latin typeface="Arial" pitchFamily="34" charset="0"/>
              <a:cs typeface="Arial" pitchFamily="34" charset="0"/>
            </a:rPr>
            <a:t> FINANCIEROS</a:t>
          </a:r>
          <a:endParaRPr lang="es-CO" sz="1400" b="1">
            <a:latin typeface="Arial" pitchFamily="34" charset="0"/>
            <a:cs typeface="Arial" pitchFamily="34" charset="0"/>
          </a:endParaRPr>
        </a:p>
      </xdr:txBody>
    </xdr:sp>
    <xdr:clientData/>
  </xdr:twoCellAnchor>
  <xdr:twoCellAnchor>
    <xdr:from>
      <xdr:col>5</xdr:col>
      <xdr:colOff>190500</xdr:colOff>
      <xdr:row>15</xdr:row>
      <xdr:rowOff>9525</xdr:rowOff>
    </xdr:from>
    <xdr:to>
      <xdr:col>8</xdr:col>
      <xdr:colOff>466725</xdr:colOff>
      <xdr:row>17</xdr:row>
      <xdr:rowOff>180975</xdr:rowOff>
    </xdr:to>
    <xdr:sp macro="" textlink="">
      <xdr:nvSpPr>
        <xdr:cNvPr id="8" name="7 CuadroTexto">
          <a:hlinkClick xmlns:r="http://schemas.openxmlformats.org/officeDocument/2006/relationships" r:id="rId5"/>
          <a:extLst>
            <a:ext uri="{FF2B5EF4-FFF2-40B4-BE49-F238E27FC236}">
              <a16:creationId xmlns="" xmlns:a16="http://schemas.microsoft.com/office/drawing/2014/main" id="{00000000-0008-0000-0000-000008000000}"/>
            </a:ext>
          </a:extLst>
        </xdr:cNvPr>
        <xdr:cNvSpPr txBox="1"/>
      </xdr:nvSpPr>
      <xdr:spPr>
        <a:xfrm>
          <a:off x="4000500" y="2867025"/>
          <a:ext cx="2562225" cy="5524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RESULTADOS DE LA SIMULACIÓN </a:t>
          </a:r>
        </a:p>
      </xdr:txBody>
    </xdr:sp>
    <xdr:clientData/>
  </xdr:twoCellAnchor>
  <xdr:twoCellAnchor editAs="oneCell">
    <xdr:from>
      <xdr:col>8</xdr:col>
      <xdr:colOff>666750</xdr:colOff>
      <xdr:row>1</xdr:row>
      <xdr:rowOff>47625</xdr:rowOff>
    </xdr:from>
    <xdr:to>
      <xdr:col>9</xdr:col>
      <xdr:colOff>742950</xdr:colOff>
      <xdr:row>5</xdr:row>
      <xdr:rowOff>123825</xdr:rowOff>
    </xdr:to>
    <xdr:pic>
      <xdr:nvPicPr>
        <xdr:cNvPr id="10" name="9 Imagen">
          <a:extLst>
            <a:ext uri="{FF2B5EF4-FFF2-40B4-BE49-F238E27FC236}">
              <a16:creationId xmlns="" xmlns:a16="http://schemas.microsoft.com/office/drawing/2014/main" id="{00000000-0008-0000-0000-00000A000000}"/>
            </a:ext>
          </a:extLst>
        </xdr:cNvPr>
        <xdr:cNvPicPr>
          <a:picLocks noChangeAspect="1"/>
        </xdr:cNvPicPr>
      </xdr:nvPicPr>
      <xdr:blipFill>
        <a:blip xmlns:r="http://schemas.openxmlformats.org/officeDocument/2006/relationships" r:embed="rId6" cstate="print">
          <a:extLst>
            <a:ext uri="{28A0092B-C50C-407E-A947-70E740481C1C}">
              <a14:useLocalDpi xmlns="" xmlns:a14="http://schemas.microsoft.com/office/drawing/2010/main" val="0"/>
            </a:ext>
          </a:extLst>
        </a:blip>
        <a:stretch>
          <a:fillRect/>
        </a:stretch>
      </xdr:blipFill>
      <xdr:spPr>
        <a:xfrm>
          <a:off x="6000750" y="47625"/>
          <a:ext cx="838200" cy="838200"/>
        </a:xfrm>
        <a:prstGeom prst="rect">
          <a:avLst/>
        </a:prstGeom>
      </xdr:spPr>
    </xdr:pic>
    <xdr:clientData/>
  </xdr:twoCellAnchor>
  <xdr:twoCellAnchor>
    <xdr:from>
      <xdr:col>1</xdr:col>
      <xdr:colOff>28575</xdr:colOff>
      <xdr:row>21</xdr:row>
      <xdr:rowOff>0</xdr:rowOff>
    </xdr:from>
    <xdr:to>
      <xdr:col>5</xdr:col>
      <xdr:colOff>19050</xdr:colOff>
      <xdr:row>23</xdr:row>
      <xdr:rowOff>174625</xdr:rowOff>
    </xdr:to>
    <xdr:sp macro="" textlink="">
      <xdr:nvSpPr>
        <xdr:cNvPr id="13" name="12 CuadroTexto">
          <a:hlinkClick xmlns:r="http://schemas.openxmlformats.org/officeDocument/2006/relationships" r:id="rId7"/>
          <a:extLst>
            <a:ext uri="{FF2B5EF4-FFF2-40B4-BE49-F238E27FC236}">
              <a16:creationId xmlns="" xmlns:a16="http://schemas.microsoft.com/office/drawing/2014/main" id="{00000000-0008-0000-0000-00000D000000}"/>
            </a:ext>
          </a:extLst>
        </xdr:cNvPr>
        <xdr:cNvSpPr txBox="1"/>
      </xdr:nvSpPr>
      <xdr:spPr>
        <a:xfrm>
          <a:off x="790575" y="4000500"/>
          <a:ext cx="3038475" cy="5556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Magíster Mauricio</a:t>
          </a:r>
          <a:r>
            <a:rPr lang="es-CO" sz="800" b="1" baseline="0"/>
            <a:t> Reyes Giraldo.</a:t>
          </a:r>
        </a:p>
        <a:p>
          <a:pPr>
            <a:lnSpc>
              <a:spcPts val="900"/>
            </a:lnSpc>
          </a:pPr>
          <a:r>
            <a:rPr lang="es-CO" sz="800" b="1" baseline="0"/>
            <a:t>Docente de Tiempo Completo Universidad EAN.</a:t>
          </a:r>
        </a:p>
        <a:p>
          <a:pPr>
            <a:lnSpc>
              <a:spcPts val="900"/>
            </a:lnSpc>
          </a:pPr>
          <a:r>
            <a:rPr lang="es-CO" sz="800" b="1" baseline="0"/>
            <a:t>Coordinador Núcleo de Emprendimiento FEAV</a:t>
          </a:r>
        </a:p>
        <a:p>
          <a:pPr>
            <a:lnSpc>
              <a:spcPts val="900"/>
            </a:lnSpc>
          </a:pPr>
          <a:r>
            <a:rPr lang="es-CO" sz="800" b="1" baseline="0"/>
            <a:t>contacto: dmreyes@ean.edu.co</a:t>
          </a:r>
        </a:p>
        <a:p>
          <a:pPr>
            <a:lnSpc>
              <a:spcPts val="900"/>
            </a:lnSpc>
          </a:pPr>
          <a:r>
            <a:rPr lang="es-CO" sz="800" b="1" baseline="0"/>
            <a:t> </a:t>
          </a:r>
        </a:p>
        <a:p>
          <a:pPr>
            <a:lnSpc>
              <a:spcPts val="500"/>
            </a:lnSpc>
          </a:pPr>
          <a:endParaRPr lang="es-CO" sz="500"/>
        </a:p>
      </xdr:txBody>
    </xdr:sp>
    <xdr:clientData/>
  </xdr:twoCellAnchor>
  <xdr:twoCellAnchor>
    <xdr:from>
      <xdr:col>8</xdr:col>
      <xdr:colOff>361949</xdr:colOff>
      <xdr:row>21</xdr:row>
      <xdr:rowOff>57150</xdr:rowOff>
    </xdr:from>
    <xdr:to>
      <xdr:col>9</xdr:col>
      <xdr:colOff>733425</xdr:colOff>
      <xdr:row>23</xdr:row>
      <xdr:rowOff>152210</xdr:rowOff>
    </xdr:to>
    <xdr:pic>
      <xdr:nvPicPr>
        <xdr:cNvPr id="12" name="Imagen 11">
          <a:extLst>
            <a:ext uri="{FF2B5EF4-FFF2-40B4-BE49-F238E27FC236}">
              <a16:creationId xmlns=""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8">
          <a:extLst>
            <a:ext uri="{28A0092B-C50C-407E-A947-70E740481C1C}">
              <a14:useLocalDpi xmlns="" xmlns:a14="http://schemas.microsoft.com/office/drawing/2010/main" val="0"/>
            </a:ext>
          </a:extLst>
        </a:blip>
        <a:srcRect/>
        <a:stretch>
          <a:fillRect/>
        </a:stretch>
      </xdr:blipFill>
      <xdr:spPr bwMode="auto">
        <a:xfrm>
          <a:off x="6457949" y="4057650"/>
          <a:ext cx="1133476" cy="47606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85726</xdr:colOff>
      <xdr:row>21</xdr:row>
      <xdr:rowOff>22709</xdr:rowOff>
    </xdr:from>
    <xdr:to>
      <xdr:col>8</xdr:col>
      <xdr:colOff>314326</xdr:colOff>
      <xdr:row>23</xdr:row>
      <xdr:rowOff>123825</xdr:rowOff>
    </xdr:to>
    <xdr:pic>
      <xdr:nvPicPr>
        <xdr:cNvPr id="17" name="Picture 2">
          <a:extLst>
            <a:ext uri="{FF2B5EF4-FFF2-40B4-BE49-F238E27FC236}">
              <a16:creationId xmlns=""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9">
          <a:extLst>
            <a:ext uri="{28A0092B-C50C-407E-A947-70E740481C1C}">
              <a14:useLocalDpi xmlns="" xmlns:a14="http://schemas.microsoft.com/office/drawing/2010/main" val="0"/>
            </a:ext>
          </a:extLst>
        </a:blip>
        <a:srcRect l="17036" t="12302" r="44225" b="77579"/>
        <a:stretch>
          <a:fillRect/>
        </a:stretch>
      </xdr:blipFill>
      <xdr:spPr bwMode="auto">
        <a:xfrm>
          <a:off x="3133726" y="4023209"/>
          <a:ext cx="3276600" cy="482116"/>
        </a:xfrm>
        <a:prstGeom prst="rect">
          <a:avLst/>
        </a:prstGeom>
        <a:noFill/>
        <a:ln>
          <a:noFill/>
        </a:ln>
        <a:extLst>
          <a:ext uri="{909E8E84-426E-40DD-AFC4-6F175D3DCCD1}">
            <a14:hiddenFill xmlns="" xmlns:a14="http://schemas.microsoft.com/office/drawing/2010/main">
              <a:solidFill>
                <a:srgbClr val="4F81BD"/>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5</xdr:col>
      <xdr:colOff>190501</xdr:colOff>
      <xdr:row>18</xdr:row>
      <xdr:rowOff>66675</xdr:rowOff>
    </xdr:from>
    <xdr:to>
      <xdr:col>8</xdr:col>
      <xdr:colOff>447675</xdr:colOff>
      <xdr:row>20</xdr:row>
      <xdr:rowOff>0</xdr:rowOff>
    </xdr:to>
    <xdr:sp macro="" textlink="">
      <xdr:nvSpPr>
        <xdr:cNvPr id="9" name="CuadroTexto 8">
          <a:hlinkClick xmlns:r="http://schemas.openxmlformats.org/officeDocument/2006/relationships" r:id="rId10"/>
          <a:extLst>
            <a:ext uri="{FF2B5EF4-FFF2-40B4-BE49-F238E27FC236}">
              <a16:creationId xmlns="" xmlns:a16="http://schemas.microsoft.com/office/drawing/2014/main" id="{00000000-0008-0000-0000-000009000000}"/>
            </a:ext>
          </a:extLst>
        </xdr:cNvPr>
        <xdr:cNvSpPr txBox="1"/>
      </xdr:nvSpPr>
      <xdr:spPr>
        <a:xfrm>
          <a:off x="4000501" y="3495675"/>
          <a:ext cx="2543174" cy="31432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t"/>
        <a:lstStyle/>
        <a:p>
          <a:pPr algn="ctr"/>
          <a:r>
            <a:rPr lang="es-CO" sz="1200" b="1">
              <a:solidFill>
                <a:schemeClr val="lt1"/>
              </a:solidFill>
              <a:latin typeface="Arial" pitchFamily="34" charset="0"/>
              <a:ea typeface="+mn-ea"/>
              <a:cs typeface="Arial" pitchFamily="34" charset="0"/>
            </a:rPr>
            <a:t>INFORMES PARA IMPRESIÓN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47625</xdr:colOff>
      <xdr:row>13</xdr:row>
      <xdr:rowOff>142867</xdr:rowOff>
    </xdr:from>
    <xdr:to>
      <xdr:col>9</xdr:col>
      <xdr:colOff>180975</xdr:colOff>
      <xdr:row>34</xdr:row>
      <xdr:rowOff>76200</xdr:rowOff>
    </xdr:to>
    <xdr:sp macro="" textlink="">
      <xdr:nvSpPr>
        <xdr:cNvPr id="6" name="5 Flecha doblada">
          <a:extLst>
            <a:ext uri="{FF2B5EF4-FFF2-40B4-BE49-F238E27FC236}">
              <a16:creationId xmlns="" xmlns:a16="http://schemas.microsoft.com/office/drawing/2014/main" id="{00000000-0008-0000-0100-000006000000}"/>
            </a:ext>
          </a:extLst>
        </xdr:cNvPr>
        <xdr:cNvSpPr/>
      </xdr:nvSpPr>
      <xdr:spPr>
        <a:xfrm rot="10800000">
          <a:off x="7896225" y="3495667"/>
          <a:ext cx="1066800" cy="4438658"/>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400050</xdr:colOff>
      <xdr:row>13</xdr:row>
      <xdr:rowOff>152400</xdr:rowOff>
    </xdr:from>
    <xdr:to>
      <xdr:col>9</xdr:col>
      <xdr:colOff>171450</xdr:colOff>
      <xdr:row>31</xdr:row>
      <xdr:rowOff>104775</xdr:rowOff>
    </xdr:to>
    <xdr:sp macro="" textlink="">
      <xdr:nvSpPr>
        <xdr:cNvPr id="7" name="6 CuadroTexto">
          <a:extLst>
            <a:ext uri="{FF2B5EF4-FFF2-40B4-BE49-F238E27FC236}">
              <a16:creationId xmlns="" xmlns:a16="http://schemas.microsoft.com/office/drawing/2014/main" id="{00000000-0008-0000-0100-000007000000}"/>
            </a:ext>
          </a:extLst>
        </xdr:cNvPr>
        <xdr:cNvSpPr txBox="1"/>
      </xdr:nvSpPr>
      <xdr:spPr>
        <a:xfrm>
          <a:off x="8715375" y="3505200"/>
          <a:ext cx="238125" cy="3876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latin typeface="Arial Black" pitchFamily="34" charset="0"/>
              <a:cs typeface="Aharoni" pitchFamily="2" charset="-79"/>
            </a:rPr>
            <a:t>REVISA</a:t>
          </a:r>
          <a:r>
            <a:rPr lang="es-CO" sz="900" baseline="0">
              <a:latin typeface="Arial Black" pitchFamily="34" charset="0"/>
              <a:cs typeface="Aharoni" pitchFamily="2" charset="-79"/>
            </a:rPr>
            <a:t> LAS PROYECCIONES</a:t>
          </a:r>
          <a:endParaRPr lang="es-CO" sz="900">
            <a:latin typeface="Arial Black" pitchFamily="34" charset="0"/>
            <a:cs typeface="Aharoni" pitchFamily="2" charset="-79"/>
          </a:endParaRPr>
        </a:p>
      </xdr:txBody>
    </xdr:sp>
    <xdr:clientData/>
  </xdr:twoCellAnchor>
  <xdr:twoCellAnchor>
    <xdr:from>
      <xdr:col>10</xdr:col>
      <xdr:colOff>257175</xdr:colOff>
      <xdr:row>9</xdr:row>
      <xdr:rowOff>76200</xdr:rowOff>
    </xdr:from>
    <xdr:to>
      <xdr:col>27</xdr:col>
      <xdr:colOff>447675</xdr:colOff>
      <xdr:row>11</xdr:row>
      <xdr:rowOff>104775</xdr:rowOff>
    </xdr:to>
    <xdr:sp macro="" textlink="">
      <xdr:nvSpPr>
        <xdr:cNvPr id="5" name="4 CuadroTexto">
          <a:hlinkClick xmlns:r="http://schemas.openxmlformats.org/officeDocument/2006/relationships" r:id="rId1"/>
          <a:extLst>
            <a:ext uri="{FF2B5EF4-FFF2-40B4-BE49-F238E27FC236}">
              <a16:creationId xmlns="" xmlns:a16="http://schemas.microsoft.com/office/drawing/2014/main" id="{00000000-0008-0000-0100-000005000000}"/>
            </a:ext>
          </a:extLst>
        </xdr:cNvPr>
        <xdr:cNvSpPr txBox="1"/>
      </xdr:nvSpPr>
      <xdr:spPr>
        <a:xfrm>
          <a:off x="9505950" y="2667000"/>
          <a:ext cx="2238375" cy="40957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 AL MENÚ</a:t>
          </a:r>
        </a:p>
      </xdr:txBody>
    </xdr:sp>
    <xdr:clientData/>
  </xdr:twoCellAnchor>
  <xdr:twoCellAnchor>
    <xdr:from>
      <xdr:col>6</xdr:col>
      <xdr:colOff>304800</xdr:colOff>
      <xdr:row>12</xdr:row>
      <xdr:rowOff>142875</xdr:rowOff>
    </xdr:from>
    <xdr:to>
      <xdr:col>7</xdr:col>
      <xdr:colOff>295275</xdr:colOff>
      <xdr:row>18</xdr:row>
      <xdr:rowOff>152400</xdr:rowOff>
    </xdr:to>
    <xdr:sp macro="" textlink="">
      <xdr:nvSpPr>
        <xdr:cNvPr id="2" name="1 Flecha abajo">
          <a:extLst>
            <a:ext uri="{FF2B5EF4-FFF2-40B4-BE49-F238E27FC236}">
              <a16:creationId xmlns="" xmlns:a16="http://schemas.microsoft.com/office/drawing/2014/main" id="{00000000-0008-0000-0100-000002000000}"/>
            </a:ext>
          </a:extLst>
        </xdr:cNvPr>
        <xdr:cNvSpPr/>
      </xdr:nvSpPr>
      <xdr:spPr>
        <a:xfrm>
          <a:off x="7686675" y="3305175"/>
          <a:ext cx="457200" cy="1362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25</xdr:col>
      <xdr:colOff>169333</xdr:colOff>
      <xdr:row>30</xdr:row>
      <xdr:rowOff>169334</xdr:rowOff>
    </xdr:from>
    <xdr:to>
      <xdr:col>30</xdr:col>
      <xdr:colOff>280457</xdr:colOff>
      <xdr:row>34</xdr:row>
      <xdr:rowOff>74083</xdr:rowOff>
    </xdr:to>
    <xdr:sp macro="" textlink="">
      <xdr:nvSpPr>
        <xdr:cNvPr id="8" name="7 CuadroTexto">
          <a:hlinkClick xmlns:r="http://schemas.openxmlformats.org/officeDocument/2006/relationships" r:id="rId2"/>
          <a:extLst>
            <a:ext uri="{FF2B5EF4-FFF2-40B4-BE49-F238E27FC236}">
              <a16:creationId xmlns="" xmlns:a16="http://schemas.microsoft.com/office/drawing/2014/main" id="{00000000-0008-0000-0100-000008000000}"/>
            </a:ext>
          </a:extLst>
        </xdr:cNvPr>
        <xdr:cNvSpPr txBox="1"/>
      </xdr:nvSpPr>
      <xdr:spPr>
        <a:xfrm>
          <a:off x="10922000" y="6985001"/>
          <a:ext cx="3339040" cy="825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Magister En Administarción</a:t>
          </a:r>
          <a:r>
            <a:rPr lang="es-CO" sz="800" b="1" baseline="0"/>
            <a:t> Finaciera.</a:t>
          </a:r>
          <a:r>
            <a:rPr lang="es-CO" sz="800" b="1"/>
            <a:t> Mauricio</a:t>
          </a:r>
          <a:r>
            <a:rPr lang="es-CO" sz="800" b="1" baseline="0"/>
            <a:t> Reyes Giraldo.</a:t>
          </a:r>
        </a:p>
        <a:p>
          <a:pPr>
            <a:lnSpc>
              <a:spcPts val="900"/>
            </a:lnSpc>
          </a:pPr>
          <a:r>
            <a:rPr lang="es-CO" sz="800" b="1" baseline="0"/>
            <a:t>Docente de Tiempo Completo Universidad EAN.</a:t>
          </a:r>
        </a:p>
        <a:p>
          <a:pPr>
            <a:lnSpc>
              <a:spcPts val="900"/>
            </a:lnSpc>
          </a:pPr>
          <a:r>
            <a:rPr lang="es-CO" sz="800" b="1" baseline="0"/>
            <a:t>Coordinador Núcleo de Emprendimiento Universidad  FED Univeridad  -EAN.</a:t>
          </a:r>
        </a:p>
        <a:p>
          <a:pPr>
            <a:lnSpc>
              <a:spcPts val="900"/>
            </a:lnSpc>
          </a:pPr>
          <a:r>
            <a:rPr lang="es-CO" sz="800" b="1" baseline="0"/>
            <a:t>contacto: dmreyes@ean.edu.co</a:t>
          </a:r>
        </a:p>
        <a:p>
          <a:pPr>
            <a:lnSpc>
              <a:spcPts val="900"/>
            </a:lnSpc>
          </a:pPr>
          <a:r>
            <a:rPr lang="es-CO" sz="800" b="1" baseline="0"/>
            <a:t> </a:t>
          </a:r>
        </a:p>
        <a:p>
          <a:pPr>
            <a:lnSpc>
              <a:spcPts val="500"/>
            </a:lnSpc>
          </a:pPr>
          <a:endParaRPr lang="es-CO" sz="500"/>
        </a:p>
      </xdr:txBody>
    </xdr:sp>
    <xdr:clientData/>
  </xdr:twoCellAnchor>
  <xdr:twoCellAnchor>
    <xdr:from>
      <xdr:col>0</xdr:col>
      <xdr:colOff>10585</xdr:colOff>
      <xdr:row>0</xdr:row>
      <xdr:rowOff>95249</xdr:rowOff>
    </xdr:from>
    <xdr:to>
      <xdr:col>0</xdr:col>
      <xdr:colOff>1489466</xdr:colOff>
      <xdr:row>1</xdr:row>
      <xdr:rowOff>328083</xdr:rowOff>
    </xdr:to>
    <xdr:pic>
      <xdr:nvPicPr>
        <xdr:cNvPr id="9" name="Imagen 8">
          <a:extLst>
            <a:ext uri="{FF2B5EF4-FFF2-40B4-BE49-F238E27FC236}">
              <a16:creationId xmlns=""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 xmlns:a14="http://schemas.microsoft.com/office/drawing/2010/main" val="0"/>
            </a:ext>
          </a:extLst>
        </a:blip>
        <a:srcRect/>
        <a:stretch>
          <a:fillRect/>
        </a:stretch>
      </xdr:blipFill>
      <xdr:spPr bwMode="auto">
        <a:xfrm>
          <a:off x="10585" y="95249"/>
          <a:ext cx="1478881" cy="62441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24</xdr:col>
      <xdr:colOff>228599</xdr:colOff>
      <xdr:row>14</xdr:row>
      <xdr:rowOff>279400</xdr:rowOff>
    </xdr:from>
    <xdr:to>
      <xdr:col>29</xdr:col>
      <xdr:colOff>376766</xdr:colOff>
      <xdr:row>17</xdr:row>
      <xdr:rowOff>11642</xdr:rowOff>
    </xdr:to>
    <xdr:pic>
      <xdr:nvPicPr>
        <xdr:cNvPr id="10" name="Picture 2">
          <a:extLst>
            <a:ext uri="{FF2B5EF4-FFF2-40B4-BE49-F238E27FC236}">
              <a16:creationId xmlns=""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 xmlns:a14="http://schemas.microsoft.com/office/drawing/2010/main" val="0"/>
            </a:ext>
          </a:extLst>
        </a:blip>
        <a:srcRect l="17036" t="12302" r="44225" b="77579"/>
        <a:stretch>
          <a:fillRect/>
        </a:stretch>
      </xdr:blipFill>
      <xdr:spPr bwMode="auto">
        <a:xfrm>
          <a:off x="10155766" y="3835400"/>
          <a:ext cx="3481917" cy="515409"/>
        </a:xfrm>
        <a:prstGeom prst="rect">
          <a:avLst/>
        </a:prstGeom>
        <a:noFill/>
        <a:ln>
          <a:noFill/>
        </a:ln>
        <a:extLst>
          <a:ext uri="{909E8E84-426E-40DD-AFC4-6F175D3DCCD1}">
            <a14:hiddenFill xmlns="" xmlns:a14="http://schemas.microsoft.com/office/drawing/2010/main">
              <a:solidFill>
                <a:srgbClr val="4F81BD"/>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400050</xdr:colOff>
      <xdr:row>9</xdr:row>
      <xdr:rowOff>171450</xdr:rowOff>
    </xdr:from>
    <xdr:to>
      <xdr:col>8</xdr:col>
      <xdr:colOff>28575</xdr:colOff>
      <xdr:row>12</xdr:row>
      <xdr:rowOff>9525</xdr:rowOff>
    </xdr:to>
    <xdr:sp macro="" textlink="">
      <xdr:nvSpPr>
        <xdr:cNvPr id="2" name="1 CuadroTexto">
          <a:hlinkClick xmlns:r="http://schemas.openxmlformats.org/officeDocument/2006/relationships" r:id="rId1"/>
          <a:extLst>
            <a:ext uri="{FF2B5EF4-FFF2-40B4-BE49-F238E27FC236}">
              <a16:creationId xmlns="" xmlns:a16="http://schemas.microsoft.com/office/drawing/2014/main" id="{00000000-0008-0000-0200-000002000000}"/>
            </a:ext>
          </a:extLst>
        </xdr:cNvPr>
        <xdr:cNvSpPr txBox="1"/>
      </xdr:nvSpPr>
      <xdr:spPr>
        <a:xfrm>
          <a:off x="6353175" y="1552575"/>
          <a:ext cx="2562225" cy="40957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a:t>
          </a:r>
          <a:r>
            <a:rPr lang="es-CO" sz="1400" b="1" baseline="0">
              <a:latin typeface="Arial" pitchFamily="34" charset="0"/>
              <a:cs typeface="Arial" pitchFamily="34" charset="0"/>
            </a:rPr>
            <a:t> AL MENÚ</a:t>
          </a:r>
          <a:endParaRPr lang="es-CO" sz="1400" b="1">
            <a:latin typeface="Arial" pitchFamily="34" charset="0"/>
            <a:cs typeface="Arial" pitchFamily="34" charset="0"/>
          </a:endParaRPr>
        </a:p>
      </xdr:txBody>
    </xdr:sp>
    <xdr:clientData/>
  </xdr:twoCellAnchor>
  <xdr:twoCellAnchor>
    <xdr:from>
      <xdr:col>8</xdr:col>
      <xdr:colOff>561974</xdr:colOff>
      <xdr:row>24</xdr:row>
      <xdr:rowOff>152401</xdr:rowOff>
    </xdr:from>
    <xdr:to>
      <xdr:col>13</xdr:col>
      <xdr:colOff>687916</xdr:colOff>
      <xdr:row>27</xdr:row>
      <xdr:rowOff>21167</xdr:rowOff>
    </xdr:to>
    <xdr:sp macro="" textlink="">
      <xdr:nvSpPr>
        <xdr:cNvPr id="3" name="2 CuadroTexto">
          <a:hlinkClick xmlns:r="http://schemas.openxmlformats.org/officeDocument/2006/relationships" r:id="rId2"/>
          <a:extLst>
            <a:ext uri="{FF2B5EF4-FFF2-40B4-BE49-F238E27FC236}">
              <a16:creationId xmlns="" xmlns:a16="http://schemas.microsoft.com/office/drawing/2014/main" id="{00000000-0008-0000-0200-000003000000}"/>
            </a:ext>
          </a:extLst>
        </xdr:cNvPr>
        <xdr:cNvSpPr txBox="1"/>
      </xdr:nvSpPr>
      <xdr:spPr>
        <a:xfrm>
          <a:off x="9441391" y="4491568"/>
          <a:ext cx="3724275" cy="5672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Magister en Administración</a:t>
          </a:r>
          <a:r>
            <a:rPr lang="es-CO" sz="800" b="1" baseline="0"/>
            <a:t> Financiera </a:t>
          </a:r>
          <a:r>
            <a:rPr lang="es-CO" sz="800" b="1"/>
            <a:t>Mauricio</a:t>
          </a:r>
          <a:r>
            <a:rPr lang="es-CO" sz="800" b="1" baseline="0"/>
            <a:t> Reyes Giraldo.</a:t>
          </a:r>
        </a:p>
        <a:p>
          <a:pPr>
            <a:lnSpc>
              <a:spcPts val="900"/>
            </a:lnSpc>
          </a:pPr>
          <a:r>
            <a:rPr lang="es-CO" sz="800" b="1" baseline="0"/>
            <a:t>Docente de Tiempo Completo Universidad EAN.</a:t>
          </a:r>
        </a:p>
        <a:p>
          <a:pPr>
            <a:lnSpc>
              <a:spcPts val="900"/>
            </a:lnSpc>
          </a:pPr>
          <a:r>
            <a:rPr lang="es-CO" sz="800" b="1" baseline="0"/>
            <a:t>Coordinador Núcleo de Emprendimiento Universidad  FED Univeridad  -EAN.</a:t>
          </a:r>
        </a:p>
        <a:p>
          <a:pPr>
            <a:lnSpc>
              <a:spcPts val="900"/>
            </a:lnSpc>
          </a:pPr>
          <a:r>
            <a:rPr lang="es-CO" sz="800" b="1" baseline="0"/>
            <a:t>contacto: dmreyes@ean.edu.co</a:t>
          </a:r>
        </a:p>
        <a:p>
          <a:pPr>
            <a:lnSpc>
              <a:spcPts val="900"/>
            </a:lnSpc>
          </a:pPr>
          <a:r>
            <a:rPr lang="es-CO" sz="800" b="1" baseline="0"/>
            <a:t> </a:t>
          </a:r>
        </a:p>
        <a:p>
          <a:pPr>
            <a:lnSpc>
              <a:spcPts val="500"/>
            </a:lnSpc>
          </a:pPr>
          <a:endParaRPr lang="es-CO" sz="500"/>
        </a:p>
      </xdr:txBody>
    </xdr:sp>
    <xdr:clientData/>
  </xdr:twoCellAnchor>
  <xdr:twoCellAnchor>
    <xdr:from>
      <xdr:col>8</xdr:col>
      <xdr:colOff>205316</xdr:colOff>
      <xdr:row>8</xdr:row>
      <xdr:rowOff>172508</xdr:rowOff>
    </xdr:from>
    <xdr:to>
      <xdr:col>13</xdr:col>
      <xdr:colOff>85725</xdr:colOff>
      <xdr:row>11</xdr:row>
      <xdr:rowOff>116417</xdr:rowOff>
    </xdr:to>
    <xdr:pic>
      <xdr:nvPicPr>
        <xdr:cNvPr id="4" name="Picture 2">
          <a:extLst>
            <a:ext uri="{FF2B5EF4-FFF2-40B4-BE49-F238E27FC236}">
              <a16:creationId xmlns=""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 xmlns:a14="http://schemas.microsoft.com/office/drawing/2010/main" val="0"/>
            </a:ext>
          </a:extLst>
        </a:blip>
        <a:srcRect l="17036" t="12302" r="44225" b="77579"/>
        <a:stretch>
          <a:fillRect/>
        </a:stretch>
      </xdr:blipFill>
      <xdr:spPr bwMode="auto">
        <a:xfrm>
          <a:off x="9084733" y="1431925"/>
          <a:ext cx="3478742" cy="515409"/>
        </a:xfrm>
        <a:prstGeom prst="rect">
          <a:avLst/>
        </a:prstGeom>
        <a:noFill/>
        <a:ln>
          <a:noFill/>
        </a:ln>
        <a:extLst>
          <a:ext uri="{909E8E84-426E-40DD-AFC4-6F175D3DCCD1}">
            <a14:hiddenFill xmlns="" xmlns:a14="http://schemas.microsoft.com/office/drawing/2010/main">
              <a:solidFill>
                <a:srgbClr val="4F81BD"/>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13</xdr:col>
      <xdr:colOff>211666</xdr:colOff>
      <xdr:row>9</xdr:row>
      <xdr:rowOff>52917</xdr:rowOff>
    </xdr:from>
    <xdr:to>
      <xdr:col>14</xdr:col>
      <xdr:colOff>440266</xdr:colOff>
      <xdr:row>11</xdr:row>
      <xdr:rowOff>71967</xdr:rowOff>
    </xdr:to>
    <xdr:pic>
      <xdr:nvPicPr>
        <xdr:cNvPr id="5" name="Imagen 4">
          <a:extLst>
            <a:ext uri="{FF2B5EF4-FFF2-40B4-BE49-F238E27FC236}">
              <a16:creationId xmlns=""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 xmlns:a14="http://schemas.microsoft.com/office/drawing/2010/main" val="0"/>
            </a:ext>
          </a:extLst>
        </a:blip>
        <a:srcRect/>
        <a:stretch>
          <a:fillRect/>
        </a:stretch>
      </xdr:blipFill>
      <xdr:spPr bwMode="auto">
        <a:xfrm>
          <a:off x="12689416" y="1502834"/>
          <a:ext cx="948267" cy="4000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921808</xdr:colOff>
      <xdr:row>0</xdr:row>
      <xdr:rowOff>86782</xdr:rowOff>
    </xdr:from>
    <xdr:to>
      <xdr:col>10</xdr:col>
      <xdr:colOff>336550</xdr:colOff>
      <xdr:row>1</xdr:row>
      <xdr:rowOff>280457</xdr:rowOff>
    </xdr:to>
    <xdr:sp macro="" textlink="">
      <xdr:nvSpPr>
        <xdr:cNvPr id="2" name="1 CuadroTexto">
          <a:hlinkClick xmlns:r="http://schemas.openxmlformats.org/officeDocument/2006/relationships" r:id="rId1"/>
          <a:extLst>
            <a:ext uri="{FF2B5EF4-FFF2-40B4-BE49-F238E27FC236}">
              <a16:creationId xmlns="" xmlns:a16="http://schemas.microsoft.com/office/drawing/2014/main" id="{00000000-0008-0000-0300-000002000000}"/>
            </a:ext>
          </a:extLst>
        </xdr:cNvPr>
        <xdr:cNvSpPr txBox="1"/>
      </xdr:nvSpPr>
      <xdr:spPr>
        <a:xfrm>
          <a:off x="9430808" y="86782"/>
          <a:ext cx="2505075" cy="38417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a:t>
          </a:r>
          <a:r>
            <a:rPr lang="es-CO" sz="1400" b="1" baseline="0">
              <a:latin typeface="Arial" pitchFamily="34" charset="0"/>
              <a:cs typeface="Arial" pitchFamily="34" charset="0"/>
            </a:rPr>
            <a:t> AL MENÚ</a:t>
          </a:r>
          <a:endParaRPr lang="es-CO" sz="1400" b="1">
            <a:latin typeface="Arial" pitchFamily="34" charset="0"/>
            <a:cs typeface="Arial" pitchFamily="34" charset="0"/>
          </a:endParaRPr>
        </a:p>
      </xdr:txBody>
    </xdr:sp>
    <xdr:clientData/>
  </xdr:twoCellAnchor>
  <xdr:twoCellAnchor>
    <xdr:from>
      <xdr:col>5</xdr:col>
      <xdr:colOff>882649</xdr:colOff>
      <xdr:row>21</xdr:row>
      <xdr:rowOff>236007</xdr:rowOff>
    </xdr:from>
    <xdr:to>
      <xdr:col>10</xdr:col>
      <xdr:colOff>0</xdr:colOff>
      <xdr:row>24</xdr:row>
      <xdr:rowOff>84667</xdr:rowOff>
    </xdr:to>
    <xdr:sp macro="" textlink="">
      <xdr:nvSpPr>
        <xdr:cNvPr id="3" name="2 CuadroTexto">
          <a:hlinkClick xmlns:r="http://schemas.openxmlformats.org/officeDocument/2006/relationships" r:id="rId2"/>
          <a:extLst>
            <a:ext uri="{FF2B5EF4-FFF2-40B4-BE49-F238E27FC236}">
              <a16:creationId xmlns="" xmlns:a16="http://schemas.microsoft.com/office/drawing/2014/main" id="{00000000-0008-0000-0300-000003000000}"/>
            </a:ext>
          </a:extLst>
        </xdr:cNvPr>
        <xdr:cNvSpPr txBox="1"/>
      </xdr:nvSpPr>
      <xdr:spPr>
        <a:xfrm>
          <a:off x="7465482" y="5178424"/>
          <a:ext cx="4133851" cy="695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Magister en Administración Financier. Mauricio</a:t>
          </a:r>
          <a:r>
            <a:rPr lang="es-CO" sz="800" b="1" baseline="0"/>
            <a:t> Reyes Giraldo.</a:t>
          </a:r>
        </a:p>
        <a:p>
          <a:pPr>
            <a:lnSpc>
              <a:spcPts val="900"/>
            </a:lnSpc>
          </a:pPr>
          <a:r>
            <a:rPr lang="es-CO" sz="800" b="1" baseline="0"/>
            <a:t>Docente de Tiempo Completo Universidad EAN.</a:t>
          </a:r>
        </a:p>
        <a:p>
          <a:pPr>
            <a:lnSpc>
              <a:spcPts val="900"/>
            </a:lnSpc>
          </a:pPr>
          <a:r>
            <a:rPr lang="es-CO" sz="800" b="1" baseline="0"/>
            <a:t>Coordinador Núcleo de Emprendimiento Universidad  FED Univeridad  -EAN.</a:t>
          </a:r>
        </a:p>
        <a:p>
          <a:pPr>
            <a:lnSpc>
              <a:spcPts val="900"/>
            </a:lnSpc>
          </a:pPr>
          <a:r>
            <a:rPr lang="es-CO" sz="800" b="1" baseline="0"/>
            <a:t>contacto: dmreyes@ean.edu.co</a:t>
          </a:r>
        </a:p>
        <a:p>
          <a:pPr>
            <a:lnSpc>
              <a:spcPts val="900"/>
            </a:lnSpc>
          </a:pPr>
          <a:r>
            <a:rPr lang="es-CO" sz="800" b="1" baseline="0"/>
            <a:t> </a:t>
          </a:r>
        </a:p>
        <a:p>
          <a:pPr>
            <a:lnSpc>
              <a:spcPts val="500"/>
            </a:lnSpc>
          </a:pPr>
          <a:endParaRPr lang="es-CO" sz="500"/>
        </a:p>
      </xdr:txBody>
    </xdr:sp>
    <xdr:clientData/>
  </xdr:twoCellAnchor>
  <xdr:twoCellAnchor>
    <xdr:from>
      <xdr:col>2</xdr:col>
      <xdr:colOff>47625</xdr:colOff>
      <xdr:row>7</xdr:row>
      <xdr:rowOff>57150</xdr:rowOff>
    </xdr:from>
    <xdr:to>
      <xdr:col>2</xdr:col>
      <xdr:colOff>304800</xdr:colOff>
      <xdr:row>7</xdr:row>
      <xdr:rowOff>333375</xdr:rowOff>
    </xdr:to>
    <xdr:sp macro="" textlink="">
      <xdr:nvSpPr>
        <xdr:cNvPr id="5" name="Flecha doblada 4">
          <a:extLst>
            <a:ext uri="{FF2B5EF4-FFF2-40B4-BE49-F238E27FC236}">
              <a16:creationId xmlns="" xmlns:a16="http://schemas.microsoft.com/office/drawing/2014/main" id="{00000000-0008-0000-0300-000005000000}"/>
            </a:ext>
          </a:extLst>
        </xdr:cNvPr>
        <xdr:cNvSpPr/>
      </xdr:nvSpPr>
      <xdr:spPr>
        <a:xfrm rot="5400000">
          <a:off x="3571875" y="1790700"/>
          <a:ext cx="276225" cy="257175"/>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7</xdr:col>
      <xdr:colOff>666750</xdr:colOff>
      <xdr:row>15</xdr:row>
      <xdr:rowOff>19051</xdr:rowOff>
    </xdr:from>
    <xdr:to>
      <xdr:col>7</xdr:col>
      <xdr:colOff>952500</xdr:colOff>
      <xdr:row>15</xdr:row>
      <xdr:rowOff>190501</xdr:rowOff>
    </xdr:to>
    <xdr:sp macro="" textlink="">
      <xdr:nvSpPr>
        <xdr:cNvPr id="6" name="Flecha derecha 5">
          <a:extLst>
            <a:ext uri="{FF2B5EF4-FFF2-40B4-BE49-F238E27FC236}">
              <a16:creationId xmlns="" xmlns:a16="http://schemas.microsoft.com/office/drawing/2014/main" id="{00000000-0008-0000-0300-000006000000}"/>
            </a:ext>
          </a:extLst>
        </xdr:cNvPr>
        <xdr:cNvSpPr/>
      </xdr:nvSpPr>
      <xdr:spPr>
        <a:xfrm>
          <a:off x="9115425" y="3648076"/>
          <a:ext cx="285750" cy="171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162984</xdr:colOff>
      <xdr:row>0</xdr:row>
      <xdr:rowOff>77258</xdr:rowOff>
    </xdr:from>
    <xdr:to>
      <xdr:col>2</xdr:col>
      <xdr:colOff>102659</xdr:colOff>
      <xdr:row>2</xdr:row>
      <xdr:rowOff>30691</xdr:rowOff>
    </xdr:to>
    <xdr:pic>
      <xdr:nvPicPr>
        <xdr:cNvPr id="7" name="Picture 2">
          <a:extLst>
            <a:ext uri="{FF2B5EF4-FFF2-40B4-BE49-F238E27FC236}">
              <a16:creationId xmlns=""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 xmlns:a14="http://schemas.microsoft.com/office/drawing/2010/main" val="0"/>
            </a:ext>
          </a:extLst>
        </a:blip>
        <a:srcRect l="17036" t="12302" r="44225" b="77579"/>
        <a:stretch>
          <a:fillRect/>
        </a:stretch>
      </xdr:blipFill>
      <xdr:spPr bwMode="auto">
        <a:xfrm>
          <a:off x="162984" y="77258"/>
          <a:ext cx="3474508" cy="514350"/>
        </a:xfrm>
        <a:prstGeom prst="rect">
          <a:avLst/>
        </a:prstGeom>
        <a:noFill/>
        <a:ln>
          <a:noFill/>
        </a:ln>
        <a:extLst>
          <a:ext uri="{909E8E84-426E-40DD-AFC4-6F175D3DCCD1}">
            <a14:hiddenFill xmlns="" xmlns:a14="http://schemas.microsoft.com/office/drawing/2010/main">
              <a:solidFill>
                <a:srgbClr val="4F81BD"/>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10</xdr:col>
      <xdr:colOff>518583</xdr:colOff>
      <xdr:row>0</xdr:row>
      <xdr:rowOff>95249</xdr:rowOff>
    </xdr:from>
    <xdr:to>
      <xdr:col>48</xdr:col>
      <xdr:colOff>317057</xdr:colOff>
      <xdr:row>2</xdr:row>
      <xdr:rowOff>52915</xdr:rowOff>
    </xdr:to>
    <xdr:pic>
      <xdr:nvPicPr>
        <xdr:cNvPr id="9" name="Imagen 8">
          <a:extLst>
            <a:ext uri="{FF2B5EF4-FFF2-40B4-BE49-F238E27FC236}">
              <a16:creationId xmlns=""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 xmlns:a14="http://schemas.microsoft.com/office/drawing/2010/main" val="0"/>
            </a:ext>
          </a:extLst>
        </a:blip>
        <a:srcRect/>
        <a:stretch>
          <a:fillRect/>
        </a:stretch>
      </xdr:blipFill>
      <xdr:spPr bwMode="auto">
        <a:xfrm>
          <a:off x="12117916" y="95249"/>
          <a:ext cx="1237808" cy="518583"/>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76201</xdr:colOff>
      <xdr:row>0</xdr:row>
      <xdr:rowOff>66675</xdr:rowOff>
    </xdr:from>
    <xdr:to>
      <xdr:col>9</xdr:col>
      <xdr:colOff>666750</xdr:colOff>
      <xdr:row>0</xdr:row>
      <xdr:rowOff>371475</xdr:rowOff>
    </xdr:to>
    <xdr:sp macro="" textlink="">
      <xdr:nvSpPr>
        <xdr:cNvPr id="2" name="1 CuadroTexto">
          <a:hlinkClick xmlns:r="http://schemas.openxmlformats.org/officeDocument/2006/relationships" r:id="rId1"/>
          <a:extLst>
            <a:ext uri="{FF2B5EF4-FFF2-40B4-BE49-F238E27FC236}">
              <a16:creationId xmlns="" xmlns:a16="http://schemas.microsoft.com/office/drawing/2014/main" id="{00000000-0008-0000-0400-000002000000}"/>
            </a:ext>
          </a:extLst>
        </xdr:cNvPr>
        <xdr:cNvSpPr txBox="1"/>
      </xdr:nvSpPr>
      <xdr:spPr>
        <a:xfrm>
          <a:off x="9486901" y="66675"/>
          <a:ext cx="2114549" cy="30480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a:t>
          </a:r>
          <a:r>
            <a:rPr lang="es-CO" sz="1400" b="1" baseline="0">
              <a:latin typeface="Arial" pitchFamily="34" charset="0"/>
              <a:cs typeface="Arial" pitchFamily="34" charset="0"/>
            </a:rPr>
            <a:t> AL MENÚ</a:t>
          </a:r>
          <a:endParaRPr lang="es-CO" sz="1400" b="1">
            <a:latin typeface="Arial" pitchFamily="34" charset="0"/>
            <a:cs typeface="Arial" pitchFamily="34" charset="0"/>
          </a:endParaRPr>
        </a:p>
      </xdr:txBody>
    </xdr:sp>
    <xdr:clientData/>
  </xdr:twoCellAnchor>
  <xdr:twoCellAnchor>
    <xdr:from>
      <xdr:col>7</xdr:col>
      <xdr:colOff>232832</xdr:colOff>
      <xdr:row>55</xdr:row>
      <xdr:rowOff>105833</xdr:rowOff>
    </xdr:from>
    <xdr:to>
      <xdr:col>12</xdr:col>
      <xdr:colOff>465666</xdr:colOff>
      <xdr:row>58</xdr:row>
      <xdr:rowOff>210608</xdr:rowOff>
    </xdr:to>
    <xdr:sp macro="" textlink="">
      <xdr:nvSpPr>
        <xdr:cNvPr id="3" name="2 CuadroTexto">
          <a:hlinkClick xmlns:r="http://schemas.openxmlformats.org/officeDocument/2006/relationships" r:id="rId2"/>
          <a:extLst>
            <a:ext uri="{FF2B5EF4-FFF2-40B4-BE49-F238E27FC236}">
              <a16:creationId xmlns="" xmlns:a16="http://schemas.microsoft.com/office/drawing/2014/main" id="{00000000-0008-0000-0400-000003000000}"/>
            </a:ext>
          </a:extLst>
        </xdr:cNvPr>
        <xdr:cNvSpPr txBox="1"/>
      </xdr:nvSpPr>
      <xdr:spPr>
        <a:xfrm>
          <a:off x="9884832" y="11419416"/>
          <a:ext cx="3831167" cy="708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Magister en Administración</a:t>
          </a:r>
          <a:r>
            <a:rPr lang="es-CO" sz="800" b="1" baseline="0"/>
            <a:t> Financiera. </a:t>
          </a:r>
          <a:r>
            <a:rPr lang="es-CO" sz="800" b="1"/>
            <a:t> Mauricio</a:t>
          </a:r>
          <a:r>
            <a:rPr lang="es-CO" sz="800" b="1" baseline="0"/>
            <a:t> Reyes Giraldo.</a:t>
          </a:r>
        </a:p>
        <a:p>
          <a:pPr>
            <a:lnSpc>
              <a:spcPts val="900"/>
            </a:lnSpc>
          </a:pPr>
          <a:r>
            <a:rPr lang="es-CO" sz="800" b="1" baseline="0"/>
            <a:t>Docente de Tiempo Completo Universidad EAN.</a:t>
          </a:r>
        </a:p>
        <a:p>
          <a:pPr>
            <a:lnSpc>
              <a:spcPts val="900"/>
            </a:lnSpc>
          </a:pPr>
          <a:r>
            <a:rPr lang="es-CO" sz="800" b="1" baseline="0"/>
            <a:t>Coordinador Núcleo de Emprendimiento Universidad  FED Univeridad  -EAN.</a:t>
          </a:r>
        </a:p>
        <a:p>
          <a:pPr>
            <a:lnSpc>
              <a:spcPts val="900"/>
            </a:lnSpc>
          </a:pPr>
          <a:r>
            <a:rPr lang="es-CO" sz="800" b="1" baseline="0"/>
            <a:t>contacto: dmreyes@ean.edu.co</a:t>
          </a:r>
        </a:p>
        <a:p>
          <a:pPr>
            <a:lnSpc>
              <a:spcPts val="900"/>
            </a:lnSpc>
          </a:pPr>
          <a:r>
            <a:rPr lang="es-CO" sz="800" b="1" baseline="0"/>
            <a:t> </a:t>
          </a:r>
        </a:p>
        <a:p>
          <a:pPr>
            <a:lnSpc>
              <a:spcPts val="500"/>
            </a:lnSpc>
          </a:pPr>
          <a:endParaRPr lang="es-CO" sz="500"/>
        </a:p>
      </xdr:txBody>
    </xdr:sp>
    <xdr:clientData/>
  </xdr:twoCellAnchor>
  <xdr:twoCellAnchor>
    <xdr:from>
      <xdr:col>7</xdr:col>
      <xdr:colOff>42334</xdr:colOff>
      <xdr:row>1</xdr:row>
      <xdr:rowOff>73025</xdr:rowOff>
    </xdr:from>
    <xdr:to>
      <xdr:col>11</xdr:col>
      <xdr:colOff>657225</xdr:colOff>
      <xdr:row>3</xdr:row>
      <xdr:rowOff>187325</xdr:rowOff>
    </xdr:to>
    <xdr:pic>
      <xdr:nvPicPr>
        <xdr:cNvPr id="4" name="Picture 2">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 xmlns:a14="http://schemas.microsoft.com/office/drawing/2010/main" val="0"/>
            </a:ext>
          </a:extLst>
        </a:blip>
        <a:srcRect l="17036" t="12302" r="44225" b="77579"/>
        <a:stretch>
          <a:fillRect/>
        </a:stretch>
      </xdr:blipFill>
      <xdr:spPr bwMode="auto">
        <a:xfrm>
          <a:off x="9694334" y="506942"/>
          <a:ext cx="3493558" cy="516466"/>
        </a:xfrm>
        <a:prstGeom prst="rect">
          <a:avLst/>
        </a:prstGeom>
        <a:noFill/>
        <a:ln>
          <a:noFill/>
        </a:ln>
        <a:extLst>
          <a:ext uri="{909E8E84-426E-40DD-AFC4-6F175D3DCCD1}">
            <a14:hiddenFill xmlns="" xmlns:a14="http://schemas.microsoft.com/office/drawing/2010/main">
              <a:solidFill>
                <a:srgbClr val="4F81BD"/>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11</xdr:col>
      <xdr:colOff>603250</xdr:colOff>
      <xdr:row>1</xdr:row>
      <xdr:rowOff>127000</xdr:rowOff>
    </xdr:from>
    <xdr:to>
      <xdr:col>13</xdr:col>
      <xdr:colOff>112183</xdr:colOff>
      <xdr:row>3</xdr:row>
      <xdr:rowOff>127000</xdr:rowOff>
    </xdr:to>
    <xdr:pic>
      <xdr:nvPicPr>
        <xdr:cNvPr id="5" name="Imagen 4">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 xmlns:a14="http://schemas.microsoft.com/office/drawing/2010/main" val="0"/>
            </a:ext>
          </a:extLst>
        </a:blip>
        <a:srcRect/>
        <a:stretch>
          <a:fillRect/>
        </a:stretch>
      </xdr:blipFill>
      <xdr:spPr bwMode="auto">
        <a:xfrm>
          <a:off x="13133917" y="560917"/>
          <a:ext cx="948266" cy="40216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7</xdr:col>
      <xdr:colOff>0</xdr:colOff>
      <xdr:row>52</xdr:row>
      <xdr:rowOff>0</xdr:rowOff>
    </xdr:from>
    <xdr:to>
      <xdr:col>11</xdr:col>
      <xdr:colOff>614891</xdr:colOff>
      <xdr:row>54</xdr:row>
      <xdr:rowOff>124883</xdr:rowOff>
    </xdr:to>
    <xdr:pic>
      <xdr:nvPicPr>
        <xdr:cNvPr id="6" name="Picture 2">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 xmlns:a14="http://schemas.microsoft.com/office/drawing/2010/main" val="0"/>
            </a:ext>
          </a:extLst>
        </a:blip>
        <a:srcRect l="17036" t="12302" r="44225" b="77579"/>
        <a:stretch>
          <a:fillRect/>
        </a:stretch>
      </xdr:blipFill>
      <xdr:spPr bwMode="auto">
        <a:xfrm>
          <a:off x="9652000" y="10731500"/>
          <a:ext cx="3493558" cy="516466"/>
        </a:xfrm>
        <a:prstGeom prst="rect">
          <a:avLst/>
        </a:prstGeom>
        <a:noFill/>
        <a:ln>
          <a:noFill/>
        </a:ln>
        <a:extLst>
          <a:ext uri="{909E8E84-426E-40DD-AFC4-6F175D3DCCD1}">
            <a14:hiddenFill xmlns="" xmlns:a14="http://schemas.microsoft.com/office/drawing/2010/main">
              <a:solidFill>
                <a:srgbClr val="4F81BD"/>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11</xdr:col>
      <xdr:colOff>560916</xdr:colOff>
      <xdr:row>52</xdr:row>
      <xdr:rowOff>53975</xdr:rowOff>
    </xdr:from>
    <xdr:to>
      <xdr:col>13</xdr:col>
      <xdr:colOff>69849</xdr:colOff>
      <xdr:row>54</xdr:row>
      <xdr:rowOff>64558</xdr:rowOff>
    </xdr:to>
    <xdr:pic>
      <xdr:nvPicPr>
        <xdr:cNvPr id="7" name="Imagen 6">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 xmlns:a14="http://schemas.microsoft.com/office/drawing/2010/main" val="0"/>
            </a:ext>
          </a:extLst>
        </a:blip>
        <a:srcRect/>
        <a:stretch>
          <a:fillRect/>
        </a:stretch>
      </xdr:blipFill>
      <xdr:spPr bwMode="auto">
        <a:xfrm>
          <a:off x="13091583" y="10785475"/>
          <a:ext cx="948266" cy="40216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7</xdr:col>
      <xdr:colOff>0</xdr:colOff>
      <xdr:row>27</xdr:row>
      <xdr:rowOff>0</xdr:rowOff>
    </xdr:from>
    <xdr:to>
      <xdr:col>11</xdr:col>
      <xdr:colOff>614891</xdr:colOff>
      <xdr:row>29</xdr:row>
      <xdr:rowOff>124882</xdr:rowOff>
    </xdr:to>
    <xdr:pic>
      <xdr:nvPicPr>
        <xdr:cNvPr id="8" name="Picture 2">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 xmlns:a14="http://schemas.microsoft.com/office/drawing/2010/main" val="0"/>
            </a:ext>
          </a:extLst>
        </a:blip>
        <a:srcRect l="17036" t="12302" r="44225" b="77579"/>
        <a:stretch>
          <a:fillRect/>
        </a:stretch>
      </xdr:blipFill>
      <xdr:spPr bwMode="auto">
        <a:xfrm>
          <a:off x="9652000" y="5725583"/>
          <a:ext cx="3493558" cy="516466"/>
        </a:xfrm>
        <a:prstGeom prst="rect">
          <a:avLst/>
        </a:prstGeom>
        <a:noFill/>
        <a:ln>
          <a:noFill/>
        </a:ln>
        <a:extLst>
          <a:ext uri="{909E8E84-426E-40DD-AFC4-6F175D3DCCD1}">
            <a14:hiddenFill xmlns="" xmlns:a14="http://schemas.microsoft.com/office/drawing/2010/main">
              <a:solidFill>
                <a:srgbClr val="4F81BD"/>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11</xdr:col>
      <xdr:colOff>560916</xdr:colOff>
      <xdr:row>27</xdr:row>
      <xdr:rowOff>53975</xdr:rowOff>
    </xdr:from>
    <xdr:to>
      <xdr:col>13</xdr:col>
      <xdr:colOff>69849</xdr:colOff>
      <xdr:row>29</xdr:row>
      <xdr:rowOff>64557</xdr:rowOff>
    </xdr:to>
    <xdr:pic>
      <xdr:nvPicPr>
        <xdr:cNvPr id="9" name="Imagen 8">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 xmlns:a14="http://schemas.microsoft.com/office/drawing/2010/main" val="0"/>
            </a:ext>
          </a:extLst>
        </a:blip>
        <a:srcRect/>
        <a:stretch>
          <a:fillRect/>
        </a:stretch>
      </xdr:blipFill>
      <xdr:spPr bwMode="auto">
        <a:xfrm>
          <a:off x="13091583" y="5779558"/>
          <a:ext cx="948266" cy="40216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95249</xdr:colOff>
      <xdr:row>12</xdr:row>
      <xdr:rowOff>107422</xdr:rowOff>
    </xdr:from>
    <xdr:to>
      <xdr:col>11</xdr:col>
      <xdr:colOff>692150</xdr:colOff>
      <xdr:row>25</xdr:row>
      <xdr:rowOff>7409</xdr:rowOff>
    </xdr:to>
    <xdr:graphicFrame macro="">
      <xdr:nvGraphicFramePr>
        <xdr:cNvPr id="2" name="1 Gráfico">
          <a:extLst>
            <a:ext uri="{FF2B5EF4-FFF2-40B4-BE49-F238E27FC236}">
              <a16:creationId xmlns=""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477309</xdr:colOff>
      <xdr:row>0</xdr:row>
      <xdr:rowOff>94191</xdr:rowOff>
    </xdr:from>
    <xdr:to>
      <xdr:col>8</xdr:col>
      <xdr:colOff>591609</xdr:colOff>
      <xdr:row>1</xdr:row>
      <xdr:rowOff>266699</xdr:rowOff>
    </xdr:to>
    <xdr:sp macro="" textlink="">
      <xdr:nvSpPr>
        <xdr:cNvPr id="3" name="2 CuadroTexto">
          <a:hlinkClick xmlns:r="http://schemas.openxmlformats.org/officeDocument/2006/relationships" r:id="rId2"/>
          <a:extLst>
            <a:ext uri="{FF2B5EF4-FFF2-40B4-BE49-F238E27FC236}">
              <a16:creationId xmlns="" xmlns:a16="http://schemas.microsoft.com/office/drawing/2014/main" id="{00000000-0008-0000-0500-000003000000}"/>
            </a:ext>
          </a:extLst>
        </xdr:cNvPr>
        <xdr:cNvSpPr txBox="1"/>
      </xdr:nvSpPr>
      <xdr:spPr>
        <a:xfrm>
          <a:off x="8954559" y="94191"/>
          <a:ext cx="2146300" cy="363008"/>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 AL MENÚ</a:t>
          </a:r>
        </a:p>
      </xdr:txBody>
    </xdr:sp>
    <xdr:clientData/>
  </xdr:twoCellAnchor>
  <xdr:twoCellAnchor>
    <xdr:from>
      <xdr:col>6</xdr:col>
      <xdr:colOff>866776</xdr:colOff>
      <xdr:row>25</xdr:row>
      <xdr:rowOff>161925</xdr:rowOff>
    </xdr:from>
    <xdr:to>
      <xdr:col>9</xdr:col>
      <xdr:colOff>219076</xdr:colOff>
      <xdr:row>27</xdr:row>
      <xdr:rowOff>9525</xdr:rowOff>
    </xdr:to>
    <xdr:sp macro="" textlink="">
      <xdr:nvSpPr>
        <xdr:cNvPr id="4" name="3 CuadroTexto">
          <a:hlinkClick xmlns:r="http://schemas.openxmlformats.org/officeDocument/2006/relationships" r:id="rId3"/>
          <a:extLst>
            <a:ext uri="{FF2B5EF4-FFF2-40B4-BE49-F238E27FC236}">
              <a16:creationId xmlns="" xmlns:a16="http://schemas.microsoft.com/office/drawing/2014/main" id="{00000000-0008-0000-0500-000004000000}"/>
            </a:ext>
          </a:extLst>
        </xdr:cNvPr>
        <xdr:cNvSpPr txBox="1"/>
      </xdr:nvSpPr>
      <xdr:spPr>
        <a:xfrm>
          <a:off x="8639176" y="5800725"/>
          <a:ext cx="2152650" cy="3619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 AL MENÚ</a:t>
          </a:r>
        </a:p>
      </xdr:txBody>
    </xdr:sp>
    <xdr:clientData/>
  </xdr:twoCellAnchor>
  <xdr:twoCellAnchor>
    <xdr:from>
      <xdr:col>7</xdr:col>
      <xdr:colOff>920750</xdr:colOff>
      <xdr:row>28</xdr:row>
      <xdr:rowOff>31751</xdr:rowOff>
    </xdr:from>
    <xdr:to>
      <xdr:col>12</xdr:col>
      <xdr:colOff>592667</xdr:colOff>
      <xdr:row>31</xdr:row>
      <xdr:rowOff>168276</xdr:rowOff>
    </xdr:to>
    <xdr:sp macro="" textlink="">
      <xdr:nvSpPr>
        <xdr:cNvPr id="5" name="4 CuadroTexto">
          <a:hlinkClick xmlns:r="http://schemas.openxmlformats.org/officeDocument/2006/relationships" r:id="rId4"/>
          <a:extLst>
            <a:ext uri="{FF2B5EF4-FFF2-40B4-BE49-F238E27FC236}">
              <a16:creationId xmlns="" xmlns:a16="http://schemas.microsoft.com/office/drawing/2014/main" id="{00000000-0008-0000-0500-000005000000}"/>
            </a:ext>
          </a:extLst>
        </xdr:cNvPr>
        <xdr:cNvSpPr txBox="1"/>
      </xdr:nvSpPr>
      <xdr:spPr>
        <a:xfrm>
          <a:off x="10414000" y="6741584"/>
          <a:ext cx="3651250" cy="708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Magister en Administración</a:t>
          </a:r>
          <a:r>
            <a:rPr lang="es-CO" sz="800" b="1" baseline="0"/>
            <a:t> Financiera</a:t>
          </a:r>
          <a:r>
            <a:rPr lang="es-CO" sz="800" b="1"/>
            <a:t> Mauricio</a:t>
          </a:r>
          <a:r>
            <a:rPr lang="es-CO" sz="800" b="1" baseline="0"/>
            <a:t> Reyes Giraldo.</a:t>
          </a:r>
        </a:p>
        <a:p>
          <a:pPr>
            <a:lnSpc>
              <a:spcPts val="900"/>
            </a:lnSpc>
          </a:pPr>
          <a:r>
            <a:rPr lang="es-CO" sz="800" b="1" baseline="0"/>
            <a:t>Docente de Tiempo Completo Universidad EAN.</a:t>
          </a:r>
        </a:p>
        <a:p>
          <a:pPr>
            <a:lnSpc>
              <a:spcPts val="900"/>
            </a:lnSpc>
          </a:pPr>
          <a:r>
            <a:rPr lang="es-CO" sz="800" b="1" baseline="0"/>
            <a:t>Coordinador Núcleo de Emprendimiento Universidad  FED Univeridad  -EAN.</a:t>
          </a:r>
        </a:p>
        <a:p>
          <a:pPr>
            <a:lnSpc>
              <a:spcPts val="900"/>
            </a:lnSpc>
          </a:pPr>
          <a:r>
            <a:rPr lang="es-CO" sz="800" b="1" baseline="0"/>
            <a:t>contacto: dmreyes@ean.edu.co</a:t>
          </a:r>
        </a:p>
        <a:p>
          <a:pPr>
            <a:lnSpc>
              <a:spcPts val="900"/>
            </a:lnSpc>
          </a:pPr>
          <a:r>
            <a:rPr lang="es-CO" sz="800" b="1" baseline="0"/>
            <a:t> </a:t>
          </a:r>
        </a:p>
        <a:p>
          <a:pPr>
            <a:lnSpc>
              <a:spcPts val="500"/>
            </a:lnSpc>
          </a:pPr>
          <a:endParaRPr lang="es-CO" sz="500"/>
        </a:p>
      </xdr:txBody>
    </xdr:sp>
    <xdr:clientData/>
  </xdr:twoCellAnchor>
  <xdr:twoCellAnchor>
    <xdr:from>
      <xdr:col>8</xdr:col>
      <xdr:colOff>61913</xdr:colOff>
      <xdr:row>5</xdr:row>
      <xdr:rowOff>0</xdr:rowOff>
    </xdr:from>
    <xdr:to>
      <xdr:col>12</xdr:col>
      <xdr:colOff>592931</xdr:colOff>
      <xdr:row>7</xdr:row>
      <xdr:rowOff>2381</xdr:rowOff>
    </xdr:to>
    <xdr:pic>
      <xdr:nvPicPr>
        <xdr:cNvPr id="6" name="Picture 2">
          <a:extLst>
            <a:ext uri="{FF2B5EF4-FFF2-40B4-BE49-F238E27FC236}">
              <a16:creationId xmlns=""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 xmlns:a14="http://schemas.microsoft.com/office/drawing/2010/main" val="0"/>
            </a:ext>
          </a:extLst>
        </a:blip>
        <a:srcRect l="17036" t="12302" r="44225" b="77579"/>
        <a:stretch>
          <a:fillRect/>
        </a:stretch>
      </xdr:blipFill>
      <xdr:spPr bwMode="auto">
        <a:xfrm>
          <a:off x="10741819" y="1273969"/>
          <a:ext cx="3507581" cy="514350"/>
        </a:xfrm>
        <a:prstGeom prst="rect">
          <a:avLst/>
        </a:prstGeom>
        <a:noFill/>
        <a:ln>
          <a:noFill/>
        </a:ln>
        <a:extLst>
          <a:ext uri="{909E8E84-426E-40DD-AFC4-6F175D3DCCD1}">
            <a14:hiddenFill xmlns="" xmlns:a14="http://schemas.microsoft.com/office/drawing/2010/main">
              <a:solidFill>
                <a:srgbClr val="4F81BD"/>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13</xdr:col>
      <xdr:colOff>47625</xdr:colOff>
      <xdr:row>5</xdr:row>
      <xdr:rowOff>71437</xdr:rowOff>
    </xdr:from>
    <xdr:to>
      <xdr:col>14</xdr:col>
      <xdr:colOff>276225</xdr:colOff>
      <xdr:row>6</xdr:row>
      <xdr:rowOff>173831</xdr:rowOff>
    </xdr:to>
    <xdr:pic>
      <xdr:nvPicPr>
        <xdr:cNvPr id="7" name="Imagen 6">
          <a:extLst>
            <a:ext uri="{FF2B5EF4-FFF2-40B4-BE49-F238E27FC236}">
              <a16:creationId xmlns=""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6">
          <a:extLst>
            <a:ext uri="{28A0092B-C50C-407E-A947-70E740481C1C}">
              <a14:useLocalDpi xmlns="" xmlns:a14="http://schemas.microsoft.com/office/drawing/2010/main" val="0"/>
            </a:ext>
          </a:extLst>
        </a:blip>
        <a:srcRect/>
        <a:stretch>
          <a:fillRect/>
        </a:stretch>
      </xdr:blipFill>
      <xdr:spPr bwMode="auto">
        <a:xfrm>
          <a:off x="14430375" y="1345406"/>
          <a:ext cx="954881" cy="4000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1</xdr:col>
      <xdr:colOff>0</xdr:colOff>
      <xdr:row>29</xdr:row>
      <xdr:rowOff>0</xdr:rowOff>
    </xdr:from>
    <xdr:to>
      <xdr:col>2</xdr:col>
      <xdr:colOff>1340643</xdr:colOff>
      <xdr:row>31</xdr:row>
      <xdr:rowOff>133350</xdr:rowOff>
    </xdr:to>
    <xdr:pic>
      <xdr:nvPicPr>
        <xdr:cNvPr id="8" name="Picture 2">
          <a:extLst>
            <a:ext uri="{FF2B5EF4-FFF2-40B4-BE49-F238E27FC236}">
              <a16:creationId xmlns=""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 xmlns:a14="http://schemas.microsoft.com/office/drawing/2010/main" val="0"/>
            </a:ext>
          </a:extLst>
        </a:blip>
        <a:srcRect l="17036" t="12302" r="44225" b="77579"/>
        <a:stretch>
          <a:fillRect/>
        </a:stretch>
      </xdr:blipFill>
      <xdr:spPr bwMode="auto">
        <a:xfrm>
          <a:off x="726281" y="6893719"/>
          <a:ext cx="3507581" cy="514350"/>
        </a:xfrm>
        <a:prstGeom prst="rect">
          <a:avLst/>
        </a:prstGeom>
        <a:noFill/>
        <a:ln>
          <a:noFill/>
        </a:ln>
        <a:extLst>
          <a:ext uri="{909E8E84-426E-40DD-AFC4-6F175D3DCCD1}">
            <a14:hiddenFill xmlns="" xmlns:a14="http://schemas.microsoft.com/office/drawing/2010/main">
              <a:solidFill>
                <a:srgbClr val="4F81BD"/>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1521618</xdr:colOff>
      <xdr:row>29</xdr:row>
      <xdr:rowOff>71437</xdr:rowOff>
    </xdr:from>
    <xdr:to>
      <xdr:col>3</xdr:col>
      <xdr:colOff>857249</xdr:colOff>
      <xdr:row>31</xdr:row>
      <xdr:rowOff>90487</xdr:rowOff>
    </xdr:to>
    <xdr:pic>
      <xdr:nvPicPr>
        <xdr:cNvPr id="9" name="Imagen 8">
          <a:extLst>
            <a:ext uri="{FF2B5EF4-FFF2-40B4-BE49-F238E27FC236}">
              <a16:creationId xmlns=""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 xmlns:a14="http://schemas.microsoft.com/office/drawing/2010/main" val="0"/>
            </a:ext>
          </a:extLst>
        </a:blip>
        <a:srcRect/>
        <a:stretch>
          <a:fillRect/>
        </a:stretch>
      </xdr:blipFill>
      <xdr:spPr bwMode="auto">
        <a:xfrm>
          <a:off x="4414837" y="6965156"/>
          <a:ext cx="954881" cy="4000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904875</xdr:colOff>
      <xdr:row>203</xdr:row>
      <xdr:rowOff>57149</xdr:rowOff>
    </xdr:from>
    <xdr:to>
      <xdr:col>4</xdr:col>
      <xdr:colOff>647700</xdr:colOff>
      <xdr:row>217</xdr:row>
      <xdr:rowOff>66674</xdr:rowOff>
    </xdr:to>
    <xdr:graphicFrame macro="">
      <xdr:nvGraphicFramePr>
        <xdr:cNvPr id="3" name="Gráfico 2">
          <a:extLst>
            <a:ext uri="{FF2B5EF4-FFF2-40B4-BE49-F238E27FC236}">
              <a16:creationId xmlns=""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0</xdr:row>
      <xdr:rowOff>66675</xdr:rowOff>
    </xdr:from>
    <xdr:to>
      <xdr:col>3</xdr:col>
      <xdr:colOff>66675</xdr:colOff>
      <xdr:row>3</xdr:row>
      <xdr:rowOff>38100</xdr:rowOff>
    </xdr:to>
    <xdr:pic>
      <xdr:nvPicPr>
        <xdr:cNvPr id="4" name="Picture 2">
          <a:extLst>
            <a:ext uri="{FF2B5EF4-FFF2-40B4-BE49-F238E27FC236}">
              <a16:creationId xmlns=""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 xmlns:a14="http://schemas.microsoft.com/office/drawing/2010/main" val="0"/>
            </a:ext>
          </a:extLst>
        </a:blip>
        <a:srcRect l="17036" t="12302" r="44225" b="77579"/>
        <a:stretch>
          <a:fillRect/>
        </a:stretch>
      </xdr:blipFill>
      <xdr:spPr bwMode="auto">
        <a:xfrm>
          <a:off x="152400" y="66675"/>
          <a:ext cx="3505200" cy="542925"/>
        </a:xfrm>
        <a:prstGeom prst="rect">
          <a:avLst/>
        </a:prstGeom>
        <a:noFill/>
        <a:ln>
          <a:noFill/>
        </a:ln>
        <a:extLst>
          <a:ext uri="{909E8E84-426E-40DD-AFC4-6F175D3DCCD1}">
            <a14:hiddenFill xmlns="" xmlns:a14="http://schemas.microsoft.com/office/drawing/2010/main">
              <a:solidFill>
                <a:srgbClr val="4F81BD"/>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4</xdr:col>
      <xdr:colOff>676275</xdr:colOff>
      <xdr:row>0</xdr:row>
      <xdr:rowOff>114300</xdr:rowOff>
    </xdr:from>
    <xdr:to>
      <xdr:col>5</xdr:col>
      <xdr:colOff>657225</xdr:colOff>
      <xdr:row>2</xdr:row>
      <xdr:rowOff>133350</xdr:rowOff>
    </xdr:to>
    <xdr:pic>
      <xdr:nvPicPr>
        <xdr:cNvPr id="5" name="Imagen 4">
          <a:extLst>
            <a:ext uri="{FF2B5EF4-FFF2-40B4-BE49-F238E27FC236}">
              <a16:creationId xmlns=""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 xmlns:a14="http://schemas.microsoft.com/office/drawing/2010/main" val="0"/>
            </a:ext>
          </a:extLst>
        </a:blip>
        <a:srcRect/>
        <a:stretch>
          <a:fillRect/>
        </a:stretch>
      </xdr:blipFill>
      <xdr:spPr bwMode="auto">
        <a:xfrm>
          <a:off x="5095875" y="114300"/>
          <a:ext cx="895350" cy="4000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0</xdr:col>
      <xdr:colOff>57150</xdr:colOff>
      <xdr:row>48</xdr:row>
      <xdr:rowOff>57150</xdr:rowOff>
    </xdr:from>
    <xdr:to>
      <xdr:col>3</xdr:col>
      <xdr:colOff>47625</xdr:colOff>
      <xdr:row>51</xdr:row>
      <xdr:rowOff>9525</xdr:rowOff>
    </xdr:to>
    <xdr:pic>
      <xdr:nvPicPr>
        <xdr:cNvPr id="6" name="Picture 2">
          <a:extLst>
            <a:ext uri="{FF2B5EF4-FFF2-40B4-BE49-F238E27FC236}">
              <a16:creationId xmlns=""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 xmlns:a14="http://schemas.microsoft.com/office/drawing/2010/main" val="0"/>
            </a:ext>
          </a:extLst>
        </a:blip>
        <a:srcRect l="17036" t="12302" r="44225" b="77579"/>
        <a:stretch>
          <a:fillRect/>
        </a:stretch>
      </xdr:blipFill>
      <xdr:spPr bwMode="auto">
        <a:xfrm>
          <a:off x="57150" y="9715500"/>
          <a:ext cx="3581400" cy="523875"/>
        </a:xfrm>
        <a:prstGeom prst="rect">
          <a:avLst/>
        </a:prstGeom>
        <a:noFill/>
        <a:ln>
          <a:noFill/>
        </a:ln>
        <a:extLst>
          <a:ext uri="{909E8E84-426E-40DD-AFC4-6F175D3DCCD1}">
            <a14:hiddenFill xmlns="" xmlns:a14="http://schemas.microsoft.com/office/drawing/2010/main">
              <a:solidFill>
                <a:srgbClr val="4F81BD"/>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4</xdr:col>
      <xdr:colOff>885825</xdr:colOff>
      <xdr:row>48</xdr:row>
      <xdr:rowOff>114300</xdr:rowOff>
    </xdr:from>
    <xdr:to>
      <xdr:col>5</xdr:col>
      <xdr:colOff>866775</xdr:colOff>
      <xdr:row>50</xdr:row>
      <xdr:rowOff>133350</xdr:rowOff>
    </xdr:to>
    <xdr:pic>
      <xdr:nvPicPr>
        <xdr:cNvPr id="8" name="Imagen 7">
          <a:extLst>
            <a:ext uri="{FF2B5EF4-FFF2-40B4-BE49-F238E27FC236}">
              <a16:creationId xmlns=""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 xmlns:a14="http://schemas.microsoft.com/office/drawing/2010/main" val="0"/>
            </a:ext>
          </a:extLst>
        </a:blip>
        <a:srcRect/>
        <a:stretch>
          <a:fillRect/>
        </a:stretch>
      </xdr:blipFill>
      <xdr:spPr bwMode="auto">
        <a:xfrm>
          <a:off x="5619750" y="9772650"/>
          <a:ext cx="962025" cy="4000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0</xdr:col>
      <xdr:colOff>0</xdr:colOff>
      <xdr:row>86</xdr:row>
      <xdr:rowOff>190499</xdr:rowOff>
    </xdr:from>
    <xdr:to>
      <xdr:col>2</xdr:col>
      <xdr:colOff>1162050</xdr:colOff>
      <xdr:row>89</xdr:row>
      <xdr:rowOff>142874</xdr:rowOff>
    </xdr:to>
    <xdr:pic>
      <xdr:nvPicPr>
        <xdr:cNvPr id="9" name="Picture 2">
          <a:extLst>
            <a:ext uri="{FF2B5EF4-FFF2-40B4-BE49-F238E27FC236}">
              <a16:creationId xmlns=""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 xmlns:a14="http://schemas.microsoft.com/office/drawing/2010/main" val="0"/>
            </a:ext>
          </a:extLst>
        </a:blip>
        <a:srcRect l="17036" t="12302" r="44225" b="77579"/>
        <a:stretch>
          <a:fillRect/>
        </a:stretch>
      </xdr:blipFill>
      <xdr:spPr bwMode="auto">
        <a:xfrm>
          <a:off x="0" y="19116674"/>
          <a:ext cx="3495675" cy="523875"/>
        </a:xfrm>
        <a:prstGeom prst="rect">
          <a:avLst/>
        </a:prstGeom>
        <a:noFill/>
        <a:ln>
          <a:noFill/>
        </a:ln>
        <a:extLst>
          <a:ext uri="{909E8E84-426E-40DD-AFC4-6F175D3DCCD1}">
            <a14:hiddenFill xmlns="" xmlns:a14="http://schemas.microsoft.com/office/drawing/2010/main">
              <a:solidFill>
                <a:srgbClr val="4F81BD"/>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5</xdr:col>
      <xdr:colOff>0</xdr:colOff>
      <xdr:row>87</xdr:row>
      <xdr:rowOff>85725</xdr:rowOff>
    </xdr:from>
    <xdr:to>
      <xdr:col>5</xdr:col>
      <xdr:colOff>952500</xdr:colOff>
      <xdr:row>89</xdr:row>
      <xdr:rowOff>104775</xdr:rowOff>
    </xdr:to>
    <xdr:pic>
      <xdr:nvPicPr>
        <xdr:cNvPr id="10" name="Imagen 9">
          <a:extLst>
            <a:ext uri="{FF2B5EF4-FFF2-40B4-BE49-F238E27FC236}">
              <a16:creationId xmlns=""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 xmlns:a14="http://schemas.microsoft.com/office/drawing/2010/main" val="0"/>
            </a:ext>
          </a:extLst>
        </a:blip>
        <a:srcRect/>
        <a:stretch>
          <a:fillRect/>
        </a:stretch>
      </xdr:blipFill>
      <xdr:spPr bwMode="auto">
        <a:xfrm>
          <a:off x="5686425" y="19202400"/>
          <a:ext cx="952500" cy="4000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0</xdr:col>
      <xdr:colOff>0</xdr:colOff>
      <xdr:row>131</xdr:row>
      <xdr:rowOff>0</xdr:rowOff>
    </xdr:from>
    <xdr:to>
      <xdr:col>2</xdr:col>
      <xdr:colOff>1162050</xdr:colOff>
      <xdr:row>133</xdr:row>
      <xdr:rowOff>142875</xdr:rowOff>
    </xdr:to>
    <xdr:pic>
      <xdr:nvPicPr>
        <xdr:cNvPr id="11" name="Picture 2">
          <a:extLst>
            <a:ext uri="{FF2B5EF4-FFF2-40B4-BE49-F238E27FC236}">
              <a16:creationId xmlns=""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 xmlns:a14="http://schemas.microsoft.com/office/drawing/2010/main" val="0"/>
            </a:ext>
          </a:extLst>
        </a:blip>
        <a:srcRect l="17036" t="12302" r="44225" b="77579"/>
        <a:stretch>
          <a:fillRect/>
        </a:stretch>
      </xdr:blipFill>
      <xdr:spPr bwMode="auto">
        <a:xfrm>
          <a:off x="0" y="28708350"/>
          <a:ext cx="3495675" cy="523875"/>
        </a:xfrm>
        <a:prstGeom prst="rect">
          <a:avLst/>
        </a:prstGeom>
        <a:noFill/>
        <a:ln>
          <a:noFill/>
        </a:ln>
        <a:extLst>
          <a:ext uri="{909E8E84-426E-40DD-AFC4-6F175D3DCCD1}">
            <a14:hiddenFill xmlns="" xmlns:a14="http://schemas.microsoft.com/office/drawing/2010/main">
              <a:solidFill>
                <a:srgbClr val="4F81BD"/>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5</xdr:col>
      <xdr:colOff>0</xdr:colOff>
      <xdr:row>131</xdr:row>
      <xdr:rowOff>85725</xdr:rowOff>
    </xdr:from>
    <xdr:to>
      <xdr:col>5</xdr:col>
      <xdr:colOff>952500</xdr:colOff>
      <xdr:row>133</xdr:row>
      <xdr:rowOff>104775</xdr:rowOff>
    </xdr:to>
    <xdr:pic>
      <xdr:nvPicPr>
        <xdr:cNvPr id="12" name="Imagen 11">
          <a:extLst>
            <a:ext uri="{FF2B5EF4-FFF2-40B4-BE49-F238E27FC236}">
              <a16:creationId xmlns="" xmlns:a16="http://schemas.microsoft.com/office/drawing/2014/main" id="{00000000-0008-0000-06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 xmlns:a14="http://schemas.microsoft.com/office/drawing/2010/main" val="0"/>
            </a:ext>
          </a:extLst>
        </a:blip>
        <a:srcRect/>
        <a:stretch>
          <a:fillRect/>
        </a:stretch>
      </xdr:blipFill>
      <xdr:spPr bwMode="auto">
        <a:xfrm>
          <a:off x="5686425" y="28794075"/>
          <a:ext cx="952500" cy="4000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0</xdr:col>
      <xdr:colOff>0</xdr:colOff>
      <xdr:row>174</xdr:row>
      <xdr:rowOff>0</xdr:rowOff>
    </xdr:from>
    <xdr:to>
      <xdr:col>2</xdr:col>
      <xdr:colOff>1162050</xdr:colOff>
      <xdr:row>176</xdr:row>
      <xdr:rowOff>142875</xdr:rowOff>
    </xdr:to>
    <xdr:pic>
      <xdr:nvPicPr>
        <xdr:cNvPr id="14" name="Picture 2">
          <a:extLst>
            <a:ext uri="{FF2B5EF4-FFF2-40B4-BE49-F238E27FC236}">
              <a16:creationId xmlns=""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 xmlns:a14="http://schemas.microsoft.com/office/drawing/2010/main" val="0"/>
            </a:ext>
          </a:extLst>
        </a:blip>
        <a:srcRect l="17036" t="12302" r="44225" b="77579"/>
        <a:stretch>
          <a:fillRect/>
        </a:stretch>
      </xdr:blipFill>
      <xdr:spPr bwMode="auto">
        <a:xfrm>
          <a:off x="0" y="38252400"/>
          <a:ext cx="3495675" cy="523875"/>
        </a:xfrm>
        <a:prstGeom prst="rect">
          <a:avLst/>
        </a:prstGeom>
        <a:noFill/>
        <a:ln>
          <a:noFill/>
        </a:ln>
        <a:extLst>
          <a:ext uri="{909E8E84-426E-40DD-AFC4-6F175D3DCCD1}">
            <a14:hiddenFill xmlns="" xmlns:a14="http://schemas.microsoft.com/office/drawing/2010/main">
              <a:solidFill>
                <a:srgbClr val="4F81BD"/>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5</xdr:col>
      <xdr:colOff>0</xdr:colOff>
      <xdr:row>174</xdr:row>
      <xdr:rowOff>0</xdr:rowOff>
    </xdr:from>
    <xdr:to>
      <xdr:col>5</xdr:col>
      <xdr:colOff>952500</xdr:colOff>
      <xdr:row>176</xdr:row>
      <xdr:rowOff>19050</xdr:rowOff>
    </xdr:to>
    <xdr:pic>
      <xdr:nvPicPr>
        <xdr:cNvPr id="15" name="Imagen 14">
          <a:extLst>
            <a:ext uri="{FF2B5EF4-FFF2-40B4-BE49-F238E27FC236}">
              <a16:creationId xmlns="" xmlns:a16="http://schemas.microsoft.com/office/drawing/2014/main" id="{00000000-0008-0000-06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 xmlns:a14="http://schemas.microsoft.com/office/drawing/2010/main" val="0"/>
            </a:ext>
          </a:extLst>
        </a:blip>
        <a:srcRect/>
        <a:stretch>
          <a:fillRect/>
        </a:stretch>
      </xdr:blipFill>
      <xdr:spPr bwMode="auto">
        <a:xfrm>
          <a:off x="5686425" y="38252400"/>
          <a:ext cx="952500" cy="4000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6</xdr:col>
      <xdr:colOff>542925</xdr:colOff>
      <xdr:row>2</xdr:row>
      <xdr:rowOff>114300</xdr:rowOff>
    </xdr:from>
    <xdr:to>
      <xdr:col>8</xdr:col>
      <xdr:colOff>371475</xdr:colOff>
      <xdr:row>7</xdr:row>
      <xdr:rowOff>200025</xdr:rowOff>
    </xdr:to>
    <xdr:sp macro="" textlink="">
      <xdr:nvSpPr>
        <xdr:cNvPr id="16" name="CuadroTexto 15">
          <a:hlinkClick xmlns:r="http://schemas.openxmlformats.org/officeDocument/2006/relationships" r:id="rId4"/>
          <a:extLst>
            <a:ext uri="{FF2B5EF4-FFF2-40B4-BE49-F238E27FC236}">
              <a16:creationId xmlns="" xmlns:a16="http://schemas.microsoft.com/office/drawing/2014/main" id="{00000000-0008-0000-0600-000010000000}"/>
            </a:ext>
          </a:extLst>
        </xdr:cNvPr>
        <xdr:cNvSpPr txBox="1"/>
      </xdr:nvSpPr>
      <xdr:spPr>
        <a:xfrm>
          <a:off x="7229475" y="495300"/>
          <a:ext cx="1447800" cy="65722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200" b="1"/>
            <a:t>VOLVER</a:t>
          </a:r>
          <a:r>
            <a:rPr lang="es-CO" sz="1200" b="1" baseline="0"/>
            <a:t> AL MENÚ PRINCIPAL.</a:t>
          </a:r>
          <a:endParaRPr lang="es-CO" sz="12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4"/>
  <dimension ref="A1"/>
  <sheetViews>
    <sheetView showGridLines="0" showRowColHeaders="0" view="pageBreakPreview" zoomScaleNormal="100" zoomScaleSheetLayoutView="100" workbookViewId="0"/>
  </sheetViews>
  <sheetFormatPr baseColWidth="10" defaultRowHeight="15"/>
  <sheetData/>
  <sheetProtection algorithmName="SHA-512" hashValue="Yv9SOHrNHjGjPUMkT4ZaPOrzLjnt3TH6J+FXc+a47w3XZz5yXQ2pZnsebpqOr9BjBbKejGjRw8dMQdzPIPnFjA==" saltValue="FeOF4rKtGFKY78R9AmOolQ==" spinCount="100000" sheet="1" objects="1" scenarios="1"/>
  <customSheetViews>
    <customSheetView guid="{D031F759-B892-43F4-943A-9CD4A624A3F4}" showPageBreaks="1" showGridLines="0" showRowCol="0" view="pageBreakPreview">
      <selection sqref="A1:J24"/>
    </customSheetView>
  </customSheetViews>
  <pageMargins left="0.7" right="0.7" top="0.75" bottom="0.75" header="0.3" footer="0.3"/>
  <pageSetup scale="87"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Hoja1"/>
  <dimension ref="A1:AD35"/>
  <sheetViews>
    <sheetView showGridLines="0" zoomScale="90" zoomScaleNormal="90" zoomScalePageLayoutView="90" workbookViewId="0">
      <pane xSplit="6" ySplit="2" topLeftCell="G3" activePane="bottomRight" state="frozenSplit"/>
      <selection pane="topRight" activeCell="G1" sqref="G1"/>
      <selection pane="bottomLeft" activeCell="A3" sqref="A3"/>
      <selection pane="bottomRight" activeCell="B5" sqref="B5"/>
    </sheetView>
  </sheetViews>
  <sheetFormatPr baseColWidth="10" defaultColWidth="10.85546875" defaultRowHeight="15"/>
  <cols>
    <col min="1" max="1" width="22.42578125" style="14" customWidth="1"/>
    <col min="2" max="2" width="61.28515625" style="14" bestFit="1" customWidth="1"/>
    <col min="3" max="3" width="17.42578125" style="14" bestFit="1" customWidth="1"/>
    <col min="4" max="4" width="21.140625" style="14" bestFit="1" customWidth="1"/>
    <col min="5" max="5" width="20" style="14" bestFit="1" customWidth="1"/>
    <col min="6" max="6" width="17.42578125" style="14" bestFit="1" customWidth="1"/>
    <col min="7" max="10" width="9" style="14" bestFit="1" customWidth="1"/>
    <col min="11" max="11" width="4.28515625" style="14" customWidth="1"/>
    <col min="12" max="15" width="11.42578125" style="14" hidden="1" customWidth="1"/>
    <col min="16" max="19" width="12" style="14" hidden="1" customWidth="1"/>
    <col min="20" max="24" width="15.42578125" style="14" hidden="1" customWidth="1"/>
    <col min="25" max="25" width="12.42578125" style="14" bestFit="1" customWidth="1"/>
    <col min="26" max="26" width="9.85546875" style="14" bestFit="1" customWidth="1"/>
    <col min="27" max="27" width="9.42578125" style="14" bestFit="1" customWidth="1"/>
    <col min="28" max="28" width="11.42578125" style="14" bestFit="1" customWidth="1"/>
    <col min="29" max="29" width="8.42578125" style="14" bestFit="1" customWidth="1"/>
    <col min="30" max="16384" width="10.85546875" style="14"/>
  </cols>
  <sheetData>
    <row r="1" spans="1:30" ht="30.75" customHeight="1">
      <c r="A1" s="234" t="s">
        <v>5</v>
      </c>
      <c r="B1" s="234"/>
      <c r="C1" s="234"/>
      <c r="D1" s="234"/>
      <c r="E1" s="234"/>
      <c r="G1" s="236" t="s">
        <v>13</v>
      </c>
      <c r="H1" s="236"/>
      <c r="I1" s="236"/>
      <c r="J1" s="236"/>
      <c r="P1" s="14" t="s">
        <v>17</v>
      </c>
      <c r="Y1" s="15" t="s">
        <v>10</v>
      </c>
      <c r="Z1" s="48">
        <v>2020</v>
      </c>
      <c r="AA1" s="16"/>
    </row>
    <row r="2" spans="1:30" ht="32.25" customHeight="1" thickBot="1">
      <c r="B2" s="17" t="s">
        <v>4</v>
      </c>
      <c r="C2" s="18" t="s">
        <v>0</v>
      </c>
      <c r="D2" s="17" t="s">
        <v>7</v>
      </c>
      <c r="E2" s="18" t="s">
        <v>1</v>
      </c>
      <c r="F2" s="19" t="s">
        <v>28</v>
      </c>
      <c r="G2" s="20">
        <f>'1'!Z1+1</f>
        <v>2021</v>
      </c>
      <c r="H2" s="20">
        <f>G2+1</f>
        <v>2022</v>
      </c>
      <c r="I2" s="20">
        <f t="shared" ref="I2:J2" si="0">H2+1</f>
        <v>2023</v>
      </c>
      <c r="J2" s="20">
        <f t="shared" si="0"/>
        <v>2024</v>
      </c>
      <c r="L2" s="14">
        <f>G2</f>
        <v>2021</v>
      </c>
      <c r="M2" s="14">
        <f>H2</f>
        <v>2022</v>
      </c>
      <c r="N2" s="14">
        <f>M2+1</f>
        <v>2023</v>
      </c>
      <c r="O2" s="14">
        <f>N2+1</f>
        <v>2024</v>
      </c>
      <c r="P2" s="14" t="s">
        <v>14</v>
      </c>
      <c r="Q2" s="14" t="s">
        <v>12</v>
      </c>
      <c r="R2" s="14" t="s">
        <v>24</v>
      </c>
      <c r="S2" s="14" t="s">
        <v>25</v>
      </c>
      <c r="T2" s="14" t="s">
        <v>18</v>
      </c>
      <c r="U2" s="14" t="s">
        <v>19</v>
      </c>
      <c r="V2" s="14" t="s">
        <v>26</v>
      </c>
      <c r="W2" s="14" t="s">
        <v>27</v>
      </c>
      <c r="Y2" s="237" t="s">
        <v>170</v>
      </c>
      <c r="Z2" s="237"/>
      <c r="AA2" s="231" t="s">
        <v>183</v>
      </c>
      <c r="AB2" s="232"/>
      <c r="AC2" s="232"/>
      <c r="AD2" s="232"/>
    </row>
    <row r="3" spans="1:30" ht="21" thickBot="1">
      <c r="A3" s="21">
        <v>1</v>
      </c>
      <c r="B3" s="217" t="s">
        <v>184</v>
      </c>
      <c r="C3" s="228">
        <v>60</v>
      </c>
      <c r="D3" s="218">
        <v>2000000</v>
      </c>
      <c r="E3" s="22">
        <f>C3*D3</f>
        <v>120000000</v>
      </c>
      <c r="F3" s="23">
        <f>IF($E$13=0,0,E3/$E$13)</f>
        <v>0.28436018957345971</v>
      </c>
      <c r="G3" s="47">
        <v>0.04</v>
      </c>
      <c r="H3" s="47">
        <v>0.04</v>
      </c>
      <c r="I3" s="47">
        <v>0.05</v>
      </c>
      <c r="J3" s="47">
        <v>0.05</v>
      </c>
      <c r="K3" s="24"/>
      <c r="L3" s="14">
        <f t="shared" ref="L3:L12" si="1">C3*(1+G3)</f>
        <v>62.400000000000006</v>
      </c>
      <c r="M3" s="14">
        <f>L3*(1+H3)</f>
        <v>64.896000000000015</v>
      </c>
      <c r="N3" s="14">
        <f t="shared" ref="N3:O3" si="2">M3*(1+I3)</f>
        <v>68.140800000000013</v>
      </c>
      <c r="O3" s="14">
        <f t="shared" si="2"/>
        <v>71.547840000000022</v>
      </c>
      <c r="P3" s="25">
        <f>D3*(1+'1'!$Z$4)</f>
        <v>2059000.0000000002</v>
      </c>
      <c r="Q3" s="25">
        <f>P3*(1+'1'!$AA$4)</f>
        <v>2117063.8000000003</v>
      </c>
      <c r="R3" s="25">
        <f>Q3*(1+'1'!$AB$4)</f>
        <v>2174224.5226000003</v>
      </c>
      <c r="S3" s="25">
        <f>R3*(1+'1'!$AC$4)</f>
        <v>2232928.5847101999</v>
      </c>
      <c r="T3" s="26">
        <f>L3*P3</f>
        <v>128481600.00000003</v>
      </c>
      <c r="U3" s="26">
        <f>M3*Q3</f>
        <v>137388972.36480004</v>
      </c>
      <c r="V3" s="26">
        <f>N3*R3</f>
        <v>148153398.34958214</v>
      </c>
      <c r="W3" s="26">
        <f>O3*S3</f>
        <v>159761217.11027187</v>
      </c>
      <c r="X3" s="26"/>
      <c r="Y3" s="27" t="s">
        <v>11</v>
      </c>
      <c r="Z3" s="221">
        <f>G2</f>
        <v>2021</v>
      </c>
      <c r="AA3" s="221">
        <f>Z3+1</f>
        <v>2022</v>
      </c>
      <c r="AB3" s="221">
        <f t="shared" ref="AB3:AC3" si="3">AA3+1</f>
        <v>2023</v>
      </c>
      <c r="AC3" s="222">
        <f t="shared" si="3"/>
        <v>2024</v>
      </c>
    </row>
    <row r="4" spans="1:30" ht="20.25">
      <c r="A4" s="21">
        <f>A3+1</f>
        <v>2</v>
      </c>
      <c r="B4" s="217" t="s">
        <v>185</v>
      </c>
      <c r="C4" s="228">
        <v>60</v>
      </c>
      <c r="D4" s="218">
        <v>4000000</v>
      </c>
      <c r="E4" s="22">
        <f t="shared" ref="E4:E12" si="4">C4*D4</f>
        <v>240000000</v>
      </c>
      <c r="F4" s="23">
        <f t="shared" ref="F4:F12" si="5">IF($E$13=0,0,E4/$E$13)</f>
        <v>0.56872037914691942</v>
      </c>
      <c r="G4" s="47">
        <v>0.04</v>
      </c>
      <c r="H4" s="47">
        <v>0.04</v>
      </c>
      <c r="I4" s="47">
        <v>0.04</v>
      </c>
      <c r="J4" s="47">
        <v>0.04</v>
      </c>
      <c r="K4" s="24"/>
      <c r="L4" s="14">
        <f t="shared" si="1"/>
        <v>62.400000000000006</v>
      </c>
      <c r="M4" s="14">
        <f t="shared" ref="M4:M12" si="6">L4*(1+H4)</f>
        <v>64.896000000000015</v>
      </c>
      <c r="N4" s="14">
        <f t="shared" ref="N4:N12" si="7">M4*(1+I4)</f>
        <v>67.491840000000025</v>
      </c>
      <c r="O4" s="14">
        <f t="shared" ref="O4:O12" si="8">N4*(1+J4)</f>
        <v>70.191513600000022</v>
      </c>
      <c r="P4" s="25">
        <f>D4*(1+'1'!$Z$4)</f>
        <v>4118000.0000000005</v>
      </c>
      <c r="Q4" s="25">
        <f>P4*(1+'1'!$AA$4)</f>
        <v>4234127.6000000006</v>
      </c>
      <c r="R4" s="25">
        <f>Q4*(1+'1'!$AB$4)</f>
        <v>4348449.0452000005</v>
      </c>
      <c r="S4" s="25">
        <f>R4*(1+'1'!$AC$4)</f>
        <v>4465857.1694203997</v>
      </c>
      <c r="T4" s="26">
        <f t="shared" ref="T4:T12" si="9">L4*P4</f>
        <v>256963200.00000006</v>
      </c>
      <c r="U4" s="26">
        <f t="shared" ref="U4:U12" si="10">M4*Q4</f>
        <v>274777944.72960007</v>
      </c>
      <c r="V4" s="26">
        <f t="shared" ref="V4:V12" si="11">N4*R4</f>
        <v>293484827.20679128</v>
      </c>
      <c r="W4" s="26">
        <f t="shared" ref="W4:W12" si="12">O4*S4</f>
        <v>313465274.24302959</v>
      </c>
      <c r="X4" s="26"/>
      <c r="Y4" s="207" t="s">
        <v>15</v>
      </c>
      <c r="Z4" s="223">
        <v>2.9499999999999998E-2</v>
      </c>
      <c r="AA4" s="223">
        <v>2.8199999999999999E-2</v>
      </c>
      <c r="AB4" s="223">
        <v>2.7E-2</v>
      </c>
      <c r="AC4" s="224">
        <v>2.7E-2</v>
      </c>
    </row>
    <row r="5" spans="1:30" ht="21" thickBot="1">
      <c r="A5" s="21">
        <f t="shared" ref="A5:A12" si="13">A4+1</f>
        <v>3</v>
      </c>
      <c r="B5" s="138" t="s">
        <v>187</v>
      </c>
      <c r="C5" s="229">
        <v>65</v>
      </c>
      <c r="D5" s="13">
        <v>800000</v>
      </c>
      <c r="E5" s="22">
        <f t="shared" si="4"/>
        <v>52000000</v>
      </c>
      <c r="F5" s="23">
        <f t="shared" si="5"/>
        <v>0.12322274881516587</v>
      </c>
      <c r="G5" s="47">
        <v>0.02</v>
      </c>
      <c r="H5" s="47">
        <v>0.02</v>
      </c>
      <c r="I5" s="47">
        <v>0.02</v>
      </c>
      <c r="J5" s="47">
        <v>0.02</v>
      </c>
      <c r="K5" s="24"/>
      <c r="L5" s="14">
        <f t="shared" si="1"/>
        <v>66.3</v>
      </c>
      <c r="M5" s="14">
        <f t="shared" si="6"/>
        <v>67.626000000000005</v>
      </c>
      <c r="N5" s="14">
        <f t="shared" si="7"/>
        <v>68.978520000000003</v>
      </c>
      <c r="O5" s="14">
        <f t="shared" si="8"/>
        <v>70.358090400000009</v>
      </c>
      <c r="P5" s="25">
        <f>D5*(1+'1'!$Z$4)</f>
        <v>823600.00000000012</v>
      </c>
      <c r="Q5" s="25">
        <f>P5*(1+'1'!$AA$4)</f>
        <v>846825.52000000014</v>
      </c>
      <c r="R5" s="25">
        <f>Q5*(1+'1'!$AB$4)</f>
        <v>869689.80904000008</v>
      </c>
      <c r="S5" s="25">
        <f>R5*(1+'1'!$AC$4)</f>
        <v>893171.43388408003</v>
      </c>
      <c r="T5" s="26">
        <f t="shared" si="9"/>
        <v>54604680.000000007</v>
      </c>
      <c r="U5" s="26">
        <f t="shared" si="10"/>
        <v>57267422.615520015</v>
      </c>
      <c r="V5" s="26">
        <f t="shared" si="11"/>
        <v>59989915.886661828</v>
      </c>
      <c r="W5" s="26">
        <f t="shared" si="12"/>
        <v>62841836.487913735</v>
      </c>
      <c r="X5" s="26"/>
      <c r="Y5" s="28" t="s">
        <v>16</v>
      </c>
      <c r="Z5" s="225">
        <v>3.4000000000000002E-2</v>
      </c>
      <c r="AA5" s="225">
        <v>3.4000000000000002E-2</v>
      </c>
      <c r="AB5" s="225">
        <v>3.4000000000000002E-2</v>
      </c>
      <c r="AC5" s="226">
        <v>3.4000000000000002E-2</v>
      </c>
    </row>
    <row r="6" spans="1:30" ht="15.75" thickBot="1">
      <c r="A6" s="21">
        <f t="shared" si="13"/>
        <v>4</v>
      </c>
      <c r="B6" s="138" t="s">
        <v>186</v>
      </c>
      <c r="C6" s="229">
        <v>2</v>
      </c>
      <c r="D6" s="13">
        <v>5000000</v>
      </c>
      <c r="E6" s="22">
        <f t="shared" si="4"/>
        <v>10000000</v>
      </c>
      <c r="F6" s="23">
        <f t="shared" si="5"/>
        <v>2.3696682464454975E-2</v>
      </c>
      <c r="G6" s="47">
        <v>0</v>
      </c>
      <c r="H6" s="47">
        <v>0</v>
      </c>
      <c r="I6" s="47">
        <v>0</v>
      </c>
      <c r="J6" s="47">
        <v>0.5</v>
      </c>
      <c r="K6" s="24"/>
      <c r="L6" s="14">
        <f t="shared" si="1"/>
        <v>2</v>
      </c>
      <c r="M6" s="14">
        <f t="shared" si="6"/>
        <v>2</v>
      </c>
      <c r="N6" s="14">
        <f t="shared" si="7"/>
        <v>2</v>
      </c>
      <c r="O6" s="14">
        <f t="shared" si="8"/>
        <v>3</v>
      </c>
      <c r="P6" s="25">
        <f>D6*(1+'1'!$Z$4)</f>
        <v>5147500</v>
      </c>
      <c r="Q6" s="25">
        <f>P6*(1+'1'!$AA$4)</f>
        <v>5292659.5</v>
      </c>
      <c r="R6" s="25">
        <f>Q6*(1+'1'!$AB$4)</f>
        <v>5435561.3064999999</v>
      </c>
      <c r="S6" s="25">
        <f>R6*(1+'1'!$AC$4)</f>
        <v>5582321.4617754994</v>
      </c>
      <c r="T6" s="26">
        <f t="shared" si="9"/>
        <v>10295000</v>
      </c>
      <c r="U6" s="26">
        <f t="shared" si="10"/>
        <v>10585319</v>
      </c>
      <c r="V6" s="26">
        <f t="shared" si="11"/>
        <v>10871122.613</v>
      </c>
      <c r="W6" s="26">
        <f t="shared" si="12"/>
        <v>16746964.385326497</v>
      </c>
      <c r="X6" s="26"/>
    </row>
    <row r="7" spans="1:30" ht="24" thickBot="1">
      <c r="A7" s="21">
        <f t="shared" si="13"/>
        <v>5</v>
      </c>
      <c r="B7" s="138"/>
      <c r="C7" s="229"/>
      <c r="D7" s="13">
        <v>0</v>
      </c>
      <c r="E7" s="22">
        <f t="shared" si="4"/>
        <v>0</v>
      </c>
      <c r="F7" s="23">
        <f t="shared" si="5"/>
        <v>0</v>
      </c>
      <c r="G7" s="47">
        <v>0</v>
      </c>
      <c r="H7" s="47">
        <v>0</v>
      </c>
      <c r="I7" s="47">
        <v>0</v>
      </c>
      <c r="J7" s="47">
        <v>0</v>
      </c>
      <c r="K7" s="24"/>
      <c r="L7" s="14">
        <f t="shared" si="1"/>
        <v>0</v>
      </c>
      <c r="M7" s="14">
        <f t="shared" si="6"/>
        <v>0</v>
      </c>
      <c r="N7" s="14">
        <f t="shared" si="7"/>
        <v>0</v>
      </c>
      <c r="O7" s="14">
        <f t="shared" si="8"/>
        <v>0</v>
      </c>
      <c r="P7" s="25">
        <f>D7*(1+'1'!$Z$4)</f>
        <v>0</v>
      </c>
      <c r="Q7" s="25">
        <f>P7*(1+'1'!$AA$4)</f>
        <v>0</v>
      </c>
      <c r="R7" s="25">
        <f>Q7*(1+'1'!$AB$4)</f>
        <v>0</v>
      </c>
      <c r="S7" s="25">
        <f>R7*(1+'1'!$AC$4)</f>
        <v>0</v>
      </c>
      <c r="T7" s="26">
        <f t="shared" si="9"/>
        <v>0</v>
      </c>
      <c r="U7" s="26">
        <f t="shared" si="10"/>
        <v>0</v>
      </c>
      <c r="V7" s="26">
        <f t="shared" si="11"/>
        <v>0</v>
      </c>
      <c r="W7" s="26">
        <f t="shared" si="12"/>
        <v>0</v>
      </c>
      <c r="X7" s="26"/>
      <c r="Y7" s="29" t="s">
        <v>97</v>
      </c>
      <c r="Z7" s="30"/>
      <c r="AA7" s="30"/>
      <c r="AB7" s="49">
        <v>0.31</v>
      </c>
      <c r="AC7" s="31"/>
    </row>
    <row r="8" spans="1:30">
      <c r="A8" s="21">
        <f t="shared" si="13"/>
        <v>6</v>
      </c>
      <c r="B8" s="139"/>
      <c r="C8" s="229"/>
      <c r="D8" s="13">
        <v>0</v>
      </c>
      <c r="E8" s="22">
        <f t="shared" si="4"/>
        <v>0</v>
      </c>
      <c r="F8" s="23">
        <f t="shared" si="5"/>
        <v>0</v>
      </c>
      <c r="G8" s="47">
        <v>0</v>
      </c>
      <c r="H8" s="47">
        <v>0</v>
      </c>
      <c r="I8" s="47">
        <v>0</v>
      </c>
      <c r="J8" s="47">
        <v>0</v>
      </c>
      <c r="K8" s="24"/>
      <c r="L8" s="14">
        <f t="shared" si="1"/>
        <v>0</v>
      </c>
      <c r="M8" s="14">
        <f t="shared" si="6"/>
        <v>0</v>
      </c>
      <c r="N8" s="14">
        <f t="shared" si="7"/>
        <v>0</v>
      </c>
      <c r="O8" s="14">
        <f t="shared" si="8"/>
        <v>0</v>
      </c>
      <c r="P8" s="25">
        <f>D8*(1+'1'!$Z$4)</f>
        <v>0</v>
      </c>
      <c r="Q8" s="25">
        <f>P8*(1+'1'!$AA$4)</f>
        <v>0</v>
      </c>
      <c r="R8" s="25">
        <f>Q8*(1+'1'!$AB$4)</f>
        <v>0</v>
      </c>
      <c r="S8" s="25">
        <f>R8*(1+'1'!$AC$4)</f>
        <v>0</v>
      </c>
      <c r="T8" s="26">
        <f t="shared" si="9"/>
        <v>0</v>
      </c>
      <c r="U8" s="26">
        <f t="shared" si="10"/>
        <v>0</v>
      </c>
      <c r="V8" s="26">
        <f t="shared" si="11"/>
        <v>0</v>
      </c>
      <c r="W8" s="26">
        <f t="shared" si="12"/>
        <v>0</v>
      </c>
      <c r="X8" s="26"/>
    </row>
    <row r="9" spans="1:30">
      <c r="A9" s="21">
        <f t="shared" si="13"/>
        <v>7</v>
      </c>
      <c r="B9" s="139"/>
      <c r="C9" s="229">
        <v>0</v>
      </c>
      <c r="D9" s="13">
        <v>0</v>
      </c>
      <c r="E9" s="22">
        <f t="shared" si="4"/>
        <v>0</v>
      </c>
      <c r="F9" s="23">
        <f t="shared" si="5"/>
        <v>0</v>
      </c>
      <c r="G9" s="47">
        <v>0</v>
      </c>
      <c r="H9" s="47">
        <v>0</v>
      </c>
      <c r="I9" s="47">
        <v>0</v>
      </c>
      <c r="J9" s="47">
        <v>0</v>
      </c>
      <c r="K9" s="24"/>
      <c r="L9" s="14">
        <f t="shared" si="1"/>
        <v>0</v>
      </c>
      <c r="M9" s="14">
        <f t="shared" si="6"/>
        <v>0</v>
      </c>
      <c r="N9" s="14">
        <f t="shared" si="7"/>
        <v>0</v>
      </c>
      <c r="O9" s="14">
        <f t="shared" si="8"/>
        <v>0</v>
      </c>
      <c r="P9" s="25">
        <f>D9*(1+'1'!$Z$4)</f>
        <v>0</v>
      </c>
      <c r="Q9" s="25">
        <f>P9*(1+'1'!$AA$4)</f>
        <v>0</v>
      </c>
      <c r="R9" s="25">
        <f>Q9*(1+'1'!$AB$4)</f>
        <v>0</v>
      </c>
      <c r="S9" s="25">
        <f>R9*(1+'1'!$AC$4)</f>
        <v>0</v>
      </c>
      <c r="T9" s="26">
        <f t="shared" si="9"/>
        <v>0</v>
      </c>
      <c r="U9" s="26">
        <f t="shared" si="10"/>
        <v>0</v>
      </c>
      <c r="V9" s="26">
        <f t="shared" si="11"/>
        <v>0</v>
      </c>
      <c r="W9" s="26">
        <f t="shared" si="12"/>
        <v>0</v>
      </c>
      <c r="X9" s="26"/>
    </row>
    <row r="10" spans="1:30">
      <c r="A10" s="21">
        <f t="shared" si="13"/>
        <v>8</v>
      </c>
      <c r="B10" s="138"/>
      <c r="C10" s="229">
        <v>0</v>
      </c>
      <c r="D10" s="13">
        <v>0</v>
      </c>
      <c r="E10" s="22">
        <f t="shared" si="4"/>
        <v>0</v>
      </c>
      <c r="F10" s="23">
        <f t="shared" si="5"/>
        <v>0</v>
      </c>
      <c r="G10" s="47">
        <v>0</v>
      </c>
      <c r="H10" s="47">
        <v>0</v>
      </c>
      <c r="I10" s="47">
        <v>0</v>
      </c>
      <c r="J10" s="47">
        <v>0</v>
      </c>
      <c r="K10" s="24"/>
      <c r="L10" s="14">
        <f t="shared" si="1"/>
        <v>0</v>
      </c>
      <c r="M10" s="14">
        <f t="shared" si="6"/>
        <v>0</v>
      </c>
      <c r="N10" s="14">
        <f t="shared" si="7"/>
        <v>0</v>
      </c>
      <c r="O10" s="14">
        <f t="shared" si="8"/>
        <v>0</v>
      </c>
      <c r="P10" s="25">
        <f>D10*(1+'1'!$Z$4)</f>
        <v>0</v>
      </c>
      <c r="Q10" s="25">
        <f>P10*(1+'1'!$AA$4)</f>
        <v>0</v>
      </c>
      <c r="R10" s="25">
        <f>Q10*(1+'1'!$AB$4)</f>
        <v>0</v>
      </c>
      <c r="S10" s="25">
        <f>R10*(1+'1'!$AC$4)</f>
        <v>0</v>
      </c>
      <c r="T10" s="26">
        <f t="shared" si="9"/>
        <v>0</v>
      </c>
      <c r="U10" s="26">
        <f t="shared" si="10"/>
        <v>0</v>
      </c>
      <c r="V10" s="26">
        <f t="shared" si="11"/>
        <v>0</v>
      </c>
      <c r="W10" s="26">
        <f t="shared" si="12"/>
        <v>0</v>
      </c>
      <c r="X10" s="26"/>
    </row>
    <row r="11" spans="1:30">
      <c r="A11" s="21">
        <f t="shared" si="13"/>
        <v>9</v>
      </c>
      <c r="B11" s="138"/>
      <c r="C11" s="229">
        <v>0</v>
      </c>
      <c r="D11" s="13">
        <v>0</v>
      </c>
      <c r="E11" s="22">
        <f t="shared" si="4"/>
        <v>0</v>
      </c>
      <c r="F11" s="23">
        <f t="shared" si="5"/>
        <v>0</v>
      </c>
      <c r="G11" s="47">
        <v>0</v>
      </c>
      <c r="H11" s="47">
        <v>0</v>
      </c>
      <c r="I11" s="47">
        <v>0</v>
      </c>
      <c r="J11" s="47">
        <v>0</v>
      </c>
      <c r="K11" s="24"/>
      <c r="L11" s="14">
        <f t="shared" si="1"/>
        <v>0</v>
      </c>
      <c r="M11" s="14">
        <f t="shared" si="6"/>
        <v>0</v>
      </c>
      <c r="N11" s="14">
        <f t="shared" si="7"/>
        <v>0</v>
      </c>
      <c r="O11" s="14">
        <f t="shared" si="8"/>
        <v>0</v>
      </c>
      <c r="P11" s="25">
        <f>D11*(1+'1'!$Z$4)</f>
        <v>0</v>
      </c>
      <c r="Q11" s="25">
        <f>P11*(1+'1'!$AA$4)</f>
        <v>0</v>
      </c>
      <c r="R11" s="25">
        <f>Q11*(1+'1'!$AB$4)</f>
        <v>0</v>
      </c>
      <c r="S11" s="25">
        <f>R11*(1+'1'!$AC$4)</f>
        <v>0</v>
      </c>
      <c r="T11" s="26">
        <f t="shared" si="9"/>
        <v>0</v>
      </c>
      <c r="U11" s="26">
        <f t="shared" si="10"/>
        <v>0</v>
      </c>
      <c r="V11" s="26">
        <f t="shared" si="11"/>
        <v>0</v>
      </c>
      <c r="W11" s="26">
        <f t="shared" si="12"/>
        <v>0</v>
      </c>
      <c r="X11" s="26"/>
    </row>
    <row r="12" spans="1:30">
      <c r="A12" s="21">
        <f t="shared" si="13"/>
        <v>10</v>
      </c>
      <c r="B12" s="138"/>
      <c r="C12" s="229">
        <v>0</v>
      </c>
      <c r="D12" s="13">
        <v>0</v>
      </c>
      <c r="E12" s="22">
        <f t="shared" si="4"/>
        <v>0</v>
      </c>
      <c r="F12" s="23">
        <f t="shared" si="5"/>
        <v>0</v>
      </c>
      <c r="G12" s="47">
        <v>0</v>
      </c>
      <c r="H12" s="47">
        <v>0</v>
      </c>
      <c r="I12" s="47">
        <v>0</v>
      </c>
      <c r="J12" s="47">
        <v>0</v>
      </c>
      <c r="K12" s="24"/>
      <c r="L12" s="14">
        <f t="shared" si="1"/>
        <v>0</v>
      </c>
      <c r="M12" s="14">
        <f t="shared" si="6"/>
        <v>0</v>
      </c>
      <c r="N12" s="14">
        <f t="shared" si="7"/>
        <v>0</v>
      </c>
      <c r="O12" s="14">
        <f t="shared" si="8"/>
        <v>0</v>
      </c>
      <c r="P12" s="25">
        <f>D12*(1+'1'!$Z$4)</f>
        <v>0</v>
      </c>
      <c r="Q12" s="25">
        <f>P12*(1+'1'!$AA$4)</f>
        <v>0</v>
      </c>
      <c r="R12" s="25">
        <f>Q12*(1+'1'!$AB$4)</f>
        <v>0</v>
      </c>
      <c r="S12" s="25">
        <f>R12*(1+'1'!$AC$4)</f>
        <v>0</v>
      </c>
      <c r="T12" s="26">
        <f t="shared" si="9"/>
        <v>0</v>
      </c>
      <c r="U12" s="26">
        <f t="shared" si="10"/>
        <v>0</v>
      </c>
      <c r="V12" s="26">
        <f t="shared" si="11"/>
        <v>0</v>
      </c>
      <c r="W12" s="26">
        <f t="shared" si="12"/>
        <v>0</v>
      </c>
      <c r="X12" s="26"/>
    </row>
    <row r="13" spans="1:30">
      <c r="D13" s="14" t="s">
        <v>9</v>
      </c>
      <c r="E13" s="32">
        <f>SUM(E3:E12)</f>
        <v>422000000</v>
      </c>
      <c r="F13" s="33">
        <f>SUM(F3:F12)</f>
        <v>0.99999999999999989</v>
      </c>
      <c r="T13" s="34">
        <f>SUM(T3:T12)</f>
        <v>450344480.00000012</v>
      </c>
      <c r="U13" s="34">
        <f>SUM(U3:U12)</f>
        <v>480019658.70992011</v>
      </c>
      <c r="V13" s="34">
        <f>SUM(V3:V12)</f>
        <v>512499264.05603522</v>
      </c>
      <c r="W13" s="34">
        <f>SUM(W3:W12)</f>
        <v>552815292.22654164</v>
      </c>
      <c r="X13" s="26"/>
    </row>
    <row r="15" spans="1:30" ht="23.25" customHeight="1">
      <c r="A15" s="235" t="s">
        <v>6</v>
      </c>
      <c r="B15" s="235"/>
      <c r="C15" s="235"/>
      <c r="D15" s="235"/>
      <c r="E15" s="235"/>
      <c r="G15" s="35"/>
    </row>
    <row r="16" spans="1:30" ht="23.25">
      <c r="B16" s="17" t="s">
        <v>3</v>
      </c>
      <c r="C16" s="36" t="s">
        <v>0</v>
      </c>
      <c r="D16" s="17" t="s">
        <v>8</v>
      </c>
      <c r="E16" s="18" t="s">
        <v>2</v>
      </c>
      <c r="L16" s="14">
        <f>L2</f>
        <v>2021</v>
      </c>
      <c r="M16" s="14">
        <f t="shared" ref="M16:W16" si="14">M2</f>
        <v>2022</v>
      </c>
      <c r="N16" s="14">
        <f t="shared" si="14"/>
        <v>2023</v>
      </c>
      <c r="O16" s="14">
        <f t="shared" si="14"/>
        <v>2024</v>
      </c>
      <c r="P16" s="14" t="str">
        <f t="shared" si="14"/>
        <v>AÑO 2</v>
      </c>
      <c r="Q16" s="14" t="str">
        <f t="shared" si="14"/>
        <v>AÑO 3</v>
      </c>
      <c r="R16" s="14" t="str">
        <f t="shared" si="14"/>
        <v>AÑO 4</v>
      </c>
      <c r="S16" s="14" t="str">
        <f t="shared" si="14"/>
        <v>AÑO 5</v>
      </c>
      <c r="T16" s="14" t="str">
        <f t="shared" si="14"/>
        <v>año 2</v>
      </c>
      <c r="U16" s="14" t="str">
        <f t="shared" si="14"/>
        <v>año 3</v>
      </c>
      <c r="V16" s="14" t="str">
        <f t="shared" si="14"/>
        <v>año 4</v>
      </c>
      <c r="W16" s="14" t="str">
        <f t="shared" si="14"/>
        <v>año 5</v>
      </c>
    </row>
    <row r="17" spans="1:24">
      <c r="A17" s="21">
        <f>A3</f>
        <v>1</v>
      </c>
      <c r="B17" s="151" t="str">
        <f>B3</f>
        <v xml:space="preserve">	Venta de paquetes virtuales de asesoría en sistemas de gestión</v>
      </c>
      <c r="C17" s="38">
        <f>C3</f>
        <v>60</v>
      </c>
      <c r="D17" s="218">
        <v>900000</v>
      </c>
      <c r="E17" s="22">
        <f>C17*D17</f>
        <v>54000000</v>
      </c>
      <c r="F17" s="23">
        <f>IF($E$27=0,0,E17/$E$27)</f>
        <v>0.29347826086956524</v>
      </c>
      <c r="L17" s="14">
        <f t="shared" ref="L17:L26" si="15">C17*(1+G3)</f>
        <v>62.400000000000006</v>
      </c>
      <c r="M17" s="14">
        <f>L17*(1+H3)</f>
        <v>64.896000000000015</v>
      </c>
      <c r="N17" s="14">
        <f t="shared" ref="N17:O17" si="16">M17*(1+I3)</f>
        <v>68.140800000000013</v>
      </c>
      <c r="O17" s="14">
        <f t="shared" si="16"/>
        <v>71.547840000000022</v>
      </c>
      <c r="P17" s="39">
        <f>D17*(1+'1'!$Z$5)</f>
        <v>930600</v>
      </c>
      <c r="Q17" s="25">
        <f>P17*(1+'1'!$AA$5)</f>
        <v>962240.4</v>
      </c>
      <c r="R17" s="25">
        <f>Q17*(1+'1'!$AB$5)</f>
        <v>994956.5736</v>
      </c>
      <c r="S17" s="25">
        <f>R17*(1+'1'!$AC$5)</f>
        <v>1028785.0971024</v>
      </c>
      <c r="T17" s="39">
        <f t="shared" ref="T17:U19" si="17">L17*P17</f>
        <v>58069440.000000007</v>
      </c>
      <c r="U17" s="26">
        <f t="shared" si="17"/>
        <v>62445552.998400018</v>
      </c>
      <c r="V17" s="26">
        <f t="shared" ref="V17:W17" si="18">N17*R17</f>
        <v>67797136.890362889</v>
      </c>
      <c r="W17" s="26">
        <f t="shared" si="18"/>
        <v>73607351.521867007</v>
      </c>
      <c r="X17" s="26"/>
    </row>
    <row r="18" spans="1:24">
      <c r="A18" s="21">
        <f t="shared" ref="A18:B25" si="19">A4</f>
        <v>2</v>
      </c>
      <c r="B18" s="152" t="str">
        <f t="shared" si="19"/>
        <v>Venta de documentación de sistemas de gestión</v>
      </c>
      <c r="C18" s="38">
        <f t="shared" ref="C18:C26" si="20">C4</f>
        <v>60</v>
      </c>
      <c r="D18" s="218">
        <v>1900000</v>
      </c>
      <c r="E18" s="22">
        <f t="shared" ref="E18:E26" si="21">C18*D18</f>
        <v>114000000</v>
      </c>
      <c r="F18" s="23">
        <f t="shared" ref="F18:F26" si="22">IF($E$27=0,0,E18/$E$27)</f>
        <v>0.61956521739130432</v>
      </c>
      <c r="L18" s="14">
        <f t="shared" si="15"/>
        <v>62.400000000000006</v>
      </c>
      <c r="M18" s="14">
        <f t="shared" ref="M18:M26" si="23">L18*(1+H4)</f>
        <v>64.896000000000015</v>
      </c>
      <c r="N18" s="14">
        <f t="shared" ref="N18:N26" si="24">M18*(1+I4)</f>
        <v>67.491840000000025</v>
      </c>
      <c r="O18" s="14">
        <f t="shared" ref="O18:O26" si="25">N18*(1+J4)</f>
        <v>70.191513600000022</v>
      </c>
      <c r="P18" s="39">
        <f>D18*(1+'1'!$Z$5)</f>
        <v>1964600</v>
      </c>
      <c r="Q18" s="25">
        <f>P18*(1+'1'!$AA$5)</f>
        <v>2031396.4000000001</v>
      </c>
      <c r="R18" s="25">
        <f>Q18*(1+'1'!$AB$5)</f>
        <v>2100463.8776000002</v>
      </c>
      <c r="S18" s="25">
        <f>R18*(1+'1'!$AC$5)</f>
        <v>2171879.6494384003</v>
      </c>
      <c r="T18" s="39">
        <f t="shared" si="17"/>
        <v>122591040.00000001</v>
      </c>
      <c r="U18" s="26">
        <f t="shared" si="17"/>
        <v>131829500.77440004</v>
      </c>
      <c r="V18" s="26">
        <f t="shared" ref="V18:V26" si="26">N18*R18</f>
        <v>141764171.95275885</v>
      </c>
      <c r="W18" s="26">
        <f t="shared" ref="W18:W26" si="27">O18*S18</f>
        <v>152447519.95111877</v>
      </c>
      <c r="X18" s="26"/>
    </row>
    <row r="19" spans="1:24">
      <c r="A19" s="21">
        <f t="shared" si="19"/>
        <v>3</v>
      </c>
      <c r="B19" s="152" t="str">
        <f t="shared" si="19"/>
        <v>Alquiler de plataforma de sistemas de gestión</v>
      </c>
      <c r="C19" s="38">
        <f t="shared" si="20"/>
        <v>65</v>
      </c>
      <c r="D19" s="13">
        <v>200000</v>
      </c>
      <c r="E19" s="22">
        <f t="shared" si="21"/>
        <v>13000000</v>
      </c>
      <c r="F19" s="23">
        <f t="shared" si="22"/>
        <v>7.0652173913043473E-2</v>
      </c>
      <c r="L19" s="14">
        <f t="shared" si="15"/>
        <v>66.3</v>
      </c>
      <c r="M19" s="14">
        <f t="shared" si="23"/>
        <v>67.626000000000005</v>
      </c>
      <c r="N19" s="14">
        <f t="shared" si="24"/>
        <v>68.978520000000003</v>
      </c>
      <c r="O19" s="14">
        <f t="shared" si="25"/>
        <v>70.358090400000009</v>
      </c>
      <c r="P19" s="39">
        <f>D19*(1+'1'!$Z$5)</f>
        <v>206800</v>
      </c>
      <c r="Q19" s="25">
        <f>P19*(1+'1'!$AA$5)</f>
        <v>213831.2</v>
      </c>
      <c r="R19" s="25">
        <f>Q19*(1+'1'!$AB$5)</f>
        <v>221101.46080000003</v>
      </c>
      <c r="S19" s="25">
        <f>R19*(1+'1'!$AC$5)</f>
        <v>228618.91046720004</v>
      </c>
      <c r="T19" s="39">
        <f t="shared" si="17"/>
        <v>13710840</v>
      </c>
      <c r="U19" s="26">
        <f t="shared" si="17"/>
        <v>14460548.731200002</v>
      </c>
      <c r="V19" s="26">
        <f t="shared" si="26"/>
        <v>15251251.535822019</v>
      </c>
      <c r="W19" s="26">
        <f t="shared" si="27"/>
        <v>16085189.969800768</v>
      </c>
      <c r="X19" s="26"/>
    </row>
    <row r="20" spans="1:24">
      <c r="A20" s="21">
        <f t="shared" si="19"/>
        <v>4</v>
      </c>
      <c r="B20" s="152" t="str">
        <f t="shared" si="19"/>
        <v>Franquicia</v>
      </c>
      <c r="C20" s="38">
        <f t="shared" si="20"/>
        <v>2</v>
      </c>
      <c r="D20" s="13">
        <v>1500000</v>
      </c>
      <c r="E20" s="22">
        <f t="shared" si="21"/>
        <v>3000000</v>
      </c>
      <c r="F20" s="23">
        <f t="shared" si="22"/>
        <v>1.6304347826086956E-2</v>
      </c>
      <c r="L20" s="14">
        <f t="shared" si="15"/>
        <v>2</v>
      </c>
      <c r="M20" s="14">
        <f t="shared" si="23"/>
        <v>2</v>
      </c>
      <c r="N20" s="14">
        <f t="shared" si="24"/>
        <v>2</v>
      </c>
      <c r="O20" s="14">
        <f t="shared" si="25"/>
        <v>3</v>
      </c>
      <c r="P20" s="39">
        <f>D20*(1+'1'!$Z$5)</f>
        <v>1551000</v>
      </c>
      <c r="Q20" s="25">
        <f>P20*(1+'1'!$AA$5)</f>
        <v>1603734</v>
      </c>
      <c r="R20" s="25">
        <f>Q20*(1+'1'!$AB$5)</f>
        <v>1658260.956</v>
      </c>
      <c r="S20" s="25">
        <f>R20*(1+'1'!$AC$5)</f>
        <v>1714641.8285040001</v>
      </c>
      <c r="T20" s="39">
        <f t="shared" ref="T20:T26" si="28">L20*P20</f>
        <v>3102000</v>
      </c>
      <c r="U20" s="26">
        <f t="shared" ref="U20:U26" si="29">M20*Q20</f>
        <v>3207468</v>
      </c>
      <c r="V20" s="26">
        <f t="shared" si="26"/>
        <v>3316521.912</v>
      </c>
      <c r="W20" s="26">
        <f t="shared" si="27"/>
        <v>5143925.4855120005</v>
      </c>
      <c r="X20" s="26"/>
    </row>
    <row r="21" spans="1:24">
      <c r="A21" s="21">
        <f t="shared" si="19"/>
        <v>5</v>
      </c>
      <c r="B21" s="40">
        <f t="shared" si="19"/>
        <v>0</v>
      </c>
      <c r="C21" s="38">
        <f t="shared" si="20"/>
        <v>0</v>
      </c>
      <c r="D21" s="13">
        <v>0</v>
      </c>
      <c r="E21" s="22">
        <f t="shared" si="21"/>
        <v>0</v>
      </c>
      <c r="F21" s="23">
        <f t="shared" si="22"/>
        <v>0</v>
      </c>
      <c r="L21" s="14">
        <f t="shared" si="15"/>
        <v>0</v>
      </c>
      <c r="M21" s="14">
        <f t="shared" si="23"/>
        <v>0</v>
      </c>
      <c r="N21" s="14">
        <f t="shared" si="24"/>
        <v>0</v>
      </c>
      <c r="O21" s="14">
        <f t="shared" si="25"/>
        <v>0</v>
      </c>
      <c r="P21" s="39">
        <f>D21*(1+'1'!$Z$5)</f>
        <v>0</v>
      </c>
      <c r="Q21" s="25">
        <f>P21*(1+'1'!$AA$5)</f>
        <v>0</v>
      </c>
      <c r="R21" s="25">
        <f>Q21*(1+'1'!$AB$5)</f>
        <v>0</v>
      </c>
      <c r="S21" s="25">
        <f>R21*(1+'1'!$AC$5)</f>
        <v>0</v>
      </c>
      <c r="T21" s="39">
        <f t="shared" si="28"/>
        <v>0</v>
      </c>
      <c r="U21" s="26">
        <f t="shared" si="29"/>
        <v>0</v>
      </c>
      <c r="V21" s="26">
        <f t="shared" si="26"/>
        <v>0</v>
      </c>
      <c r="W21" s="26">
        <f t="shared" si="27"/>
        <v>0</v>
      </c>
      <c r="X21" s="26"/>
    </row>
    <row r="22" spans="1:24">
      <c r="A22" s="21">
        <f t="shared" si="19"/>
        <v>6</v>
      </c>
      <c r="B22" s="40">
        <f t="shared" si="19"/>
        <v>0</v>
      </c>
      <c r="C22" s="38">
        <f t="shared" si="20"/>
        <v>0</v>
      </c>
      <c r="D22" s="13">
        <v>0</v>
      </c>
      <c r="E22" s="22">
        <f t="shared" si="21"/>
        <v>0</v>
      </c>
      <c r="F22" s="23">
        <f t="shared" si="22"/>
        <v>0</v>
      </c>
      <c r="L22" s="14">
        <f t="shared" si="15"/>
        <v>0</v>
      </c>
      <c r="M22" s="14">
        <f t="shared" si="23"/>
        <v>0</v>
      </c>
      <c r="N22" s="14">
        <f t="shared" si="24"/>
        <v>0</v>
      </c>
      <c r="O22" s="14">
        <f t="shared" si="25"/>
        <v>0</v>
      </c>
      <c r="P22" s="39">
        <f>D22*(1+'1'!$Z$5)</f>
        <v>0</v>
      </c>
      <c r="Q22" s="25">
        <f>P22*(1+'1'!$AA$5)</f>
        <v>0</v>
      </c>
      <c r="R22" s="25">
        <f>Q22*(1+'1'!$AB$5)</f>
        <v>0</v>
      </c>
      <c r="S22" s="25">
        <f>R22*(1+'1'!$AC$5)</f>
        <v>0</v>
      </c>
      <c r="T22" s="39">
        <f t="shared" si="28"/>
        <v>0</v>
      </c>
      <c r="U22" s="26">
        <f t="shared" si="29"/>
        <v>0</v>
      </c>
      <c r="V22" s="26">
        <f t="shared" si="26"/>
        <v>0</v>
      </c>
      <c r="W22" s="26">
        <f t="shared" si="27"/>
        <v>0</v>
      </c>
      <c r="X22" s="26"/>
    </row>
    <row r="23" spans="1:24">
      <c r="A23" s="21">
        <f t="shared" si="19"/>
        <v>7</v>
      </c>
      <c r="B23" s="40">
        <f t="shared" si="19"/>
        <v>0</v>
      </c>
      <c r="C23" s="38">
        <f t="shared" si="20"/>
        <v>0</v>
      </c>
      <c r="D23" s="13">
        <v>0</v>
      </c>
      <c r="E23" s="22">
        <f t="shared" si="21"/>
        <v>0</v>
      </c>
      <c r="F23" s="23">
        <f t="shared" si="22"/>
        <v>0</v>
      </c>
      <c r="L23" s="14">
        <f t="shared" si="15"/>
        <v>0</v>
      </c>
      <c r="M23" s="14">
        <f t="shared" si="23"/>
        <v>0</v>
      </c>
      <c r="N23" s="14">
        <f t="shared" si="24"/>
        <v>0</v>
      </c>
      <c r="O23" s="14">
        <f t="shared" si="25"/>
        <v>0</v>
      </c>
      <c r="P23" s="39">
        <f>D23*(1+'1'!$Z$5)</f>
        <v>0</v>
      </c>
      <c r="Q23" s="25">
        <f>P23*(1+'1'!$AA$5)</f>
        <v>0</v>
      </c>
      <c r="R23" s="25">
        <f>Q23*(1+'1'!$AB$5)</f>
        <v>0</v>
      </c>
      <c r="S23" s="25">
        <f>R23*(1+'1'!$AC$5)</f>
        <v>0</v>
      </c>
      <c r="T23" s="39">
        <f t="shared" si="28"/>
        <v>0</v>
      </c>
      <c r="U23" s="26">
        <f t="shared" si="29"/>
        <v>0</v>
      </c>
      <c r="V23" s="26">
        <f t="shared" si="26"/>
        <v>0</v>
      </c>
      <c r="W23" s="26">
        <f t="shared" si="27"/>
        <v>0</v>
      </c>
      <c r="X23" s="26"/>
    </row>
    <row r="24" spans="1:24">
      <c r="A24" s="21">
        <f t="shared" si="19"/>
        <v>8</v>
      </c>
      <c r="B24" s="40">
        <f t="shared" si="19"/>
        <v>0</v>
      </c>
      <c r="C24" s="38">
        <f t="shared" si="20"/>
        <v>0</v>
      </c>
      <c r="D24" s="13">
        <v>0</v>
      </c>
      <c r="E24" s="22">
        <f t="shared" si="21"/>
        <v>0</v>
      </c>
      <c r="F24" s="23">
        <f t="shared" si="22"/>
        <v>0</v>
      </c>
      <c r="L24" s="14">
        <f t="shared" si="15"/>
        <v>0</v>
      </c>
      <c r="M24" s="14">
        <f t="shared" si="23"/>
        <v>0</v>
      </c>
      <c r="N24" s="14">
        <f t="shared" si="24"/>
        <v>0</v>
      </c>
      <c r="O24" s="14">
        <f t="shared" si="25"/>
        <v>0</v>
      </c>
      <c r="P24" s="39">
        <f>D24*(1+'1'!$Z$5)</f>
        <v>0</v>
      </c>
      <c r="Q24" s="25">
        <f>P24*(1+'1'!$AA$5)</f>
        <v>0</v>
      </c>
      <c r="R24" s="25">
        <f>Q24*(1+'1'!$AB$5)</f>
        <v>0</v>
      </c>
      <c r="S24" s="25">
        <f>R24*(1+'1'!$AC$5)</f>
        <v>0</v>
      </c>
      <c r="T24" s="39">
        <f t="shared" si="28"/>
        <v>0</v>
      </c>
      <c r="U24" s="26">
        <f t="shared" si="29"/>
        <v>0</v>
      </c>
      <c r="V24" s="26">
        <f t="shared" si="26"/>
        <v>0</v>
      </c>
      <c r="W24" s="26">
        <f t="shared" si="27"/>
        <v>0</v>
      </c>
      <c r="X24" s="26"/>
    </row>
    <row r="25" spans="1:24">
      <c r="A25" s="21">
        <f t="shared" si="19"/>
        <v>9</v>
      </c>
      <c r="B25" s="40">
        <f t="shared" si="19"/>
        <v>0</v>
      </c>
      <c r="C25" s="38">
        <f t="shared" si="20"/>
        <v>0</v>
      </c>
      <c r="D25" s="13">
        <v>0</v>
      </c>
      <c r="E25" s="22">
        <f t="shared" si="21"/>
        <v>0</v>
      </c>
      <c r="F25" s="23">
        <f t="shared" si="22"/>
        <v>0</v>
      </c>
      <c r="L25" s="14">
        <f t="shared" si="15"/>
        <v>0</v>
      </c>
      <c r="M25" s="14">
        <f t="shared" si="23"/>
        <v>0</v>
      </c>
      <c r="N25" s="14">
        <f t="shared" si="24"/>
        <v>0</v>
      </c>
      <c r="O25" s="14">
        <f t="shared" si="25"/>
        <v>0</v>
      </c>
      <c r="P25" s="39">
        <f>D25*(1+'1'!$Z$5)</f>
        <v>0</v>
      </c>
      <c r="Q25" s="25">
        <f>P25*(1+'1'!$AA$5)</f>
        <v>0</v>
      </c>
      <c r="R25" s="25">
        <f>Q25*(1+'1'!$AB$5)</f>
        <v>0</v>
      </c>
      <c r="S25" s="25">
        <f>R25*(1+'1'!$AC$5)</f>
        <v>0</v>
      </c>
      <c r="T25" s="39">
        <f t="shared" si="28"/>
        <v>0</v>
      </c>
      <c r="U25" s="26">
        <f t="shared" si="29"/>
        <v>0</v>
      </c>
      <c r="V25" s="26">
        <f t="shared" si="26"/>
        <v>0</v>
      </c>
      <c r="W25" s="26">
        <f t="shared" si="27"/>
        <v>0</v>
      </c>
      <c r="X25" s="26"/>
    </row>
    <row r="26" spans="1:24">
      <c r="A26" s="21">
        <f>A12</f>
        <v>10</v>
      </c>
      <c r="B26" s="40">
        <f t="shared" ref="B26" si="30">B12</f>
        <v>0</v>
      </c>
      <c r="C26" s="38">
        <f t="shared" si="20"/>
        <v>0</v>
      </c>
      <c r="D26" s="13">
        <v>0</v>
      </c>
      <c r="E26" s="22">
        <f t="shared" si="21"/>
        <v>0</v>
      </c>
      <c r="F26" s="23">
        <f t="shared" si="22"/>
        <v>0</v>
      </c>
      <c r="L26" s="14">
        <f t="shared" si="15"/>
        <v>0</v>
      </c>
      <c r="M26" s="14">
        <f t="shared" si="23"/>
        <v>0</v>
      </c>
      <c r="N26" s="14">
        <f t="shared" si="24"/>
        <v>0</v>
      </c>
      <c r="O26" s="14">
        <f t="shared" si="25"/>
        <v>0</v>
      </c>
      <c r="P26" s="39">
        <f>D26*(1+'1'!$Z$5)</f>
        <v>0</v>
      </c>
      <c r="Q26" s="25">
        <f>P26*(1+'1'!$AA$5)</f>
        <v>0</v>
      </c>
      <c r="R26" s="25">
        <f>Q26*(1+'1'!$AB$5)</f>
        <v>0</v>
      </c>
      <c r="S26" s="25">
        <f>R26*(1+'1'!$AC$5)</f>
        <v>0</v>
      </c>
      <c r="T26" s="39">
        <f t="shared" si="28"/>
        <v>0</v>
      </c>
      <c r="U26" s="26">
        <f t="shared" si="29"/>
        <v>0</v>
      </c>
      <c r="V26" s="26">
        <f t="shared" si="26"/>
        <v>0</v>
      </c>
      <c r="W26" s="26">
        <f t="shared" si="27"/>
        <v>0</v>
      </c>
      <c r="X26" s="26"/>
    </row>
    <row r="27" spans="1:24">
      <c r="D27" s="14" t="str">
        <f>D13</f>
        <v>TOTAL</v>
      </c>
      <c r="E27" s="32">
        <f>SUM(E17:E26)</f>
        <v>184000000</v>
      </c>
      <c r="F27" s="33">
        <f>SUM(F17:F26)</f>
        <v>1</v>
      </c>
      <c r="T27" s="34">
        <f>SUM(T17:T26)</f>
        <v>197473320.00000003</v>
      </c>
      <c r="U27" s="34">
        <f>SUM(U17:U26)</f>
        <v>211943070.50400007</v>
      </c>
      <c r="V27" s="34">
        <f t="shared" ref="V27:W27" si="31">SUM(V17:V26)</f>
        <v>228129082.29094374</v>
      </c>
      <c r="W27" s="34">
        <f t="shared" si="31"/>
        <v>247283986.92829853</v>
      </c>
      <c r="X27" s="26"/>
    </row>
    <row r="30" spans="1:24">
      <c r="A30" s="233" t="s">
        <v>20</v>
      </c>
      <c r="B30" s="233"/>
      <c r="C30" s="233"/>
      <c r="D30" s="233"/>
      <c r="E30" s="233"/>
      <c r="F30" s="233"/>
    </row>
    <row r="31" spans="1:24" ht="25.5">
      <c r="A31" s="220" t="s">
        <v>11</v>
      </c>
      <c r="B31" s="41">
        <f>'1'!Z1</f>
        <v>2020</v>
      </c>
      <c r="C31" s="41">
        <f>B31+1</f>
        <v>2021</v>
      </c>
      <c r="D31" s="41">
        <f>C31+1</f>
        <v>2022</v>
      </c>
      <c r="E31" s="41">
        <f>D31+1</f>
        <v>2023</v>
      </c>
      <c r="F31" s="41">
        <f>E31+1</f>
        <v>2024</v>
      </c>
      <c r="H31" s="42"/>
      <c r="I31" s="42"/>
      <c r="J31" s="42"/>
      <c r="K31" s="42"/>
      <c r="L31" s="42"/>
      <c r="M31" s="42"/>
      <c r="N31" s="42"/>
      <c r="O31" s="42"/>
      <c r="P31" s="42"/>
      <c r="Q31" s="42"/>
      <c r="R31" s="42"/>
      <c r="S31" s="42"/>
      <c r="T31" s="42"/>
      <c r="U31" s="42"/>
      <c r="V31" s="42"/>
    </row>
    <row r="32" spans="1:24">
      <c r="A32" s="43" t="s">
        <v>21</v>
      </c>
      <c r="B32" s="44">
        <f>'1'!E13</f>
        <v>422000000</v>
      </c>
      <c r="C32" s="45">
        <f>'1'!T13</f>
        <v>450344480.00000012</v>
      </c>
      <c r="D32" s="45">
        <f>'1'!U13</f>
        <v>480019658.70992011</v>
      </c>
      <c r="E32" s="45">
        <f>'1'!V13</f>
        <v>512499264.05603522</v>
      </c>
      <c r="F32" s="45">
        <f>'1'!W13</f>
        <v>552815292.22654164</v>
      </c>
    </row>
    <row r="33" spans="1:6">
      <c r="A33" s="43" t="s">
        <v>22</v>
      </c>
      <c r="B33" s="44">
        <f>'1'!E27</f>
        <v>184000000</v>
      </c>
      <c r="C33" s="44">
        <f>'1'!T27</f>
        <v>197473320.00000003</v>
      </c>
      <c r="D33" s="44">
        <f>'1'!U27</f>
        <v>211943070.50400007</v>
      </c>
      <c r="E33" s="44">
        <f>'1'!V27</f>
        <v>228129082.29094374</v>
      </c>
      <c r="F33" s="44">
        <f>'1'!W27</f>
        <v>247283986.92829853</v>
      </c>
    </row>
    <row r="34" spans="1:6" ht="15.75" thickBot="1">
      <c r="A34" s="46" t="s">
        <v>23</v>
      </c>
      <c r="B34" s="50">
        <f>B32-B33</f>
        <v>238000000</v>
      </c>
      <c r="C34" s="50">
        <f t="shared" ref="C34:D34" si="32">C32-C33</f>
        <v>252871160.00000009</v>
      </c>
      <c r="D34" s="50">
        <f t="shared" si="32"/>
        <v>268076588.20592004</v>
      </c>
      <c r="E34" s="50">
        <f t="shared" ref="E34" si="33">E32-E33</f>
        <v>284370181.76509148</v>
      </c>
      <c r="F34" s="50">
        <f t="shared" ref="F34" si="34">F32-F33</f>
        <v>305531305.29824311</v>
      </c>
    </row>
    <row r="35" spans="1:6" ht="15.75" thickTop="1"/>
  </sheetData>
  <sheetProtection algorithmName="SHA-512" hashValue="8g82fNp+/dgb8aWUbnoWNygTCnEq8jxF4R2zJz+YfMYRO6qH+qGorX1Y62J8UlMxWygRykBgf0ZE3ghDMMTriw==" saltValue="D2MPF0b0AQCeTB9b/y/l0A==" spinCount="100000" sheet="1" objects="1" scenarios="1" formatCells="0" formatColumns="0" formatRows="0"/>
  <customSheetViews>
    <customSheetView guid="{D031F759-B892-43F4-943A-9CD4A624A3F4}" showPageBreaks="1" showGridLines="0">
      <pane xSplit="6" ySplit="2" topLeftCell="G17" activePane="bottomRight" state="frozenSplit"/>
      <selection pane="bottomRight" activeCell="A30" sqref="A30:F35"/>
    </customSheetView>
  </customSheetViews>
  <mergeCells count="6">
    <mergeCell ref="AA2:AD2"/>
    <mergeCell ref="A30:F30"/>
    <mergeCell ref="A1:E1"/>
    <mergeCell ref="A15:E15"/>
    <mergeCell ref="G1:J1"/>
    <mergeCell ref="Y2:Z2"/>
  </mergeCells>
  <conditionalFormatting sqref="B34:F34">
    <cfRule type="cellIs" dxfId="6" priority="1" operator="lessThan">
      <formula>0</formula>
    </cfRule>
  </conditionalFormatting>
  <pageMargins left="0.7" right="0.7" top="0.75" bottom="0.75" header="0.3" footer="0.3"/>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Hoja2"/>
  <dimension ref="B1:K32"/>
  <sheetViews>
    <sheetView showGridLines="0" zoomScale="90" zoomScaleNormal="90" workbookViewId="0">
      <pane ySplit="15" topLeftCell="A16" activePane="bottomLeft" state="frozenSplit"/>
      <selection pane="bottomLeft" activeCell="B26" sqref="B26"/>
    </sheetView>
  </sheetViews>
  <sheetFormatPr baseColWidth="10" defaultColWidth="10.85546875" defaultRowHeight="15"/>
  <cols>
    <col min="1" max="1" width="5.42578125" style="14" customWidth="1"/>
    <col min="2" max="2" width="32.140625" style="14" bestFit="1" customWidth="1"/>
    <col min="3" max="3" width="20.28515625" style="14" customWidth="1"/>
    <col min="4" max="4" width="10.85546875" style="14"/>
    <col min="5" max="5" width="23.28515625" style="14" customWidth="1"/>
    <col min="6" max="6" width="18.5703125" style="14" bestFit="1" customWidth="1"/>
    <col min="7" max="7" width="15.42578125" style="14" bestFit="1" customWidth="1"/>
    <col min="8" max="16384" width="10.85546875" style="14"/>
  </cols>
  <sheetData>
    <row r="1" spans="2:10" ht="21" customHeight="1">
      <c r="B1" s="238" t="s">
        <v>144</v>
      </c>
      <c r="C1" s="238"/>
      <c r="D1" s="238"/>
      <c r="E1" s="238"/>
      <c r="F1" s="238"/>
      <c r="G1" s="238"/>
      <c r="H1" s="238"/>
    </row>
    <row r="2" spans="2:10" ht="21" customHeight="1">
      <c r="B2" s="238"/>
      <c r="C2" s="238"/>
      <c r="D2" s="238"/>
      <c r="E2" s="238"/>
      <c r="F2" s="238"/>
      <c r="G2" s="238"/>
      <c r="H2" s="238"/>
    </row>
    <row r="3" spans="2:10" ht="18">
      <c r="B3" s="107"/>
      <c r="C3" s="107"/>
      <c r="D3" s="107"/>
      <c r="E3" s="107"/>
      <c r="F3" s="107"/>
      <c r="G3" s="107"/>
      <c r="H3" s="107"/>
    </row>
    <row r="4" spans="2:10">
      <c r="C4" s="21" t="s">
        <v>143</v>
      </c>
      <c r="F4" s="67" t="s">
        <v>98</v>
      </c>
      <c r="G4" s="67"/>
    </row>
    <row r="5" spans="2:10">
      <c r="B5" s="46" t="s">
        <v>47</v>
      </c>
      <c r="C5" s="218">
        <v>0</v>
      </c>
      <c r="E5" s="46" t="s">
        <v>145</v>
      </c>
      <c r="F5" s="67"/>
      <c r="G5" s="67"/>
      <c r="J5" s="102" t="s">
        <v>171</v>
      </c>
    </row>
    <row r="6" spans="2:10" ht="15.75">
      <c r="B6" s="46" t="s">
        <v>50</v>
      </c>
      <c r="C6" s="218">
        <v>30000000</v>
      </c>
      <c r="E6" s="13">
        <v>14000000</v>
      </c>
      <c r="F6" s="67">
        <v>10</v>
      </c>
      <c r="G6" s="68">
        <f>C6/F6</f>
        <v>3000000</v>
      </c>
      <c r="J6" s="198" t="str">
        <f>'1'!AA2</f>
        <v>GOALGESTOR</v>
      </c>
    </row>
    <row r="7" spans="2:10">
      <c r="B7" s="46" t="s">
        <v>48</v>
      </c>
      <c r="C7" s="218">
        <v>4000000</v>
      </c>
      <c r="F7" s="67">
        <v>5</v>
      </c>
      <c r="G7" s="68">
        <f t="shared" ref="G7:G12" si="0">C7/F7</f>
        <v>800000</v>
      </c>
    </row>
    <row r="8" spans="2:10">
      <c r="B8" s="46" t="s">
        <v>49</v>
      </c>
      <c r="C8" s="218">
        <v>6000000</v>
      </c>
      <c r="F8" s="67">
        <v>5</v>
      </c>
      <c r="G8" s="68">
        <f t="shared" si="0"/>
        <v>1200000</v>
      </c>
    </row>
    <row r="9" spans="2:10">
      <c r="B9" s="46" t="s">
        <v>51</v>
      </c>
      <c r="C9" s="218">
        <v>0</v>
      </c>
      <c r="F9" s="67">
        <v>5</v>
      </c>
      <c r="G9" s="68">
        <f t="shared" si="0"/>
        <v>0</v>
      </c>
    </row>
    <row r="10" spans="2:10">
      <c r="B10" s="46" t="s">
        <v>52</v>
      </c>
      <c r="C10" s="218">
        <v>0</v>
      </c>
      <c r="F10" s="67">
        <v>5</v>
      </c>
      <c r="G10" s="68">
        <f t="shared" si="0"/>
        <v>0</v>
      </c>
    </row>
    <row r="11" spans="2:10">
      <c r="B11" s="46" t="s">
        <v>53</v>
      </c>
      <c r="C11" s="218">
        <v>0</v>
      </c>
      <c r="F11" s="67">
        <v>5</v>
      </c>
      <c r="G11" s="68">
        <f t="shared" si="0"/>
        <v>0</v>
      </c>
    </row>
    <row r="12" spans="2:10">
      <c r="B12" s="46" t="s">
        <v>54</v>
      </c>
      <c r="C12" s="218">
        <v>2000000</v>
      </c>
      <c r="F12" s="67">
        <v>5</v>
      </c>
      <c r="G12" s="68">
        <f t="shared" si="0"/>
        <v>400000</v>
      </c>
    </row>
    <row r="13" spans="2:10" ht="16.5" thickBot="1">
      <c r="B13" s="69" t="s">
        <v>55</v>
      </c>
      <c r="C13" s="227">
        <f>SUM(C5:C12)</f>
        <v>42000000</v>
      </c>
      <c r="F13" s="67"/>
      <c r="G13" s="68">
        <f>SUM(G6:G12)</f>
        <v>5400000</v>
      </c>
    </row>
    <row r="14" spans="2:10">
      <c r="B14" s="239" t="s">
        <v>46</v>
      </c>
      <c r="C14" s="240"/>
      <c r="D14" s="240"/>
      <c r="E14" s="240"/>
      <c r="F14" s="240"/>
      <c r="G14" s="240"/>
      <c r="H14" s="241"/>
    </row>
    <row r="15" spans="2:10" ht="15.75" thickBot="1">
      <c r="B15" s="242"/>
      <c r="C15" s="243"/>
      <c r="D15" s="243"/>
      <c r="E15" s="243"/>
      <c r="F15" s="243"/>
      <c r="G15" s="243"/>
      <c r="H15" s="244"/>
    </row>
    <row r="16" spans="2:10">
      <c r="B16" s="71"/>
      <c r="C16" s="71"/>
      <c r="D16" s="71"/>
      <c r="E16" s="71"/>
      <c r="F16" s="71"/>
      <c r="G16" s="71"/>
      <c r="H16" s="71"/>
    </row>
    <row r="17" spans="2:11">
      <c r="B17" s="69" t="s">
        <v>29</v>
      </c>
      <c r="E17" s="69" t="s">
        <v>37</v>
      </c>
      <c r="F17" s="37"/>
    </row>
    <row r="18" spans="2:11">
      <c r="C18" s="21" t="s">
        <v>31</v>
      </c>
      <c r="F18" s="21" t="str">
        <f>C18</f>
        <v>VALOR AÑO 1</v>
      </c>
    </row>
    <row r="19" spans="2:11">
      <c r="B19" s="72" t="s">
        <v>30</v>
      </c>
      <c r="C19" s="218">
        <v>99792000</v>
      </c>
      <c r="E19" s="73" t="s">
        <v>38</v>
      </c>
      <c r="F19" s="13">
        <v>2500000</v>
      </c>
    </row>
    <row r="20" spans="2:11">
      <c r="C20" s="74"/>
      <c r="E20" s="73" t="s">
        <v>39</v>
      </c>
      <c r="F20" s="13">
        <v>500000</v>
      </c>
      <c r="K20"/>
    </row>
    <row r="21" spans="2:11">
      <c r="B21" s="72" t="s">
        <v>33</v>
      </c>
      <c r="C21" s="13">
        <v>15000000</v>
      </c>
      <c r="E21" s="73" t="s">
        <v>40</v>
      </c>
      <c r="F21" s="13">
        <v>200000</v>
      </c>
    </row>
    <row r="22" spans="2:11">
      <c r="C22" s="74"/>
      <c r="E22" s="73" t="s">
        <v>41</v>
      </c>
      <c r="F22" s="13">
        <v>200000</v>
      </c>
    </row>
    <row r="23" spans="2:11">
      <c r="B23" s="72" t="s">
        <v>34</v>
      </c>
      <c r="C23" s="218">
        <v>64680000</v>
      </c>
      <c r="E23" s="73" t="s">
        <v>42</v>
      </c>
      <c r="F23" s="13">
        <v>150000</v>
      </c>
    </row>
    <row r="24" spans="2:11" ht="15.75">
      <c r="B24" s="72" t="s">
        <v>60</v>
      </c>
      <c r="C24" s="70">
        <f>C19+C21+C23</f>
        <v>179472000</v>
      </c>
      <c r="E24" s="73" t="s">
        <v>43</v>
      </c>
      <c r="F24" s="13">
        <v>12000000</v>
      </c>
    </row>
    <row r="25" spans="2:11">
      <c r="E25" s="73" t="s">
        <v>44</v>
      </c>
      <c r="F25" s="13">
        <v>12000000</v>
      </c>
    </row>
    <row r="26" spans="2:11">
      <c r="B26" s="73" t="s">
        <v>35</v>
      </c>
      <c r="C26" s="218">
        <v>5000000</v>
      </c>
      <c r="E26" s="104" t="s">
        <v>140</v>
      </c>
      <c r="F26" s="13">
        <v>0</v>
      </c>
    </row>
    <row r="27" spans="2:11" ht="24.75">
      <c r="E27" s="104" t="s">
        <v>179</v>
      </c>
      <c r="F27" s="13">
        <v>1200000</v>
      </c>
    </row>
    <row r="28" spans="2:11" ht="24.75">
      <c r="E28" s="104" t="s">
        <v>180</v>
      </c>
      <c r="F28" s="13">
        <v>1000000</v>
      </c>
    </row>
    <row r="29" spans="2:11" ht="24.75">
      <c r="E29" s="104" t="s">
        <v>181</v>
      </c>
      <c r="F29" s="13">
        <v>500000</v>
      </c>
    </row>
    <row r="30" spans="2:11">
      <c r="E30" s="104" t="s">
        <v>182</v>
      </c>
      <c r="F30" s="13">
        <v>1000000</v>
      </c>
    </row>
    <row r="31" spans="2:11">
      <c r="E31" s="104"/>
      <c r="F31" s="13">
        <v>0</v>
      </c>
    </row>
    <row r="32" spans="2:11" ht="15.75">
      <c r="E32" s="73" t="s">
        <v>45</v>
      </c>
      <c r="F32" s="70">
        <f>SUM(F19:F31)</f>
        <v>31250000</v>
      </c>
    </row>
  </sheetData>
  <sheetProtection password="909C" sheet="1" objects="1" scenarios="1" formatCells="0" formatColumns="0" formatRows="0"/>
  <customSheetViews>
    <customSheetView guid="{D031F759-B892-43F4-943A-9CD4A624A3F4}" showPageBreaks="1" showGridLines="0">
      <pane ySplit="14" topLeftCell="A15" activePane="bottomLeft" state="frozenSplit"/>
      <selection pane="bottomLeft"/>
    </customSheetView>
  </customSheetViews>
  <mergeCells count="2">
    <mergeCell ref="B1:H2"/>
    <mergeCell ref="B14:H15"/>
  </mergeCells>
  <pageMargins left="0.7" right="0.7" top="0.75" bottom="0.75" header="0.3" footer="0.3"/>
  <pageSetup paperSize="9" orientation="portrait"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Hoja3"/>
  <dimension ref="B1:AV69"/>
  <sheetViews>
    <sheetView showGridLines="0" topLeftCell="A4" zoomScale="90" zoomScaleNormal="90" workbookViewId="0">
      <selection activeCell="B22" sqref="B22"/>
    </sheetView>
  </sheetViews>
  <sheetFormatPr baseColWidth="10" defaultColWidth="10.85546875" defaultRowHeight="15"/>
  <cols>
    <col min="1" max="1" width="4" style="14" customWidth="1"/>
    <col min="2" max="2" width="49" style="14" customWidth="1"/>
    <col min="3" max="3" width="18.5703125" style="14" bestFit="1" customWidth="1"/>
    <col min="4" max="4" width="23.140625" style="14" bestFit="1" customWidth="1"/>
    <col min="5" max="5" width="5" style="14" customWidth="1"/>
    <col min="6" max="6" width="14.7109375" style="14" bestFit="1" customWidth="1"/>
    <col min="7" max="7" width="14.140625" style="14" bestFit="1" customWidth="1"/>
    <col min="8" max="8" width="14.42578125" style="14" customWidth="1"/>
    <col min="9" max="9" width="16.140625" style="14" bestFit="1" customWidth="1"/>
    <col min="10" max="10" width="15.7109375" style="14" customWidth="1"/>
    <col min="11" max="11" width="10.85546875" style="14"/>
    <col min="12" max="12" width="10.85546875" style="130" hidden="1" customWidth="1"/>
    <col min="13" max="13" width="13" style="130" hidden="1" customWidth="1"/>
    <col min="14" max="14" width="14" style="130" hidden="1" customWidth="1"/>
    <col min="15" max="15" width="10.85546875" style="130" hidden="1" customWidth="1"/>
    <col min="16" max="16" width="12.85546875" style="130" hidden="1" customWidth="1"/>
    <col min="17" max="21" width="10.85546875" style="130" hidden="1" customWidth="1"/>
    <col min="22" max="22" width="12.85546875" style="130" hidden="1" customWidth="1"/>
    <col min="23" max="27" width="10.85546875" style="130" hidden="1" customWidth="1"/>
    <col min="28" max="28" width="12.85546875" style="130" hidden="1" customWidth="1"/>
    <col min="29" max="29" width="10.85546875" style="130" hidden="1" customWidth="1"/>
    <col min="30" max="30" width="10.85546875" style="209" hidden="1" customWidth="1"/>
    <col min="31" max="31" width="4.7109375" style="131" hidden="1" customWidth="1"/>
    <col min="32" max="32" width="11.42578125" style="131" hidden="1" customWidth="1"/>
    <col min="33" max="33" width="11.42578125" style="14" hidden="1" customWidth="1"/>
    <col min="34" max="34" width="0" style="14" hidden="1" customWidth="1"/>
    <col min="35" max="35" width="12.42578125" style="14" hidden="1" customWidth="1"/>
    <col min="36" max="40" width="0" style="14" hidden="1" customWidth="1"/>
    <col min="41" max="41" width="12.140625" style="14" hidden="1" customWidth="1"/>
    <col min="42" max="46" width="0" style="14" hidden="1" customWidth="1"/>
    <col min="47" max="47" width="12.42578125" style="14" hidden="1" customWidth="1"/>
    <col min="48" max="16384" width="10.85546875" style="14"/>
  </cols>
  <sheetData>
    <row r="1" spans="2:47">
      <c r="K1" s="67"/>
    </row>
    <row r="2" spans="2:47" ht="29.25" customHeight="1">
      <c r="B2" s="235" t="s">
        <v>122</v>
      </c>
      <c r="C2" s="235"/>
      <c r="D2" s="235"/>
      <c r="E2" s="235"/>
      <c r="F2" s="235"/>
      <c r="G2" s="235"/>
      <c r="H2" s="235"/>
      <c r="I2" s="235"/>
      <c r="J2" s="235"/>
      <c r="K2" s="67"/>
      <c r="L2" s="210">
        <f>L3</f>
        <v>9.4887929345830457E-3</v>
      </c>
      <c r="R2" s="132"/>
      <c r="X2" s="132"/>
      <c r="AD2" s="209" t="s">
        <v>150</v>
      </c>
      <c r="AH2" s="14" t="s">
        <v>175</v>
      </c>
      <c r="AJ2" s="211">
        <f>L2</f>
        <v>9.4887929345830457E-3</v>
      </c>
    </row>
    <row r="3" spans="2:47">
      <c r="D3" s="110" t="s">
        <v>149</v>
      </c>
      <c r="F3" s="254" t="s">
        <v>64</v>
      </c>
      <c r="G3" s="254"/>
      <c r="K3" s="67" t="s">
        <v>151</v>
      </c>
      <c r="L3" s="133">
        <f>((1+$F$4)^(1/12))-1</f>
        <v>9.4887929345830457E-3</v>
      </c>
      <c r="AD3" s="209" t="s">
        <v>151</v>
      </c>
      <c r="AT3" s="14">
        <v>38</v>
      </c>
    </row>
    <row r="4" spans="2:47" ht="15.75">
      <c r="B4" s="16" t="s">
        <v>146</v>
      </c>
      <c r="C4" s="70">
        <f>'2'!C13</f>
        <v>42000000</v>
      </c>
      <c r="D4" s="215" t="s">
        <v>150</v>
      </c>
      <c r="F4" s="255">
        <v>0.12</v>
      </c>
      <c r="G4" s="255"/>
      <c r="I4" s="198" t="str">
        <f>'2'!J6</f>
        <v>GOALGESTOR</v>
      </c>
      <c r="K4" s="67"/>
      <c r="N4" s="130">
        <f>IF($J$20=43,43,0)</f>
        <v>0</v>
      </c>
      <c r="T4" s="130">
        <f>IF($J$20=36,36,0)</f>
        <v>0</v>
      </c>
      <c r="Z4" s="130">
        <f>IF($J$20=50,50,0)</f>
        <v>50</v>
      </c>
      <c r="AE4" s="130"/>
      <c r="AF4" s="130"/>
      <c r="AG4" s="130">
        <f>N4</f>
        <v>0</v>
      </c>
      <c r="AH4" s="130">
        <v>38</v>
      </c>
      <c r="AI4" s="130" t="s">
        <v>178</v>
      </c>
      <c r="AJ4" s="130"/>
      <c r="AK4" s="130"/>
      <c r="AL4" s="130"/>
      <c r="AM4" s="130">
        <f>T4</f>
        <v>0</v>
      </c>
      <c r="AN4" s="130" t="s">
        <v>176</v>
      </c>
      <c r="AO4" s="130"/>
      <c r="AP4" s="130"/>
      <c r="AQ4" s="130"/>
      <c r="AR4" s="130"/>
      <c r="AS4" s="130">
        <f>Z4</f>
        <v>50</v>
      </c>
      <c r="AT4" s="130" t="s">
        <v>177</v>
      </c>
      <c r="AU4" s="130"/>
    </row>
    <row r="5" spans="2:47" ht="15.75">
      <c r="B5" s="16" t="s">
        <v>147</v>
      </c>
      <c r="C5" s="70">
        <f>'2'!E6</f>
        <v>14000000</v>
      </c>
      <c r="AE5" s="130"/>
      <c r="AF5" s="130"/>
      <c r="AG5" s="130"/>
      <c r="AH5" s="130"/>
      <c r="AI5" s="130"/>
      <c r="AJ5" s="130"/>
      <c r="AK5" s="130"/>
      <c r="AL5" s="130"/>
      <c r="AM5" s="130"/>
      <c r="AN5" s="130"/>
      <c r="AO5" s="130"/>
      <c r="AP5" s="130"/>
      <c r="AQ5" s="130"/>
      <c r="AR5" s="130"/>
      <c r="AS5" s="130"/>
      <c r="AT5" s="130"/>
      <c r="AU5" s="130"/>
    </row>
    <row r="6" spans="2:47" ht="30">
      <c r="B6" s="16" t="s">
        <v>56</v>
      </c>
      <c r="F6" s="176" t="s">
        <v>123</v>
      </c>
      <c r="G6" s="176"/>
      <c r="H6" s="176"/>
      <c r="I6" s="176"/>
      <c r="J6" s="176"/>
      <c r="L6" s="130" t="s">
        <v>142</v>
      </c>
      <c r="M6" s="134" t="str">
        <f>G8</f>
        <v>CUOTA A PAGAR</v>
      </c>
      <c r="N6" s="134" t="str">
        <f>H8</f>
        <v>ABONO A CAPITAL</v>
      </c>
      <c r="O6" s="134" t="str">
        <f>I8</f>
        <v>INTERESES</v>
      </c>
      <c r="P6" s="134" t="str">
        <f>J8</f>
        <v>SALDO DE LA DEUDA</v>
      </c>
      <c r="Q6" s="134"/>
      <c r="R6" s="130" t="s">
        <v>142</v>
      </c>
      <c r="S6" s="134" t="str">
        <f>M6</f>
        <v>CUOTA A PAGAR</v>
      </c>
      <c r="T6" s="134" t="str">
        <f t="shared" ref="T6:V6" si="0">N6</f>
        <v>ABONO A CAPITAL</v>
      </c>
      <c r="U6" s="134" t="str">
        <f t="shared" si="0"/>
        <v>INTERESES</v>
      </c>
      <c r="V6" s="134" t="str">
        <f t="shared" si="0"/>
        <v>SALDO DE LA DEUDA</v>
      </c>
      <c r="X6" s="130" t="s">
        <v>142</v>
      </c>
      <c r="Y6" s="134" t="str">
        <f>S6</f>
        <v>CUOTA A PAGAR</v>
      </c>
      <c r="Z6" s="134" t="str">
        <f t="shared" ref="Z6:AB6" si="1">T6</f>
        <v>ABONO A CAPITAL</v>
      </c>
      <c r="AA6" s="134" t="str">
        <f t="shared" si="1"/>
        <v>INTERESES</v>
      </c>
      <c r="AB6" s="134" t="str">
        <f t="shared" si="1"/>
        <v>SALDO DE LA DEUDA</v>
      </c>
      <c r="AE6" s="130" t="s">
        <v>142</v>
      </c>
      <c r="AF6" s="134" t="str">
        <f>Y6</f>
        <v>CUOTA A PAGAR</v>
      </c>
      <c r="AG6" s="134" t="str">
        <f t="shared" ref="AG6:AI6" si="2">Z6</f>
        <v>ABONO A CAPITAL</v>
      </c>
      <c r="AH6" s="134" t="str">
        <f t="shared" si="2"/>
        <v>INTERESES</v>
      </c>
      <c r="AI6" s="134" t="str">
        <f t="shared" si="2"/>
        <v>SALDO DE LA DEUDA</v>
      </c>
      <c r="AJ6" s="134"/>
      <c r="AK6" s="130" t="s">
        <v>142</v>
      </c>
      <c r="AL6" s="134" t="str">
        <f>AF6</f>
        <v>CUOTA A PAGAR</v>
      </c>
      <c r="AM6" s="134" t="str">
        <f t="shared" ref="AM6" si="3">AG6</f>
        <v>ABONO A CAPITAL</v>
      </c>
      <c r="AN6" s="134" t="str">
        <f t="shared" ref="AN6" si="4">AH6</f>
        <v>INTERESES</v>
      </c>
      <c r="AO6" s="134" t="str">
        <f t="shared" ref="AO6" si="5">AI6</f>
        <v>SALDO DE LA DEUDA</v>
      </c>
      <c r="AP6" s="130"/>
      <c r="AQ6" s="130" t="s">
        <v>142</v>
      </c>
      <c r="AR6" s="134" t="str">
        <f>AL6</f>
        <v>CUOTA A PAGAR</v>
      </c>
      <c r="AS6" s="134" t="str">
        <f t="shared" ref="AS6" si="6">AM6</f>
        <v>ABONO A CAPITAL</v>
      </c>
      <c r="AT6" s="134" t="str">
        <f t="shared" ref="AT6" si="7">AN6</f>
        <v>INTERESES</v>
      </c>
      <c r="AU6" s="134" t="str">
        <f t="shared" ref="AU6" si="8">AO6</f>
        <v>SALDO DE LA DEUDA</v>
      </c>
    </row>
    <row r="7" spans="2:47">
      <c r="B7" s="16"/>
      <c r="F7" s="108"/>
      <c r="G7" s="108"/>
      <c r="H7" s="108"/>
      <c r="I7" s="108"/>
      <c r="J7" s="108"/>
      <c r="M7" s="134"/>
      <c r="N7" s="134"/>
      <c r="O7" s="134"/>
      <c r="P7" s="134"/>
      <c r="Q7" s="134"/>
      <c r="S7" s="134"/>
      <c r="T7" s="134"/>
      <c r="U7" s="134"/>
      <c r="V7" s="134"/>
      <c r="Y7" s="134"/>
      <c r="Z7" s="134"/>
      <c r="AA7" s="134"/>
      <c r="AB7" s="134"/>
      <c r="AE7" s="130"/>
      <c r="AF7" s="134"/>
      <c r="AG7" s="134"/>
      <c r="AH7" s="134"/>
      <c r="AI7" s="134"/>
      <c r="AJ7" s="134"/>
      <c r="AK7" s="130"/>
      <c r="AL7" s="134"/>
      <c r="AM7" s="134"/>
      <c r="AN7" s="134"/>
      <c r="AO7" s="134"/>
      <c r="AP7" s="130"/>
      <c r="AQ7" s="130"/>
      <c r="AR7" s="134"/>
      <c r="AS7" s="134"/>
      <c r="AT7" s="134"/>
      <c r="AU7" s="134"/>
    </row>
    <row r="8" spans="2:47" ht="31.5" customHeight="1">
      <c r="B8" s="111" t="s">
        <v>148</v>
      </c>
      <c r="C8" s="75" t="s">
        <v>58</v>
      </c>
      <c r="D8" s="75" t="s">
        <v>59</v>
      </c>
      <c r="F8" s="109" t="s">
        <v>65</v>
      </c>
      <c r="G8" s="109" t="s">
        <v>66</v>
      </c>
      <c r="H8" s="109" t="s">
        <v>67</v>
      </c>
      <c r="I8" s="109" t="s">
        <v>68</v>
      </c>
      <c r="J8" s="109" t="s">
        <v>69</v>
      </c>
      <c r="L8" s="130">
        <v>0</v>
      </c>
      <c r="M8" s="135"/>
      <c r="P8" s="136">
        <f>IF(J9="NO SE REQUIERE PRESTAMO",0,J9)</f>
        <v>37000000</v>
      </c>
      <c r="R8" s="130">
        <v>0</v>
      </c>
      <c r="S8" s="135"/>
      <c r="V8" s="136">
        <f>IF(J9="NO SE REQUIERE PRESTAMO",0,J9)</f>
        <v>37000000</v>
      </c>
      <c r="X8" s="130">
        <v>0</v>
      </c>
      <c r="Y8" s="135"/>
      <c r="AB8" s="136">
        <f>IF(J9="NO SE REQUIERE PRESTAMO",0,J9)</f>
        <v>37000000</v>
      </c>
      <c r="AE8" s="130">
        <v>0</v>
      </c>
      <c r="AF8" s="135"/>
      <c r="AG8" s="130"/>
      <c r="AH8" s="130"/>
      <c r="AI8" s="136">
        <f>IF(AC9="NO SE REQUIERE PRESTAMO",0,AC9)</f>
        <v>0</v>
      </c>
      <c r="AJ8" s="130"/>
      <c r="AK8" s="130">
        <v>0</v>
      </c>
      <c r="AL8" s="135"/>
      <c r="AM8" s="130"/>
      <c r="AN8" s="130"/>
      <c r="AO8" s="136">
        <f>AC9</f>
        <v>0</v>
      </c>
      <c r="AP8" s="130"/>
      <c r="AQ8" s="130">
        <v>0</v>
      </c>
      <c r="AR8" s="135"/>
      <c r="AS8" s="130"/>
      <c r="AT8" s="130"/>
      <c r="AU8" s="136">
        <v>0</v>
      </c>
    </row>
    <row r="9" spans="2:47">
      <c r="B9" s="46" t="s">
        <v>57</v>
      </c>
      <c r="C9" s="51">
        <v>0</v>
      </c>
      <c r="D9" s="25">
        <f>('1'!B33/12)*C9</f>
        <v>0</v>
      </c>
      <c r="F9" s="76">
        <v>0</v>
      </c>
      <c r="G9" s="77"/>
      <c r="H9" s="78"/>
      <c r="I9" s="78"/>
      <c r="J9" s="119">
        <f>IF(D21="NO SE REQUIRE PRESTAMO",0,D21)</f>
        <v>37000000</v>
      </c>
      <c r="L9" s="130">
        <v>1</v>
      </c>
      <c r="M9" s="135">
        <f t="shared" ref="M9:M17" si="9">IF($N$4=43,PMT($L$2,$J$20,$P$8),0)</f>
        <v>0</v>
      </c>
      <c r="N9" s="136">
        <f>IF(M9&lt;0,(M9+O9),0)</f>
        <v>0</v>
      </c>
      <c r="O9" s="136">
        <f t="shared" ref="O9:O17" si="10">IF(M9=0,0,(P8*$L$2))</f>
        <v>0</v>
      </c>
      <c r="P9" s="135">
        <f>IF(N9=0,0,(P8+N9))</f>
        <v>0</v>
      </c>
      <c r="R9" s="130">
        <v>1</v>
      </c>
      <c r="S9" s="135">
        <f t="shared" ref="S9:S17" si="11">IF($T$4=36,PMT($L$2,$J$20,$V$8),0)</f>
        <v>0</v>
      </c>
      <c r="T9" s="136">
        <f>IF(S9&lt;0,(S9+U9),0)</f>
        <v>0</v>
      </c>
      <c r="U9" s="136">
        <f t="shared" ref="U9:U17" si="12">IF(S9=0,0,(V8*$L$2))</f>
        <v>0</v>
      </c>
      <c r="V9" s="135">
        <f>IF(T9=0,0,(V8+T9))</f>
        <v>0</v>
      </c>
      <c r="X9" s="130">
        <v>1</v>
      </c>
      <c r="Y9" s="135">
        <f t="shared" ref="Y9:Y17" si="13">IF($Z$4=50,PMT($L$2,$J$20,$AB$8),0)</f>
        <v>-932812.21803784941</v>
      </c>
      <c r="Z9" s="136">
        <f>IF(Y9&lt;0,(Y9+AA9),0)</f>
        <v>-581726.87945827679</v>
      </c>
      <c r="AA9" s="136">
        <f t="shared" ref="AA9:AA17" si="14">IF(Y9=0,0,(AB8*$L$2))</f>
        <v>351085.33857957268</v>
      </c>
      <c r="AB9" s="135">
        <f>IF(Z9=0,0,(AB8+Z9))</f>
        <v>36418273.120541722</v>
      </c>
      <c r="AE9" s="130">
        <v>1</v>
      </c>
      <c r="AF9" s="135">
        <v>0</v>
      </c>
      <c r="AG9" s="136">
        <v>0</v>
      </c>
      <c r="AH9" s="136">
        <v>0</v>
      </c>
      <c r="AI9" s="135">
        <v>0</v>
      </c>
      <c r="AJ9" s="130"/>
      <c r="AK9" s="130">
        <v>1</v>
      </c>
      <c r="AL9" s="135">
        <v>0</v>
      </c>
      <c r="AM9" s="136">
        <v>0</v>
      </c>
      <c r="AN9" s="136">
        <v>0</v>
      </c>
      <c r="AO9" s="135">
        <v>0</v>
      </c>
      <c r="AP9" s="130"/>
      <c r="AQ9" s="130">
        <v>1</v>
      </c>
      <c r="AR9" s="135">
        <v>0</v>
      </c>
      <c r="AS9" s="136">
        <v>0</v>
      </c>
      <c r="AT9" s="136">
        <v>0</v>
      </c>
      <c r="AU9" s="135">
        <v>0</v>
      </c>
    </row>
    <row r="10" spans="2:47">
      <c r="B10" s="46" t="s">
        <v>61</v>
      </c>
      <c r="C10" s="51">
        <v>0</v>
      </c>
      <c r="D10" s="25">
        <f>('2'!C24/12)*C10</f>
        <v>0</v>
      </c>
      <c r="F10" s="76">
        <f>'1'!B31</f>
        <v>2020</v>
      </c>
      <c r="G10" s="79">
        <f>IF($J$21="TIPO 2",(SUM(M9:M21)+SUM(S9:S21)+SUM(Y9:Y21)),IF($J$21="TIPO 1",(SUM(AF9:AF21)+SUM(AL9:AL21)+SUM(AR9:AR21))))</f>
        <v>-11193746.616454193</v>
      </c>
      <c r="H10" s="79">
        <f t="shared" ref="H10" si="15">IF($J$21="TIPO 2",(SUM(N9:N21)+SUM(T9:T21)+SUM(Z9:Z21)),IF($J$21="TIPO 1",(SUM(AG9:AG21)+SUM(AM9:AM21)+SUM(AS9:AS21))))</f>
        <v>-7356807.7643019212</v>
      </c>
      <c r="I10" s="79">
        <f>IF($J$21="TIPO 2",(SUM(O9:O21)+SUM(U9:U21)+SUM(AA9:AA21)),IF($J$21="TIPO 1",(SUM(AH9:AH21)+SUM(AN9:AN21)+SUM(AT9:AT21))))</f>
        <v>3836938.8521522712</v>
      </c>
      <c r="J10" s="79">
        <f>IF(J9="NO SE REQUIERE PRESTAMO",0,J9+H10)</f>
        <v>29643192.235698078</v>
      </c>
      <c r="L10" s="130">
        <f>L9+1</f>
        <v>2</v>
      </c>
      <c r="M10" s="135">
        <f t="shared" si="9"/>
        <v>0</v>
      </c>
      <c r="N10" s="136">
        <f t="shared" ref="N10:N52" si="16">IF(M10&lt;0,(M10+O10),0)</f>
        <v>0</v>
      </c>
      <c r="O10" s="136">
        <f t="shared" si="10"/>
        <v>0</v>
      </c>
      <c r="P10" s="135">
        <f t="shared" ref="P10:P52" si="17">P9+N10</f>
        <v>0</v>
      </c>
      <c r="R10" s="130">
        <f>R9+1</f>
        <v>2</v>
      </c>
      <c r="S10" s="135">
        <f t="shared" si="11"/>
        <v>0</v>
      </c>
      <c r="T10" s="136">
        <f t="shared" ref="T10:T45" si="18">IF(S10&lt;0,(S10+U10),0)</f>
        <v>0</v>
      </c>
      <c r="U10" s="136">
        <f t="shared" si="12"/>
        <v>0</v>
      </c>
      <c r="V10" s="135">
        <f t="shared" ref="V10:V45" si="19">V9+T10</f>
        <v>0</v>
      </c>
      <c r="X10" s="130">
        <f>X9+1</f>
        <v>2</v>
      </c>
      <c r="Y10" s="135">
        <f t="shared" si="13"/>
        <v>-932812.21803784941</v>
      </c>
      <c r="Z10" s="136">
        <f t="shared" ref="Z10:Z59" si="20">IF(Y10&lt;0,(Y10+AA10),0)</f>
        <v>-587246.76536193746</v>
      </c>
      <c r="AA10" s="136">
        <f t="shared" si="14"/>
        <v>345565.45267591195</v>
      </c>
      <c r="AB10" s="135">
        <f t="shared" ref="AB10:AB59" si="21">AB9+Z10</f>
        <v>35831026.355179787</v>
      </c>
      <c r="AE10" s="130">
        <f>AE9+1</f>
        <v>2</v>
      </c>
      <c r="AF10" s="135">
        <v>0</v>
      </c>
      <c r="AG10" s="136">
        <v>0</v>
      </c>
      <c r="AH10" s="136">
        <v>0</v>
      </c>
      <c r="AI10" s="135">
        <v>0</v>
      </c>
      <c r="AJ10" s="130"/>
      <c r="AK10" s="130">
        <f>AK9+1</f>
        <v>2</v>
      </c>
      <c r="AL10" s="135">
        <v>0</v>
      </c>
      <c r="AM10" s="136">
        <v>0</v>
      </c>
      <c r="AN10" s="136">
        <v>0</v>
      </c>
      <c r="AO10" s="135">
        <v>0</v>
      </c>
      <c r="AP10" s="130"/>
      <c r="AQ10" s="130">
        <f>AQ9+1</f>
        <v>2</v>
      </c>
      <c r="AR10" s="135">
        <v>0</v>
      </c>
      <c r="AS10" s="136">
        <v>0</v>
      </c>
      <c r="AT10" s="136">
        <v>0</v>
      </c>
      <c r="AU10" s="135">
        <v>0</v>
      </c>
    </row>
    <row r="11" spans="2:47">
      <c r="B11" s="46" t="s">
        <v>62</v>
      </c>
      <c r="C11" s="51">
        <v>0</v>
      </c>
      <c r="D11" s="25">
        <f>('2'!C26/12)*C11</f>
        <v>0</v>
      </c>
      <c r="F11" s="76">
        <f>'1'!C31</f>
        <v>2021</v>
      </c>
      <c r="G11" s="79">
        <f>IF($J$21="TIPO 2",(SUM(M22:M33)+SUM(S22:S33)+SUM(Y22:Y33)),IF($J$21="TIPO 1",(SUM(AF22:AF33)+SUM(AL22:AL33)+SUM(AR22:AR33))))</f>
        <v>-11193746.616454193</v>
      </c>
      <c r="H11" s="79">
        <f t="shared" ref="H11:I11" si="22">IF($J$21="TIPO 2",(SUM(N22:N33)+SUM(T22:T33)+SUM(Z22:Z33)),IF($J$21="TIPO 1",(SUM(AG22:AG33)+SUM(AM22:AM33)+SUM(AS22:AS33))))</f>
        <v>-8239624.6960181585</v>
      </c>
      <c r="I11" s="79">
        <f t="shared" si="22"/>
        <v>2954121.920436034</v>
      </c>
      <c r="J11" s="79">
        <f>J10+H11</f>
        <v>21403567.539679918</v>
      </c>
      <c r="L11" s="130">
        <f t="shared" ref="L11:L55" si="23">L10+1</f>
        <v>3</v>
      </c>
      <c r="M11" s="135">
        <f t="shared" si="9"/>
        <v>0</v>
      </c>
      <c r="N11" s="136">
        <f t="shared" si="16"/>
        <v>0</v>
      </c>
      <c r="O11" s="136">
        <f t="shared" si="10"/>
        <v>0</v>
      </c>
      <c r="P11" s="135">
        <f t="shared" si="17"/>
        <v>0</v>
      </c>
      <c r="R11" s="130">
        <f t="shared" ref="R11:R55" si="24">R10+1</f>
        <v>3</v>
      </c>
      <c r="S11" s="135">
        <f t="shared" si="11"/>
        <v>0</v>
      </c>
      <c r="T11" s="136">
        <f t="shared" si="18"/>
        <v>0</v>
      </c>
      <c r="U11" s="136">
        <f t="shared" si="12"/>
        <v>0</v>
      </c>
      <c r="V11" s="135">
        <f t="shared" si="19"/>
        <v>0</v>
      </c>
      <c r="X11" s="130">
        <f t="shared" ref="X11:X55" si="25">X10+1</f>
        <v>3</v>
      </c>
      <c r="Y11" s="135">
        <f t="shared" si="13"/>
        <v>-932812.21803784941</v>
      </c>
      <c r="Z11" s="136">
        <f t="shared" si="20"/>
        <v>-592819.02831996046</v>
      </c>
      <c r="AA11" s="136">
        <f t="shared" si="14"/>
        <v>339993.18971788889</v>
      </c>
      <c r="AB11" s="135">
        <f t="shared" si="21"/>
        <v>35238207.326859824</v>
      </c>
      <c r="AE11" s="130">
        <f t="shared" ref="AE11:AE55" si="26">AE10+1</f>
        <v>3</v>
      </c>
      <c r="AF11" s="135">
        <v>0</v>
      </c>
      <c r="AG11" s="136">
        <v>0</v>
      </c>
      <c r="AH11" s="136">
        <v>0</v>
      </c>
      <c r="AI11" s="135">
        <v>0</v>
      </c>
      <c r="AJ11" s="130"/>
      <c r="AK11" s="130">
        <f t="shared" ref="AK11:AK55" si="27">AK10+1</f>
        <v>3</v>
      </c>
      <c r="AL11" s="135">
        <v>0</v>
      </c>
      <c r="AM11" s="136">
        <v>0</v>
      </c>
      <c r="AN11" s="136">
        <v>0</v>
      </c>
      <c r="AO11" s="135">
        <v>0</v>
      </c>
      <c r="AP11" s="130"/>
      <c r="AQ11" s="130">
        <f t="shared" ref="AQ11:AQ55" si="28">AQ10+1</f>
        <v>3</v>
      </c>
      <c r="AR11" s="135">
        <v>0</v>
      </c>
      <c r="AS11" s="136">
        <f t="shared" ref="AS11" si="29">IF(AR11&lt;0,(AR11+AT11),0)</f>
        <v>0</v>
      </c>
      <c r="AT11" s="136">
        <v>0</v>
      </c>
      <c r="AU11" s="135">
        <v>0</v>
      </c>
    </row>
    <row r="12" spans="2:47">
      <c r="B12" s="46" t="s">
        <v>36</v>
      </c>
      <c r="C12" s="51">
        <v>0</v>
      </c>
      <c r="D12" s="25">
        <f>('2'!F32/12)*C12</f>
        <v>0</v>
      </c>
      <c r="F12" s="76">
        <f>'1'!D31</f>
        <v>2022</v>
      </c>
      <c r="G12" s="79">
        <f>IF($J$21="TIPO 2",(SUM(M34:M45)+SUM(S34:S45)+SUM(Y34:Y45)),IF($J$21="TIPO 1",(SUM(AF34:AF45)+SUM(AL34:AL45)+SUM(AR34:AR45))))</f>
        <v>-11193746.616454193</v>
      </c>
      <c r="H12" s="79">
        <f t="shared" ref="H12:I12" si="30">IF($J$21="TIPO 2",(SUM(N34:N45)+SUM(T34:T45)+SUM(Z34:Z45)),IF($J$21="TIPO 1",(SUM(AG34:AG45)+SUM(AM34:AM45)+SUM(AS34:AS45))))</f>
        <v>-9228379.6595403459</v>
      </c>
      <c r="I12" s="79">
        <f t="shared" si="30"/>
        <v>1965366.9569138475</v>
      </c>
      <c r="J12" s="79">
        <f>J11+H12</f>
        <v>12175187.880139573</v>
      </c>
      <c r="L12" s="130">
        <f t="shared" si="23"/>
        <v>4</v>
      </c>
      <c r="M12" s="135">
        <f t="shared" si="9"/>
        <v>0</v>
      </c>
      <c r="N12" s="136">
        <f t="shared" si="16"/>
        <v>0</v>
      </c>
      <c r="O12" s="136">
        <f t="shared" si="10"/>
        <v>0</v>
      </c>
      <c r="P12" s="135">
        <f t="shared" si="17"/>
        <v>0</v>
      </c>
      <c r="R12" s="130">
        <f t="shared" si="24"/>
        <v>4</v>
      </c>
      <c r="S12" s="135">
        <f t="shared" si="11"/>
        <v>0</v>
      </c>
      <c r="T12" s="136">
        <f t="shared" si="18"/>
        <v>0</v>
      </c>
      <c r="U12" s="136">
        <f t="shared" si="12"/>
        <v>0</v>
      </c>
      <c r="V12" s="135">
        <f t="shared" si="19"/>
        <v>0</v>
      </c>
      <c r="X12" s="130">
        <f t="shared" si="25"/>
        <v>4</v>
      </c>
      <c r="Y12" s="135">
        <f t="shared" si="13"/>
        <v>-932812.21803784941</v>
      </c>
      <c r="Z12" s="136">
        <f t="shared" si="20"/>
        <v>-598444.16532736947</v>
      </c>
      <c r="AA12" s="136">
        <f t="shared" si="14"/>
        <v>334368.05271048</v>
      </c>
      <c r="AB12" s="135">
        <f t="shared" si="21"/>
        <v>34639763.161532454</v>
      </c>
      <c r="AE12" s="130">
        <f t="shared" si="26"/>
        <v>4</v>
      </c>
      <c r="AF12" s="135">
        <v>0</v>
      </c>
      <c r="AG12" s="136">
        <v>0</v>
      </c>
      <c r="AH12" s="136">
        <v>0</v>
      </c>
      <c r="AI12" s="135">
        <v>0</v>
      </c>
      <c r="AJ12" s="130"/>
      <c r="AK12" s="130">
        <f t="shared" si="27"/>
        <v>4</v>
      </c>
      <c r="AL12" s="135">
        <v>0</v>
      </c>
      <c r="AM12" s="136">
        <v>0</v>
      </c>
      <c r="AN12" s="136">
        <v>0</v>
      </c>
      <c r="AO12" s="135">
        <v>0</v>
      </c>
      <c r="AP12" s="130"/>
      <c r="AQ12" s="130">
        <f t="shared" si="28"/>
        <v>4</v>
      </c>
      <c r="AR12" s="135">
        <v>0</v>
      </c>
      <c r="AS12" s="136">
        <v>0</v>
      </c>
      <c r="AT12" s="136">
        <v>0</v>
      </c>
      <c r="AU12" s="135">
        <v>0</v>
      </c>
    </row>
    <row r="13" spans="2:47" ht="16.5" thickBot="1">
      <c r="B13" s="80" t="s">
        <v>9</v>
      </c>
      <c r="C13" s="54"/>
      <c r="D13" s="81">
        <f>SUM(D9:D12)</f>
        <v>0</v>
      </c>
      <c r="F13" s="76">
        <f>'1'!E31</f>
        <v>2023</v>
      </c>
      <c r="G13" s="79">
        <f>IF($J$21="TIPO 2",(SUM(M46:M57)+SUM(S46:S57)+SUM(Y46:Y57)),IF($J$21="TIPO 1",(SUM(AF46:AF57)+SUM(AL46:AL57)+SUM(AR46:AR57))))</f>
        <v>-11193746.616454193</v>
      </c>
      <c r="H13" s="79">
        <f t="shared" ref="H13:I13" si="31">IF($J$21="TIPO 2",(SUM(N46:N57)+SUM(T46:T57)+SUM(Z46:Z57)),IF($J$21="TIPO 1",(SUM(AG46:AG57)+SUM(AM46:AM57)+SUM(AS46:AS57))))</f>
        <v>-10335785.218685197</v>
      </c>
      <c r="I13" s="79">
        <f t="shared" si="31"/>
        <v>857961.3977689977</v>
      </c>
      <c r="J13" s="79">
        <f>J12+H13</f>
        <v>1839402.6614543758</v>
      </c>
      <c r="L13" s="130">
        <f t="shared" si="23"/>
        <v>5</v>
      </c>
      <c r="M13" s="135">
        <f t="shared" si="9"/>
        <v>0</v>
      </c>
      <c r="N13" s="136">
        <f t="shared" si="16"/>
        <v>0</v>
      </c>
      <c r="O13" s="136">
        <f t="shared" si="10"/>
        <v>0</v>
      </c>
      <c r="P13" s="135">
        <f t="shared" si="17"/>
        <v>0</v>
      </c>
      <c r="R13" s="130">
        <f t="shared" si="24"/>
        <v>5</v>
      </c>
      <c r="S13" s="135">
        <f t="shared" si="11"/>
        <v>0</v>
      </c>
      <c r="T13" s="136">
        <f t="shared" si="18"/>
        <v>0</v>
      </c>
      <c r="U13" s="136">
        <f t="shared" si="12"/>
        <v>0</v>
      </c>
      <c r="V13" s="135">
        <f t="shared" si="19"/>
        <v>0</v>
      </c>
      <c r="X13" s="130">
        <f t="shared" si="25"/>
        <v>5</v>
      </c>
      <c r="Y13" s="135">
        <f t="shared" si="13"/>
        <v>-932812.21803784941</v>
      </c>
      <c r="Z13" s="136">
        <f t="shared" si="20"/>
        <v>-604122.67809507018</v>
      </c>
      <c r="AA13" s="136">
        <f t="shared" si="14"/>
        <v>328689.53994277923</v>
      </c>
      <c r="AB13" s="135">
        <f t="shared" si="21"/>
        <v>34035640.483437382</v>
      </c>
      <c r="AE13" s="130">
        <f t="shared" si="26"/>
        <v>5</v>
      </c>
      <c r="AF13" s="135">
        <v>0</v>
      </c>
      <c r="AG13" s="136">
        <v>0</v>
      </c>
      <c r="AH13" s="136">
        <v>0</v>
      </c>
      <c r="AI13" s="135">
        <v>0</v>
      </c>
      <c r="AJ13" s="130"/>
      <c r="AK13" s="130">
        <f t="shared" si="27"/>
        <v>5</v>
      </c>
      <c r="AL13" s="135">
        <v>0</v>
      </c>
      <c r="AM13" s="136">
        <v>0</v>
      </c>
      <c r="AN13" s="136">
        <v>0</v>
      </c>
      <c r="AO13" s="135">
        <v>0</v>
      </c>
      <c r="AP13" s="130"/>
      <c r="AQ13" s="130">
        <f t="shared" si="28"/>
        <v>5</v>
      </c>
      <c r="AR13" s="135">
        <v>0</v>
      </c>
      <c r="AS13" s="136">
        <v>0</v>
      </c>
      <c r="AT13" s="136">
        <v>0</v>
      </c>
      <c r="AU13" s="135">
        <v>0</v>
      </c>
    </row>
    <row r="14" spans="2:47" ht="16.5" thickBot="1">
      <c r="B14" s="123" t="s">
        <v>152</v>
      </c>
      <c r="C14" s="30"/>
      <c r="D14" s="124">
        <f>C4+D13+C5</f>
        <v>56000000</v>
      </c>
      <c r="F14" s="76">
        <f>'1'!F31</f>
        <v>2024</v>
      </c>
      <c r="G14" s="79">
        <f>IF($J$21="TIPO 2",(SUM(M58:M59)+SUM(S58:S59)+SUM(Y58:Y59)),IF($J$21="TIPO 1",(SUM(AF58:AF59)+SUM(AL58:AL59)+SUM(AR58:AR59))))</f>
        <v>-1865624.4360756988</v>
      </c>
      <c r="H14" s="79">
        <f>IF($J$21="TIPO 2",(SUM(N58:N59)+SUM(T58:T59)+SUM(Z58:Z59)),IF($J$21="TIPO 1",(SUM(AG58:AG59)+SUM(AM58:AM59)+SUM(AS58:AS59))))</f>
        <v>-1839402.6614543768</v>
      </c>
      <c r="I14" s="79">
        <f t="shared" ref="I14" si="32">IF($J$21="TIPO 2",(SUM(O58:O59)+SUM(U58:U59)+SUM(AA58:AA59)),IF($J$21="TIPO 1",(SUM(AH58:AH59)+SUM(AN58:AN59)+SUM(AT58:AT59))))</f>
        <v>26221.774621321925</v>
      </c>
      <c r="J14" s="79">
        <f>J13+H14</f>
        <v>0</v>
      </c>
      <c r="L14" s="130">
        <f t="shared" si="23"/>
        <v>6</v>
      </c>
      <c r="M14" s="135">
        <f t="shared" si="9"/>
        <v>0</v>
      </c>
      <c r="N14" s="136">
        <f t="shared" si="16"/>
        <v>0</v>
      </c>
      <c r="O14" s="136">
        <f t="shared" si="10"/>
        <v>0</v>
      </c>
      <c r="P14" s="135">
        <f t="shared" si="17"/>
        <v>0</v>
      </c>
      <c r="R14" s="130">
        <f t="shared" si="24"/>
        <v>6</v>
      </c>
      <c r="S14" s="135">
        <f t="shared" si="11"/>
        <v>0</v>
      </c>
      <c r="T14" s="136">
        <f t="shared" si="18"/>
        <v>0</v>
      </c>
      <c r="U14" s="136">
        <f t="shared" si="12"/>
        <v>0</v>
      </c>
      <c r="V14" s="135">
        <f t="shared" si="19"/>
        <v>0</v>
      </c>
      <c r="X14" s="130">
        <f t="shared" si="25"/>
        <v>6</v>
      </c>
      <c r="Y14" s="135">
        <f t="shared" si="13"/>
        <v>-932812.21803784941</v>
      </c>
      <c r="Z14" s="136">
        <f t="shared" si="20"/>
        <v>-609855.07309460011</v>
      </c>
      <c r="AA14" s="136">
        <f t="shared" si="14"/>
        <v>322957.1449432493</v>
      </c>
      <c r="AB14" s="135">
        <f t="shared" si="21"/>
        <v>33425785.410342783</v>
      </c>
      <c r="AE14" s="130">
        <f t="shared" si="26"/>
        <v>6</v>
      </c>
      <c r="AF14" s="135">
        <v>0</v>
      </c>
      <c r="AG14" s="136">
        <v>0</v>
      </c>
      <c r="AH14" s="136">
        <v>0</v>
      </c>
      <c r="AI14" s="135">
        <v>0</v>
      </c>
      <c r="AJ14" s="130"/>
      <c r="AK14" s="130">
        <f t="shared" si="27"/>
        <v>6</v>
      </c>
      <c r="AL14" s="135">
        <v>0</v>
      </c>
      <c r="AM14" s="136">
        <v>0</v>
      </c>
      <c r="AN14" s="136">
        <v>0</v>
      </c>
      <c r="AO14" s="135">
        <v>0</v>
      </c>
      <c r="AP14" s="130"/>
      <c r="AQ14" s="130">
        <f t="shared" si="28"/>
        <v>6</v>
      </c>
      <c r="AR14" s="135">
        <v>0</v>
      </c>
      <c r="AS14" s="136">
        <v>0</v>
      </c>
      <c r="AT14" s="136">
        <v>0</v>
      </c>
      <c r="AU14" s="135">
        <v>0</v>
      </c>
    </row>
    <row r="15" spans="2:47" ht="15.75" thickBot="1">
      <c r="L15" s="130">
        <f t="shared" si="23"/>
        <v>7</v>
      </c>
      <c r="M15" s="135">
        <f t="shared" si="9"/>
        <v>0</v>
      </c>
      <c r="N15" s="136">
        <f t="shared" si="16"/>
        <v>0</v>
      </c>
      <c r="O15" s="136">
        <f t="shared" si="10"/>
        <v>0</v>
      </c>
      <c r="P15" s="135">
        <f t="shared" si="17"/>
        <v>0</v>
      </c>
      <c r="R15" s="130">
        <f t="shared" si="24"/>
        <v>7</v>
      </c>
      <c r="S15" s="135">
        <f t="shared" si="11"/>
        <v>0</v>
      </c>
      <c r="T15" s="136">
        <f t="shared" si="18"/>
        <v>0</v>
      </c>
      <c r="U15" s="136">
        <f t="shared" si="12"/>
        <v>0</v>
      </c>
      <c r="V15" s="135">
        <f t="shared" si="19"/>
        <v>0</v>
      </c>
      <c r="X15" s="130">
        <f t="shared" si="25"/>
        <v>7</v>
      </c>
      <c r="Y15" s="135">
        <f t="shared" si="13"/>
        <v>-932812.21803784941</v>
      </c>
      <c r="Z15" s="136">
        <f t="shared" si="20"/>
        <v>-615641.86160329974</v>
      </c>
      <c r="AA15" s="136">
        <f t="shared" si="14"/>
        <v>317170.35643454967</v>
      </c>
      <c r="AB15" s="135">
        <f t="shared" si="21"/>
        <v>32810143.548739482</v>
      </c>
      <c r="AE15" s="130">
        <f t="shared" si="26"/>
        <v>7</v>
      </c>
      <c r="AF15" s="135">
        <v>0</v>
      </c>
      <c r="AG15" s="136">
        <v>0</v>
      </c>
      <c r="AH15" s="136">
        <v>0</v>
      </c>
      <c r="AI15" s="135">
        <v>0</v>
      </c>
      <c r="AJ15" s="130"/>
      <c r="AK15" s="130">
        <f t="shared" si="27"/>
        <v>7</v>
      </c>
      <c r="AL15" s="135">
        <v>0</v>
      </c>
      <c r="AM15" s="136">
        <v>0</v>
      </c>
      <c r="AN15" s="136">
        <v>0</v>
      </c>
      <c r="AO15" s="135">
        <v>0</v>
      </c>
      <c r="AP15" s="130"/>
      <c r="AQ15" s="130">
        <f t="shared" si="28"/>
        <v>7</v>
      </c>
      <c r="AR15" s="135">
        <v>0</v>
      </c>
      <c r="AS15" s="136">
        <v>0</v>
      </c>
      <c r="AT15" s="136">
        <v>0</v>
      </c>
      <c r="AU15" s="135">
        <v>0</v>
      </c>
    </row>
    <row r="16" spans="2:47" ht="15.75">
      <c r="B16" s="113" t="s">
        <v>154</v>
      </c>
      <c r="C16" s="114"/>
      <c r="D16" s="115">
        <f>D13</f>
        <v>0</v>
      </c>
      <c r="F16" s="127" t="s">
        <v>158</v>
      </c>
      <c r="G16" s="127"/>
      <c r="H16" s="127"/>
      <c r="I16" s="126">
        <f>IF(AND(D16=0,D17&gt;1),50,IF(AND(D16&gt;1,D17=0),36,IF(AND(D16&gt;1,D17&gt;1),43,IF(AND(D16=0,D17=0),0))))</f>
        <v>50</v>
      </c>
      <c r="L16" s="130">
        <f t="shared" si="23"/>
        <v>8</v>
      </c>
      <c r="M16" s="135">
        <f t="shared" si="9"/>
        <v>0</v>
      </c>
      <c r="N16" s="136">
        <f t="shared" si="16"/>
        <v>0</v>
      </c>
      <c r="O16" s="136">
        <f t="shared" si="10"/>
        <v>0</v>
      </c>
      <c r="P16" s="135">
        <f t="shared" si="17"/>
        <v>0</v>
      </c>
      <c r="R16" s="130">
        <f t="shared" si="24"/>
        <v>8</v>
      </c>
      <c r="S16" s="135">
        <f t="shared" si="11"/>
        <v>0</v>
      </c>
      <c r="T16" s="136">
        <f t="shared" si="18"/>
        <v>0</v>
      </c>
      <c r="U16" s="136">
        <f t="shared" si="12"/>
        <v>0</v>
      </c>
      <c r="V16" s="135">
        <f t="shared" si="19"/>
        <v>0</v>
      </c>
      <c r="X16" s="130">
        <f t="shared" si="25"/>
        <v>8</v>
      </c>
      <c r="Y16" s="135">
        <f t="shared" si="13"/>
        <v>-932812.21803784941</v>
      </c>
      <c r="Z16" s="136">
        <f t="shared" si="20"/>
        <v>-621483.5597499148</v>
      </c>
      <c r="AA16" s="136">
        <f t="shared" si="14"/>
        <v>311328.65828793467</v>
      </c>
      <c r="AB16" s="135">
        <f t="shared" si="21"/>
        <v>32188659.988989566</v>
      </c>
      <c r="AE16" s="130">
        <f t="shared" si="26"/>
        <v>8</v>
      </c>
      <c r="AF16" s="135">
        <v>0</v>
      </c>
      <c r="AG16" s="136">
        <v>0</v>
      </c>
      <c r="AH16" s="136">
        <v>0</v>
      </c>
      <c r="AI16" s="135">
        <v>0</v>
      </c>
      <c r="AJ16" s="130"/>
      <c r="AK16" s="130">
        <f t="shared" si="27"/>
        <v>8</v>
      </c>
      <c r="AL16" s="135">
        <v>0</v>
      </c>
      <c r="AM16" s="136">
        <v>0</v>
      </c>
      <c r="AN16" s="136">
        <v>0</v>
      </c>
      <c r="AO16" s="135">
        <v>0</v>
      </c>
      <c r="AP16" s="130"/>
      <c r="AQ16" s="130">
        <f t="shared" si="28"/>
        <v>8</v>
      </c>
      <c r="AR16" s="135">
        <v>0</v>
      </c>
      <c r="AS16" s="136">
        <v>0</v>
      </c>
      <c r="AT16" s="136">
        <v>0</v>
      </c>
      <c r="AU16" s="135">
        <v>0</v>
      </c>
    </row>
    <row r="17" spans="2:47" ht="16.5" thickBot="1">
      <c r="B17" s="116" t="s">
        <v>155</v>
      </c>
      <c r="C17" s="117"/>
      <c r="D17" s="118">
        <f>IF(D4="SI",C4,0)</f>
        <v>42000000</v>
      </c>
      <c r="L17" s="130">
        <f t="shared" si="23"/>
        <v>9</v>
      </c>
      <c r="M17" s="135">
        <f t="shared" si="9"/>
        <v>0</v>
      </c>
      <c r="N17" s="136">
        <f t="shared" si="16"/>
        <v>0</v>
      </c>
      <c r="O17" s="136">
        <f t="shared" si="10"/>
        <v>0</v>
      </c>
      <c r="P17" s="135">
        <f t="shared" si="17"/>
        <v>0</v>
      </c>
      <c r="R17" s="130">
        <f t="shared" si="24"/>
        <v>9</v>
      </c>
      <c r="S17" s="135">
        <f t="shared" si="11"/>
        <v>0</v>
      </c>
      <c r="T17" s="136">
        <f t="shared" si="18"/>
        <v>0</v>
      </c>
      <c r="U17" s="136">
        <f t="shared" si="12"/>
        <v>0</v>
      </c>
      <c r="V17" s="135">
        <f t="shared" si="19"/>
        <v>0</v>
      </c>
      <c r="X17" s="130">
        <f t="shared" si="25"/>
        <v>9</v>
      </c>
      <c r="Y17" s="135">
        <f t="shared" si="13"/>
        <v>-932812.21803784941</v>
      </c>
      <c r="Z17" s="136">
        <f t="shared" si="20"/>
        <v>-627380.68856062926</v>
      </c>
      <c r="AA17" s="136">
        <f t="shared" si="14"/>
        <v>305431.52947722015</v>
      </c>
      <c r="AB17" s="135">
        <f t="shared" si="21"/>
        <v>31561279.300428934</v>
      </c>
      <c r="AE17" s="130">
        <f t="shared" si="26"/>
        <v>9</v>
      </c>
      <c r="AF17" s="135">
        <v>0</v>
      </c>
      <c r="AG17" s="136">
        <v>0</v>
      </c>
      <c r="AH17" s="136">
        <v>0</v>
      </c>
      <c r="AI17" s="135">
        <v>0</v>
      </c>
      <c r="AJ17" s="130"/>
      <c r="AK17" s="130">
        <f t="shared" si="27"/>
        <v>9</v>
      </c>
      <c r="AL17" s="135">
        <v>0</v>
      </c>
      <c r="AM17" s="136">
        <v>0</v>
      </c>
      <c r="AN17" s="136">
        <v>0</v>
      </c>
      <c r="AO17" s="135">
        <v>0</v>
      </c>
      <c r="AP17" s="130"/>
      <c r="AQ17" s="130">
        <f t="shared" si="28"/>
        <v>9</v>
      </c>
      <c r="AR17" s="135">
        <v>0</v>
      </c>
      <c r="AS17" s="136">
        <v>0</v>
      </c>
      <c r="AT17" s="136">
        <v>0</v>
      </c>
      <c r="AU17" s="135">
        <v>0</v>
      </c>
    </row>
    <row r="18" spans="2:47" ht="16.5" thickBot="1">
      <c r="B18" s="46"/>
      <c r="D18" s="70"/>
      <c r="F18" s="127" t="s">
        <v>159</v>
      </c>
      <c r="G18" s="127"/>
      <c r="H18" s="127"/>
      <c r="I18" s="248" t="str">
        <f>IF(I16=36,"SOLO PARA CAPITAL DE TRABAJO",IF(I16=50,"SOLO PARA INVERSIONES FIJAS",IF(I16=43,"PARA CAPITAL DE TRABAJO E INV FIJAS",IF(I16=0,"N.A"))))</f>
        <v>SOLO PARA INVERSIONES FIJAS</v>
      </c>
      <c r="J18" s="249"/>
      <c r="K18" s="250"/>
      <c r="M18" s="135"/>
      <c r="N18" s="136"/>
      <c r="O18" s="136"/>
      <c r="P18" s="135"/>
      <c r="S18" s="135"/>
      <c r="T18" s="136"/>
      <c r="U18" s="136"/>
      <c r="V18" s="135"/>
      <c r="Y18" s="135"/>
      <c r="Z18" s="136"/>
      <c r="AA18" s="136"/>
      <c r="AB18" s="135"/>
      <c r="AE18" s="130"/>
      <c r="AF18" s="135"/>
      <c r="AG18" s="136">
        <v>0</v>
      </c>
      <c r="AH18" s="136">
        <v>0</v>
      </c>
      <c r="AI18" s="135">
        <v>0</v>
      </c>
      <c r="AJ18" s="130"/>
      <c r="AK18" s="130"/>
      <c r="AL18" s="135">
        <v>0</v>
      </c>
      <c r="AM18" s="136">
        <v>0</v>
      </c>
      <c r="AN18" s="136"/>
      <c r="AO18" s="135">
        <v>0</v>
      </c>
      <c r="AP18" s="130"/>
      <c r="AQ18" s="130"/>
      <c r="AR18" s="135">
        <v>0</v>
      </c>
      <c r="AS18" s="136">
        <v>0</v>
      </c>
      <c r="AT18" s="136">
        <v>0</v>
      </c>
      <c r="AU18" s="135">
        <v>0</v>
      </c>
    </row>
    <row r="19" spans="2:47" ht="15.75" thickBot="1">
      <c r="B19" s="46" t="s">
        <v>153</v>
      </c>
      <c r="D19" s="128">
        <f>C5</f>
        <v>14000000</v>
      </c>
      <c r="L19" s="130">
        <f>L17+1</f>
        <v>10</v>
      </c>
      <c r="M19" s="135">
        <f t="shared" ref="M19:M52" si="33">IF($N$4=43,PMT($L$2,$J$20,$P$8),0)</f>
        <v>0</v>
      </c>
      <c r="N19" s="136">
        <f t="shared" si="16"/>
        <v>0</v>
      </c>
      <c r="O19" s="136">
        <f>IF(M19=0,0,(P17*$L$2))</f>
        <v>0</v>
      </c>
      <c r="P19" s="135">
        <f>P17+N19</f>
        <v>0</v>
      </c>
      <c r="R19" s="130">
        <f>R17+1</f>
        <v>10</v>
      </c>
      <c r="S19" s="135">
        <f t="shared" ref="S19:S45" si="34">IF($T$4=36,PMT($L$2,$J$20,$V$8),0)</f>
        <v>0</v>
      </c>
      <c r="T19" s="136">
        <f t="shared" si="18"/>
        <v>0</v>
      </c>
      <c r="U19" s="136">
        <f>IF(S19=0,0,(V17*$L$2))</f>
        <v>0</v>
      </c>
      <c r="V19" s="135">
        <f>V17+T19</f>
        <v>0</v>
      </c>
      <c r="X19" s="130">
        <f>X17+1</f>
        <v>10</v>
      </c>
      <c r="Y19" s="135">
        <f t="shared" ref="Y19:Y59" si="35">IF($Z$4=50,PMT($L$2,$J$20,$AB$8),0)</f>
        <v>-932812.21803784941</v>
      </c>
      <c r="Z19" s="136">
        <f t="shared" si="20"/>
        <v>-633333.77400553715</v>
      </c>
      <c r="AA19" s="136">
        <f>IF(Y19=0,0,(AB17*$L$2))</f>
        <v>299478.4440323122</v>
      </c>
      <c r="AB19" s="135">
        <f>AB17+Z19</f>
        <v>30927945.526423398</v>
      </c>
      <c r="AE19" s="130">
        <f>AE17+1</f>
        <v>10</v>
      </c>
      <c r="AF19" s="135">
        <v>0</v>
      </c>
      <c r="AG19" s="136">
        <v>0</v>
      </c>
      <c r="AH19" s="136">
        <v>0</v>
      </c>
      <c r="AI19" s="135">
        <v>0</v>
      </c>
      <c r="AJ19" s="130"/>
      <c r="AK19" s="130">
        <f>AK17+1</f>
        <v>10</v>
      </c>
      <c r="AL19" s="135">
        <v>0</v>
      </c>
      <c r="AM19" s="136">
        <v>0</v>
      </c>
      <c r="AN19" s="136">
        <v>0</v>
      </c>
      <c r="AO19" s="135">
        <v>0</v>
      </c>
      <c r="AP19" s="130"/>
      <c r="AQ19" s="130">
        <f>AQ17+1</f>
        <v>10</v>
      </c>
      <c r="AR19" s="135">
        <v>0</v>
      </c>
      <c r="AS19" s="136">
        <v>0</v>
      </c>
      <c r="AT19" s="136">
        <v>0</v>
      </c>
      <c r="AU19" s="135">
        <v>0</v>
      </c>
    </row>
    <row r="20" spans="2:47" ht="19.5" thickBot="1">
      <c r="B20" s="46" t="s">
        <v>156</v>
      </c>
      <c r="C20" s="120">
        <v>5000000</v>
      </c>
      <c r="D20" s="129">
        <f>IF(D4="NO",C4,0)</f>
        <v>0</v>
      </c>
      <c r="F20" s="251" t="str">
        <f>I18</f>
        <v>SOLO PARA INVERSIONES FIJAS</v>
      </c>
      <c r="G20" s="252"/>
      <c r="H20" s="252"/>
      <c r="I20" s="253"/>
      <c r="J20" s="214">
        <f>IF(F20="SOLO PARA CAPITAL DE TRABAJO",36,IF(F20="PARA CAPITAL DE TRABAJO E INV FIJAS",43,IF(F20="SOLO PARA INVERSIONES FIJAS",50,0)))</f>
        <v>50</v>
      </c>
      <c r="L20" s="130">
        <f t="shared" si="23"/>
        <v>11</v>
      </c>
      <c r="M20" s="135">
        <f t="shared" si="33"/>
        <v>0</v>
      </c>
      <c r="N20" s="136">
        <f t="shared" si="16"/>
        <v>0</v>
      </c>
      <c r="O20" s="136">
        <f t="shared" ref="O20:O52" si="36">IF(M20=0,0,(P19*$L$2))</f>
        <v>0</v>
      </c>
      <c r="P20" s="135">
        <f t="shared" si="17"/>
        <v>0</v>
      </c>
      <c r="R20" s="130">
        <f t="shared" si="24"/>
        <v>11</v>
      </c>
      <c r="S20" s="135">
        <f t="shared" si="34"/>
        <v>0</v>
      </c>
      <c r="T20" s="136">
        <f t="shared" si="18"/>
        <v>0</v>
      </c>
      <c r="U20" s="136">
        <f t="shared" ref="U20:U45" si="37">IF(S20=0,0,(V19*$L$2))</f>
        <v>0</v>
      </c>
      <c r="V20" s="135">
        <f t="shared" si="19"/>
        <v>0</v>
      </c>
      <c r="X20" s="130">
        <f t="shared" si="25"/>
        <v>11</v>
      </c>
      <c r="Y20" s="135">
        <f t="shared" si="35"/>
        <v>-932812.21803784941</v>
      </c>
      <c r="Z20" s="136">
        <f t="shared" si="20"/>
        <v>-639343.34704555373</v>
      </c>
      <c r="AA20" s="136">
        <f t="shared" ref="AA20:AA59" si="38">IF(Y20=0,0,(AB19*$L$2))</f>
        <v>293468.87099229568</v>
      </c>
      <c r="AB20" s="135">
        <f t="shared" si="21"/>
        <v>30288602.179377846</v>
      </c>
      <c r="AE20" s="130">
        <f t="shared" si="26"/>
        <v>11</v>
      </c>
      <c r="AF20" s="135">
        <v>0</v>
      </c>
      <c r="AG20" s="136">
        <v>0</v>
      </c>
      <c r="AH20" s="136">
        <v>0</v>
      </c>
      <c r="AI20" s="135">
        <v>0</v>
      </c>
      <c r="AJ20" s="130"/>
      <c r="AK20" s="130">
        <f t="shared" si="27"/>
        <v>11</v>
      </c>
      <c r="AL20" s="135">
        <v>0</v>
      </c>
      <c r="AM20" s="136">
        <v>0</v>
      </c>
      <c r="AN20" s="136">
        <v>0</v>
      </c>
      <c r="AO20" s="135">
        <v>0</v>
      </c>
      <c r="AP20" s="130"/>
      <c r="AQ20" s="130">
        <f t="shared" si="28"/>
        <v>11</v>
      </c>
      <c r="AR20" s="135">
        <v>0</v>
      </c>
      <c r="AS20" s="136">
        <f t="shared" ref="AS20:AS22" si="39">IF(AR20&lt;0,(AR20+AT20),0)</f>
        <v>0</v>
      </c>
      <c r="AT20" s="136">
        <v>0</v>
      </c>
      <c r="AU20" s="135">
        <v>0</v>
      </c>
    </row>
    <row r="21" spans="2:47" ht="32.25" customHeight="1" thickBot="1">
      <c r="B21" s="46" t="s">
        <v>63</v>
      </c>
      <c r="D21" s="125">
        <f>IF(AND(D16=0,D17=0),"NO SE REQUIERE PRESTAMO",(D14-D19-(C20+D20)))</f>
        <v>37000000</v>
      </c>
      <c r="E21" s="121"/>
      <c r="F21" s="245" t="s">
        <v>172</v>
      </c>
      <c r="G21" s="246"/>
      <c r="H21" s="246"/>
      <c r="I21" s="247"/>
      <c r="J21" s="216" t="s">
        <v>174</v>
      </c>
      <c r="L21" s="130">
        <f t="shared" si="23"/>
        <v>12</v>
      </c>
      <c r="M21" s="135">
        <f t="shared" si="33"/>
        <v>0</v>
      </c>
      <c r="N21" s="136">
        <f t="shared" si="16"/>
        <v>0</v>
      </c>
      <c r="O21" s="136">
        <f t="shared" si="36"/>
        <v>0</v>
      </c>
      <c r="P21" s="135">
        <f t="shared" si="17"/>
        <v>0</v>
      </c>
      <c r="R21" s="130">
        <f t="shared" si="24"/>
        <v>12</v>
      </c>
      <c r="S21" s="135">
        <f t="shared" si="34"/>
        <v>0</v>
      </c>
      <c r="T21" s="136">
        <f t="shared" si="18"/>
        <v>0</v>
      </c>
      <c r="U21" s="136">
        <f t="shared" si="37"/>
        <v>0</v>
      </c>
      <c r="V21" s="135">
        <f t="shared" si="19"/>
        <v>0</v>
      </c>
      <c r="X21" s="130">
        <f t="shared" si="25"/>
        <v>12</v>
      </c>
      <c r="Y21" s="135">
        <f t="shared" si="35"/>
        <v>-932812.21803784941</v>
      </c>
      <c r="Z21" s="136">
        <f t="shared" si="20"/>
        <v>-645409.94367977232</v>
      </c>
      <c r="AA21" s="136">
        <f t="shared" si="38"/>
        <v>287402.27435807715</v>
      </c>
      <c r="AB21" s="135">
        <f t="shared" si="21"/>
        <v>29643192.235698074</v>
      </c>
      <c r="AE21" s="130">
        <f t="shared" si="26"/>
        <v>12</v>
      </c>
      <c r="AF21" s="135">
        <v>0</v>
      </c>
      <c r="AG21" s="136">
        <v>0</v>
      </c>
      <c r="AH21" s="136">
        <v>0</v>
      </c>
      <c r="AI21" s="212">
        <f>P8</f>
        <v>37000000</v>
      </c>
      <c r="AJ21" s="130"/>
      <c r="AK21" s="130">
        <f t="shared" si="27"/>
        <v>12</v>
      </c>
      <c r="AL21" s="135">
        <v>0</v>
      </c>
      <c r="AM21" s="136">
        <v>0</v>
      </c>
      <c r="AN21" s="136">
        <v>0</v>
      </c>
      <c r="AO21" s="212">
        <f>V8</f>
        <v>37000000</v>
      </c>
      <c r="AP21" s="130"/>
      <c r="AQ21" s="130">
        <f t="shared" si="28"/>
        <v>12</v>
      </c>
      <c r="AR21" s="135">
        <v>0</v>
      </c>
      <c r="AS21" s="136">
        <v>0</v>
      </c>
      <c r="AT21" s="136">
        <v>0</v>
      </c>
      <c r="AU21" s="212">
        <f>AB8</f>
        <v>37000000</v>
      </c>
    </row>
    <row r="22" spans="2:47" ht="32.25" customHeight="1">
      <c r="C22" s="137" t="s">
        <v>157</v>
      </c>
      <c r="D22" s="219" t="str">
        <f>IF(D21&lt;0,"El aporte del emprendedor excede el valor necesario","OK")</f>
        <v>OK</v>
      </c>
      <c r="E22" s="122"/>
      <c r="H22" s="208"/>
      <c r="L22" s="130">
        <f t="shared" si="23"/>
        <v>13</v>
      </c>
      <c r="M22" s="135">
        <f t="shared" si="33"/>
        <v>0</v>
      </c>
      <c r="N22" s="136">
        <f t="shared" si="16"/>
        <v>0</v>
      </c>
      <c r="O22" s="136">
        <f t="shared" si="36"/>
        <v>0</v>
      </c>
      <c r="P22" s="135">
        <f t="shared" si="17"/>
        <v>0</v>
      </c>
      <c r="R22" s="130">
        <f t="shared" si="24"/>
        <v>13</v>
      </c>
      <c r="S22" s="135">
        <f t="shared" si="34"/>
        <v>0</v>
      </c>
      <c r="T22" s="136">
        <f t="shared" si="18"/>
        <v>0</v>
      </c>
      <c r="U22" s="136">
        <f t="shared" si="37"/>
        <v>0</v>
      </c>
      <c r="V22" s="135">
        <f t="shared" si="19"/>
        <v>0</v>
      </c>
      <c r="X22" s="130">
        <f t="shared" si="25"/>
        <v>13</v>
      </c>
      <c r="Y22" s="135">
        <f t="shared" si="35"/>
        <v>-932812.21803784941</v>
      </c>
      <c r="Z22" s="136">
        <f t="shared" si="20"/>
        <v>-651534.10499327048</v>
      </c>
      <c r="AA22" s="136">
        <f t="shared" si="38"/>
        <v>281278.11304457887</v>
      </c>
      <c r="AB22" s="135">
        <f t="shared" si="21"/>
        <v>28991658.130704805</v>
      </c>
      <c r="AE22" s="130">
        <f t="shared" si="26"/>
        <v>13</v>
      </c>
      <c r="AF22" s="135">
        <f>IF(AND($N$4=43,$J$21="TIPO 1"),PMT($L$2,$AH$4,$P$8),0)</f>
        <v>0</v>
      </c>
      <c r="AG22" s="136">
        <f t="shared" ref="AG22" si="40">IF(AF22&lt;0,(AF22+AH22),0)</f>
        <v>0</v>
      </c>
      <c r="AH22" s="136">
        <f t="shared" ref="AH22" si="41">IF(AF22=0,0,(AI21*$L$2))</f>
        <v>0</v>
      </c>
      <c r="AI22" s="135">
        <f>IF(AG22=0,0,AI21+AG22)</f>
        <v>0</v>
      </c>
      <c r="AJ22" s="130"/>
      <c r="AK22" s="130">
        <f t="shared" si="27"/>
        <v>13</v>
      </c>
      <c r="AL22" s="135">
        <f>IF(AND($T$4=36,$J$21="TIPO 1"),PMT($L$2,$J$20,$V$8),0)</f>
        <v>0</v>
      </c>
      <c r="AM22" s="136">
        <f t="shared" ref="AM22" si="42">IF(AL22&lt;0,(AL22+AN22),0)</f>
        <v>0</v>
      </c>
      <c r="AN22" s="136">
        <f t="shared" ref="AN22" si="43">IF(AL22=0,0,(AO21*$L$2))</f>
        <v>0</v>
      </c>
      <c r="AO22" s="135">
        <f>IF(AM22=0,0,AO21+AM22)</f>
        <v>0</v>
      </c>
      <c r="AP22" s="130"/>
      <c r="AQ22" s="130">
        <f t="shared" si="28"/>
        <v>13</v>
      </c>
      <c r="AR22" s="135">
        <f>IF(AND($J$20=50,$J$21="TIPO 1"),PMT($L$2,$AT$3,$AB$8),0)</f>
        <v>0</v>
      </c>
      <c r="AS22" s="136">
        <f t="shared" si="39"/>
        <v>0</v>
      </c>
      <c r="AT22" s="136">
        <f t="shared" ref="AT22" si="44">IF(AR22=0,0,(AU21*$L$2))</f>
        <v>0</v>
      </c>
      <c r="AU22" s="135">
        <f>IF(AS22=0,0,AU21+AS22)</f>
        <v>0</v>
      </c>
    </row>
    <row r="23" spans="2:47">
      <c r="D23" s="112"/>
      <c r="L23" s="130">
        <f t="shared" si="23"/>
        <v>14</v>
      </c>
      <c r="M23" s="135">
        <f t="shared" si="33"/>
        <v>0</v>
      </c>
      <c r="N23" s="136">
        <f t="shared" si="16"/>
        <v>0</v>
      </c>
      <c r="O23" s="136">
        <f t="shared" si="36"/>
        <v>0</v>
      </c>
      <c r="P23" s="135">
        <f t="shared" si="17"/>
        <v>0</v>
      </c>
      <c r="R23" s="130">
        <f t="shared" si="24"/>
        <v>14</v>
      </c>
      <c r="S23" s="135">
        <f t="shared" si="34"/>
        <v>0</v>
      </c>
      <c r="T23" s="136">
        <f t="shared" si="18"/>
        <v>0</v>
      </c>
      <c r="U23" s="136">
        <f t="shared" si="37"/>
        <v>0</v>
      </c>
      <c r="V23" s="135">
        <f t="shared" si="19"/>
        <v>0</v>
      </c>
      <c r="X23" s="130">
        <f t="shared" si="25"/>
        <v>14</v>
      </c>
      <c r="Y23" s="135">
        <f t="shared" si="35"/>
        <v>-932812.21803784941</v>
      </c>
      <c r="Z23" s="136">
        <f t="shared" si="20"/>
        <v>-657716.37720537046</v>
      </c>
      <c r="AA23" s="136">
        <f t="shared" si="38"/>
        <v>275095.84083247889</v>
      </c>
      <c r="AB23" s="135">
        <f t="shared" si="21"/>
        <v>28333941.753499433</v>
      </c>
      <c r="AE23" s="130">
        <f t="shared" si="26"/>
        <v>14</v>
      </c>
      <c r="AF23" s="135">
        <f t="shared" ref="AF23:AF59" si="45">IF(AND($N$4=43,$J$21="TIPO 1"),PMT($L$2,$AH$4,$P$8),0)</f>
        <v>0</v>
      </c>
      <c r="AG23" s="136">
        <f t="shared" ref="AG23:AG59" si="46">IF(AF23&lt;0,(AF23+AH23),0)</f>
        <v>0</v>
      </c>
      <c r="AH23" s="136">
        <f t="shared" ref="AH23:AH59" si="47">IF(AF23=0,0,(AI22*$L$2))</f>
        <v>0</v>
      </c>
      <c r="AI23" s="135">
        <f t="shared" ref="AI23:AI59" si="48">AI22+AG23</f>
        <v>0</v>
      </c>
      <c r="AJ23" s="130"/>
      <c r="AK23" s="130">
        <f t="shared" si="27"/>
        <v>14</v>
      </c>
      <c r="AL23" s="135">
        <f t="shared" ref="AL23:AL57" si="49">IF(AND($T$4=36,$J$21="TIPO 1"),PMT($L$2,$J$20,$V$8),0)</f>
        <v>0</v>
      </c>
      <c r="AM23" s="136">
        <f t="shared" ref="AM23:AM57" si="50">IF(AL23&lt;0,(AL23+AN23),0)</f>
        <v>0</v>
      </c>
      <c r="AN23" s="136">
        <f t="shared" ref="AN23:AN57" si="51">IF(AL23=0,0,(AO22*$L$2))</f>
        <v>0</v>
      </c>
      <c r="AO23" s="135">
        <f t="shared" ref="AO23:AO57" si="52">IF(AM23=0,0,AO22+AM23)</f>
        <v>0</v>
      </c>
      <c r="AP23" s="130"/>
      <c r="AQ23" s="130">
        <f t="shared" si="28"/>
        <v>14</v>
      </c>
      <c r="AR23" s="135">
        <f t="shared" ref="AR23:AR59" si="53">IF(AND($J$20=50,$J$21="TIPO 1"),PMT($L$2,$AT$3,$AB$8),0)</f>
        <v>0</v>
      </c>
      <c r="AS23" s="136">
        <f t="shared" ref="AS23:AS59" si="54">IF(AR23&lt;0,(AR23+AT23),0)</f>
        <v>0</v>
      </c>
      <c r="AT23" s="136">
        <f t="shared" ref="AT23:AT59" si="55">IF(AR23=0,0,(AU22*$L$2))</f>
        <v>0</v>
      </c>
      <c r="AU23" s="135">
        <f>IF(AS23=0,0,AU22+AS23)</f>
        <v>0</v>
      </c>
    </row>
    <row r="24" spans="2:47" ht="18.75">
      <c r="F24" s="121"/>
      <c r="L24" s="130">
        <f t="shared" si="23"/>
        <v>15</v>
      </c>
      <c r="M24" s="135">
        <f t="shared" si="33"/>
        <v>0</v>
      </c>
      <c r="N24" s="136">
        <f t="shared" si="16"/>
        <v>0</v>
      </c>
      <c r="O24" s="136">
        <f t="shared" si="36"/>
        <v>0</v>
      </c>
      <c r="P24" s="135">
        <f t="shared" si="17"/>
        <v>0</v>
      </c>
      <c r="R24" s="130">
        <f t="shared" si="24"/>
        <v>15</v>
      </c>
      <c r="S24" s="135">
        <f t="shared" si="34"/>
        <v>0</v>
      </c>
      <c r="T24" s="136">
        <f t="shared" si="18"/>
        <v>0</v>
      </c>
      <c r="U24" s="136">
        <f t="shared" si="37"/>
        <v>0</v>
      </c>
      <c r="V24" s="135">
        <f t="shared" si="19"/>
        <v>0</v>
      </c>
      <c r="X24" s="130">
        <f t="shared" si="25"/>
        <v>15</v>
      </c>
      <c r="Y24" s="135">
        <f t="shared" si="35"/>
        <v>-932812.21803784941</v>
      </c>
      <c r="Z24" s="136">
        <f t="shared" si="20"/>
        <v>-663957.31171835645</v>
      </c>
      <c r="AA24" s="136">
        <f t="shared" si="38"/>
        <v>268854.90631949296</v>
      </c>
      <c r="AB24" s="135">
        <f t="shared" si="21"/>
        <v>27669984.441781078</v>
      </c>
      <c r="AE24" s="130">
        <f t="shared" si="26"/>
        <v>15</v>
      </c>
      <c r="AF24" s="135">
        <f t="shared" si="45"/>
        <v>0</v>
      </c>
      <c r="AG24" s="136">
        <f t="shared" si="46"/>
        <v>0</v>
      </c>
      <c r="AH24" s="136">
        <f t="shared" si="47"/>
        <v>0</v>
      </c>
      <c r="AI24" s="135">
        <f t="shared" si="48"/>
        <v>0</v>
      </c>
      <c r="AJ24" s="130"/>
      <c r="AK24" s="130">
        <f t="shared" si="27"/>
        <v>15</v>
      </c>
      <c r="AL24" s="135">
        <f t="shared" si="49"/>
        <v>0</v>
      </c>
      <c r="AM24" s="136">
        <f t="shared" si="50"/>
        <v>0</v>
      </c>
      <c r="AN24" s="136">
        <f t="shared" si="51"/>
        <v>0</v>
      </c>
      <c r="AO24" s="135">
        <f t="shared" si="52"/>
        <v>0</v>
      </c>
      <c r="AP24" s="130"/>
      <c r="AQ24" s="130">
        <f t="shared" si="28"/>
        <v>15</v>
      </c>
      <c r="AR24" s="135">
        <f t="shared" si="53"/>
        <v>0</v>
      </c>
      <c r="AS24" s="136">
        <f t="shared" si="54"/>
        <v>0</v>
      </c>
      <c r="AT24" s="136">
        <f t="shared" si="55"/>
        <v>0</v>
      </c>
      <c r="AU24" s="135">
        <f t="shared" ref="AU24:AU59" si="56">IF(AS24=0,0,AU23+AS24)</f>
        <v>0</v>
      </c>
    </row>
    <row r="25" spans="2:47" ht="15.75">
      <c r="F25" s="122"/>
      <c r="L25" s="130">
        <f t="shared" si="23"/>
        <v>16</v>
      </c>
      <c r="M25" s="135">
        <f t="shared" si="33"/>
        <v>0</v>
      </c>
      <c r="N25" s="136">
        <f t="shared" si="16"/>
        <v>0</v>
      </c>
      <c r="O25" s="136">
        <f t="shared" si="36"/>
        <v>0</v>
      </c>
      <c r="P25" s="135">
        <f t="shared" si="17"/>
        <v>0</v>
      </c>
      <c r="R25" s="130">
        <f t="shared" si="24"/>
        <v>16</v>
      </c>
      <c r="S25" s="135">
        <f t="shared" si="34"/>
        <v>0</v>
      </c>
      <c r="T25" s="136">
        <f t="shared" si="18"/>
        <v>0</v>
      </c>
      <c r="U25" s="136">
        <f t="shared" si="37"/>
        <v>0</v>
      </c>
      <c r="V25" s="135">
        <f t="shared" si="19"/>
        <v>0</v>
      </c>
      <c r="X25" s="130">
        <f t="shared" si="25"/>
        <v>16</v>
      </c>
      <c r="Y25" s="135">
        <f t="shared" si="35"/>
        <v>-932812.21803784941</v>
      </c>
      <c r="Z25" s="136">
        <f t="shared" si="20"/>
        <v>-670257.46516665432</v>
      </c>
      <c r="AA25" s="136">
        <f t="shared" si="38"/>
        <v>262554.75287119509</v>
      </c>
      <c r="AB25" s="135">
        <f t="shared" si="21"/>
        <v>26999726.976614423</v>
      </c>
      <c r="AE25" s="130">
        <f t="shared" si="26"/>
        <v>16</v>
      </c>
      <c r="AF25" s="135">
        <f t="shared" si="45"/>
        <v>0</v>
      </c>
      <c r="AG25" s="136">
        <f t="shared" si="46"/>
        <v>0</v>
      </c>
      <c r="AH25" s="136">
        <f t="shared" si="47"/>
        <v>0</v>
      </c>
      <c r="AI25" s="135">
        <f t="shared" si="48"/>
        <v>0</v>
      </c>
      <c r="AJ25" s="130"/>
      <c r="AK25" s="130">
        <f t="shared" si="27"/>
        <v>16</v>
      </c>
      <c r="AL25" s="135">
        <f t="shared" si="49"/>
        <v>0</v>
      </c>
      <c r="AM25" s="136">
        <f t="shared" si="50"/>
        <v>0</v>
      </c>
      <c r="AN25" s="136">
        <f t="shared" si="51"/>
        <v>0</v>
      </c>
      <c r="AO25" s="135">
        <f t="shared" si="52"/>
        <v>0</v>
      </c>
      <c r="AP25" s="130"/>
      <c r="AQ25" s="130">
        <f t="shared" si="28"/>
        <v>16</v>
      </c>
      <c r="AR25" s="135">
        <f t="shared" si="53"/>
        <v>0</v>
      </c>
      <c r="AS25" s="136">
        <f t="shared" si="54"/>
        <v>0</v>
      </c>
      <c r="AT25" s="136">
        <f t="shared" si="55"/>
        <v>0</v>
      </c>
      <c r="AU25" s="135">
        <f t="shared" si="56"/>
        <v>0</v>
      </c>
    </row>
    <row r="26" spans="2:47">
      <c r="B26" s="67"/>
      <c r="C26" s="67"/>
      <c r="L26" s="130">
        <f t="shared" si="23"/>
        <v>17</v>
      </c>
      <c r="M26" s="135">
        <f t="shared" si="33"/>
        <v>0</v>
      </c>
      <c r="N26" s="136">
        <f t="shared" si="16"/>
        <v>0</v>
      </c>
      <c r="O26" s="136">
        <f t="shared" si="36"/>
        <v>0</v>
      </c>
      <c r="P26" s="135">
        <f t="shared" si="17"/>
        <v>0</v>
      </c>
      <c r="R26" s="130">
        <f t="shared" si="24"/>
        <v>17</v>
      </c>
      <c r="S26" s="135">
        <f t="shared" si="34"/>
        <v>0</v>
      </c>
      <c r="T26" s="136">
        <f t="shared" si="18"/>
        <v>0</v>
      </c>
      <c r="U26" s="136">
        <f t="shared" si="37"/>
        <v>0</v>
      </c>
      <c r="V26" s="135">
        <f t="shared" si="19"/>
        <v>0</v>
      </c>
      <c r="X26" s="130">
        <f t="shared" si="25"/>
        <v>17</v>
      </c>
      <c r="Y26" s="135">
        <f t="shared" si="35"/>
        <v>-932812.21803784941</v>
      </c>
      <c r="Z26" s="136">
        <f t="shared" si="20"/>
        <v>-676617.3994664792</v>
      </c>
      <c r="AA26" s="136">
        <f t="shared" si="38"/>
        <v>256194.81857137018</v>
      </c>
      <c r="AB26" s="135">
        <f t="shared" si="21"/>
        <v>26323109.577147946</v>
      </c>
      <c r="AE26" s="130">
        <f t="shared" si="26"/>
        <v>17</v>
      </c>
      <c r="AF26" s="135">
        <f t="shared" si="45"/>
        <v>0</v>
      </c>
      <c r="AG26" s="136">
        <f t="shared" si="46"/>
        <v>0</v>
      </c>
      <c r="AH26" s="136">
        <f t="shared" si="47"/>
        <v>0</v>
      </c>
      <c r="AI26" s="135">
        <f t="shared" si="48"/>
        <v>0</v>
      </c>
      <c r="AJ26" s="130"/>
      <c r="AK26" s="130">
        <f t="shared" si="27"/>
        <v>17</v>
      </c>
      <c r="AL26" s="135">
        <f t="shared" si="49"/>
        <v>0</v>
      </c>
      <c r="AM26" s="136">
        <f t="shared" si="50"/>
        <v>0</v>
      </c>
      <c r="AN26" s="136">
        <f t="shared" si="51"/>
        <v>0</v>
      </c>
      <c r="AO26" s="135">
        <f t="shared" si="52"/>
        <v>0</v>
      </c>
      <c r="AP26" s="130"/>
      <c r="AQ26" s="130">
        <f t="shared" si="28"/>
        <v>17</v>
      </c>
      <c r="AR26" s="135">
        <f t="shared" si="53"/>
        <v>0</v>
      </c>
      <c r="AS26" s="136">
        <f t="shared" si="54"/>
        <v>0</v>
      </c>
      <c r="AT26" s="136">
        <f t="shared" si="55"/>
        <v>0</v>
      </c>
      <c r="AU26" s="135">
        <f t="shared" si="56"/>
        <v>0</v>
      </c>
    </row>
    <row r="27" spans="2:47">
      <c r="B27" s="67"/>
      <c r="C27" s="67" t="s">
        <v>173</v>
      </c>
      <c r="D27" s="112"/>
      <c r="L27" s="130">
        <f t="shared" si="23"/>
        <v>18</v>
      </c>
      <c r="M27" s="135">
        <f t="shared" si="33"/>
        <v>0</v>
      </c>
      <c r="N27" s="136">
        <f t="shared" si="16"/>
        <v>0</v>
      </c>
      <c r="O27" s="136">
        <f t="shared" si="36"/>
        <v>0</v>
      </c>
      <c r="P27" s="135">
        <f t="shared" si="17"/>
        <v>0</v>
      </c>
      <c r="R27" s="130">
        <f t="shared" si="24"/>
        <v>18</v>
      </c>
      <c r="S27" s="135">
        <f t="shared" si="34"/>
        <v>0</v>
      </c>
      <c r="T27" s="136">
        <f t="shared" si="18"/>
        <v>0</v>
      </c>
      <c r="U27" s="136">
        <f t="shared" si="37"/>
        <v>0</v>
      </c>
      <c r="V27" s="135">
        <f t="shared" si="19"/>
        <v>0</v>
      </c>
      <c r="X27" s="130">
        <f t="shared" si="25"/>
        <v>18</v>
      </c>
      <c r="Y27" s="135">
        <f t="shared" si="35"/>
        <v>-932812.21803784941</v>
      </c>
      <c r="Z27" s="136">
        <f t="shared" si="20"/>
        <v>-683037.68186595268</v>
      </c>
      <c r="AA27" s="136">
        <f t="shared" si="38"/>
        <v>249774.53617189673</v>
      </c>
      <c r="AB27" s="135">
        <f t="shared" si="21"/>
        <v>25640071.895281993</v>
      </c>
      <c r="AE27" s="130">
        <f t="shared" si="26"/>
        <v>18</v>
      </c>
      <c r="AF27" s="135">
        <f t="shared" si="45"/>
        <v>0</v>
      </c>
      <c r="AG27" s="136">
        <f t="shared" si="46"/>
        <v>0</v>
      </c>
      <c r="AH27" s="136">
        <f t="shared" si="47"/>
        <v>0</v>
      </c>
      <c r="AI27" s="135">
        <f t="shared" si="48"/>
        <v>0</v>
      </c>
      <c r="AJ27" s="130"/>
      <c r="AK27" s="130">
        <f t="shared" si="27"/>
        <v>18</v>
      </c>
      <c r="AL27" s="135">
        <f t="shared" si="49"/>
        <v>0</v>
      </c>
      <c r="AM27" s="136">
        <f t="shared" si="50"/>
        <v>0</v>
      </c>
      <c r="AN27" s="136">
        <f t="shared" si="51"/>
        <v>0</v>
      </c>
      <c r="AO27" s="135">
        <f t="shared" si="52"/>
        <v>0</v>
      </c>
      <c r="AP27" s="130"/>
      <c r="AQ27" s="130">
        <f t="shared" si="28"/>
        <v>18</v>
      </c>
      <c r="AR27" s="135">
        <f t="shared" si="53"/>
        <v>0</v>
      </c>
      <c r="AS27" s="136">
        <f t="shared" si="54"/>
        <v>0</v>
      </c>
      <c r="AT27" s="136">
        <f t="shared" si="55"/>
        <v>0</v>
      </c>
      <c r="AU27" s="135">
        <f t="shared" si="56"/>
        <v>0</v>
      </c>
    </row>
    <row r="28" spans="2:47">
      <c r="B28" s="67"/>
      <c r="C28" s="67" t="s">
        <v>174</v>
      </c>
      <c r="L28" s="130">
        <f t="shared" si="23"/>
        <v>19</v>
      </c>
      <c r="M28" s="135">
        <f t="shared" si="33"/>
        <v>0</v>
      </c>
      <c r="N28" s="136">
        <f t="shared" si="16"/>
        <v>0</v>
      </c>
      <c r="O28" s="136">
        <f t="shared" si="36"/>
        <v>0</v>
      </c>
      <c r="P28" s="135">
        <f t="shared" si="17"/>
        <v>0</v>
      </c>
      <c r="R28" s="130">
        <f t="shared" si="24"/>
        <v>19</v>
      </c>
      <c r="S28" s="135">
        <f t="shared" si="34"/>
        <v>0</v>
      </c>
      <c r="T28" s="136">
        <f t="shared" si="18"/>
        <v>0</v>
      </c>
      <c r="U28" s="136">
        <f t="shared" si="37"/>
        <v>0</v>
      </c>
      <c r="V28" s="135">
        <f t="shared" si="19"/>
        <v>0</v>
      </c>
      <c r="X28" s="130">
        <f t="shared" si="25"/>
        <v>19</v>
      </c>
      <c r="Y28" s="135">
        <f t="shared" si="35"/>
        <v>-932812.21803784941</v>
      </c>
      <c r="Z28" s="136">
        <f t="shared" si="20"/>
        <v>-689518.88499569637</v>
      </c>
      <c r="AA28" s="136">
        <f t="shared" si="38"/>
        <v>243293.3330421531</v>
      </c>
      <c r="AB28" s="135">
        <f t="shared" si="21"/>
        <v>24950553.010286298</v>
      </c>
      <c r="AE28" s="130">
        <f t="shared" si="26"/>
        <v>19</v>
      </c>
      <c r="AF28" s="135">
        <f t="shared" si="45"/>
        <v>0</v>
      </c>
      <c r="AG28" s="136">
        <f t="shared" si="46"/>
        <v>0</v>
      </c>
      <c r="AH28" s="136">
        <f t="shared" si="47"/>
        <v>0</v>
      </c>
      <c r="AI28" s="135">
        <f t="shared" si="48"/>
        <v>0</v>
      </c>
      <c r="AJ28" s="130"/>
      <c r="AK28" s="130">
        <f t="shared" si="27"/>
        <v>19</v>
      </c>
      <c r="AL28" s="135">
        <f t="shared" si="49"/>
        <v>0</v>
      </c>
      <c r="AM28" s="136">
        <f t="shared" si="50"/>
        <v>0</v>
      </c>
      <c r="AN28" s="136">
        <f t="shared" si="51"/>
        <v>0</v>
      </c>
      <c r="AO28" s="135">
        <f t="shared" si="52"/>
        <v>0</v>
      </c>
      <c r="AP28" s="130"/>
      <c r="AQ28" s="130">
        <f t="shared" si="28"/>
        <v>19</v>
      </c>
      <c r="AR28" s="135">
        <f t="shared" si="53"/>
        <v>0</v>
      </c>
      <c r="AS28" s="136">
        <f t="shared" si="54"/>
        <v>0</v>
      </c>
      <c r="AT28" s="136">
        <f t="shared" si="55"/>
        <v>0</v>
      </c>
      <c r="AU28" s="135">
        <f t="shared" si="56"/>
        <v>0</v>
      </c>
    </row>
    <row r="29" spans="2:47">
      <c r="B29" s="67"/>
      <c r="C29" s="67"/>
      <c r="L29" s="130">
        <f t="shared" si="23"/>
        <v>20</v>
      </c>
      <c r="M29" s="135">
        <f t="shared" si="33"/>
        <v>0</v>
      </c>
      <c r="N29" s="136">
        <f t="shared" si="16"/>
        <v>0</v>
      </c>
      <c r="O29" s="136">
        <f t="shared" si="36"/>
        <v>0</v>
      </c>
      <c r="P29" s="135">
        <f t="shared" si="17"/>
        <v>0</v>
      </c>
      <c r="R29" s="130">
        <f t="shared" si="24"/>
        <v>20</v>
      </c>
      <c r="S29" s="135">
        <f t="shared" si="34"/>
        <v>0</v>
      </c>
      <c r="T29" s="136">
        <f t="shared" si="18"/>
        <v>0</v>
      </c>
      <c r="U29" s="136">
        <f t="shared" si="37"/>
        <v>0</v>
      </c>
      <c r="V29" s="135">
        <f t="shared" si="19"/>
        <v>0</v>
      </c>
      <c r="X29" s="130">
        <f t="shared" si="25"/>
        <v>20</v>
      </c>
      <c r="Y29" s="135">
        <f t="shared" si="35"/>
        <v>-932812.21803784941</v>
      </c>
      <c r="Z29" s="136">
        <f t="shared" si="20"/>
        <v>-696061.58691990504</v>
      </c>
      <c r="AA29" s="136">
        <f t="shared" si="38"/>
        <v>236750.63111794437</v>
      </c>
      <c r="AB29" s="135">
        <f t="shared" si="21"/>
        <v>24254491.423366394</v>
      </c>
      <c r="AE29" s="130">
        <f t="shared" si="26"/>
        <v>20</v>
      </c>
      <c r="AF29" s="135">
        <f t="shared" si="45"/>
        <v>0</v>
      </c>
      <c r="AG29" s="136">
        <f t="shared" si="46"/>
        <v>0</v>
      </c>
      <c r="AH29" s="136">
        <f t="shared" si="47"/>
        <v>0</v>
      </c>
      <c r="AI29" s="135">
        <f t="shared" si="48"/>
        <v>0</v>
      </c>
      <c r="AJ29" s="130"/>
      <c r="AK29" s="130">
        <f t="shared" si="27"/>
        <v>20</v>
      </c>
      <c r="AL29" s="135">
        <f t="shared" si="49"/>
        <v>0</v>
      </c>
      <c r="AM29" s="136">
        <f t="shared" si="50"/>
        <v>0</v>
      </c>
      <c r="AN29" s="136">
        <f t="shared" si="51"/>
        <v>0</v>
      </c>
      <c r="AO29" s="135">
        <f t="shared" si="52"/>
        <v>0</v>
      </c>
      <c r="AP29" s="130"/>
      <c r="AQ29" s="130">
        <f t="shared" si="28"/>
        <v>20</v>
      </c>
      <c r="AR29" s="135">
        <f t="shared" si="53"/>
        <v>0</v>
      </c>
      <c r="AS29" s="136">
        <f t="shared" si="54"/>
        <v>0</v>
      </c>
      <c r="AT29" s="136">
        <f t="shared" si="55"/>
        <v>0</v>
      </c>
      <c r="AU29" s="135">
        <f t="shared" si="56"/>
        <v>0</v>
      </c>
    </row>
    <row r="30" spans="2:47">
      <c r="L30" s="130">
        <f t="shared" si="23"/>
        <v>21</v>
      </c>
      <c r="M30" s="135">
        <f t="shared" si="33"/>
        <v>0</v>
      </c>
      <c r="N30" s="136">
        <f t="shared" si="16"/>
        <v>0</v>
      </c>
      <c r="O30" s="136">
        <f t="shared" si="36"/>
        <v>0</v>
      </c>
      <c r="P30" s="135">
        <f t="shared" si="17"/>
        <v>0</v>
      </c>
      <c r="R30" s="130">
        <f t="shared" si="24"/>
        <v>21</v>
      </c>
      <c r="S30" s="135">
        <f t="shared" si="34"/>
        <v>0</v>
      </c>
      <c r="T30" s="136">
        <f t="shared" si="18"/>
        <v>0</v>
      </c>
      <c r="U30" s="136">
        <f t="shared" si="37"/>
        <v>0</v>
      </c>
      <c r="V30" s="135">
        <f t="shared" si="19"/>
        <v>0</v>
      </c>
      <c r="X30" s="130">
        <f t="shared" si="25"/>
        <v>21</v>
      </c>
      <c r="Y30" s="135">
        <f t="shared" si="35"/>
        <v>-932812.21803784941</v>
      </c>
      <c r="Z30" s="136">
        <f t="shared" si="20"/>
        <v>-702666.37118790532</v>
      </c>
      <c r="AA30" s="136">
        <f t="shared" si="38"/>
        <v>230145.84684994412</v>
      </c>
      <c r="AB30" s="135">
        <f t="shared" si="21"/>
        <v>23551825.052178487</v>
      </c>
      <c r="AE30" s="130">
        <f t="shared" si="26"/>
        <v>21</v>
      </c>
      <c r="AF30" s="135">
        <f t="shared" si="45"/>
        <v>0</v>
      </c>
      <c r="AG30" s="136">
        <f t="shared" si="46"/>
        <v>0</v>
      </c>
      <c r="AH30" s="136">
        <f t="shared" si="47"/>
        <v>0</v>
      </c>
      <c r="AI30" s="135">
        <f t="shared" si="48"/>
        <v>0</v>
      </c>
      <c r="AJ30" s="130"/>
      <c r="AK30" s="130">
        <f t="shared" si="27"/>
        <v>21</v>
      </c>
      <c r="AL30" s="135">
        <f t="shared" si="49"/>
        <v>0</v>
      </c>
      <c r="AM30" s="136">
        <f t="shared" si="50"/>
        <v>0</v>
      </c>
      <c r="AN30" s="136">
        <f t="shared" si="51"/>
        <v>0</v>
      </c>
      <c r="AO30" s="135">
        <f t="shared" si="52"/>
        <v>0</v>
      </c>
      <c r="AP30" s="130"/>
      <c r="AQ30" s="130">
        <f t="shared" si="28"/>
        <v>21</v>
      </c>
      <c r="AR30" s="135">
        <f t="shared" si="53"/>
        <v>0</v>
      </c>
      <c r="AS30" s="136">
        <f t="shared" si="54"/>
        <v>0</v>
      </c>
      <c r="AT30" s="136">
        <f t="shared" si="55"/>
        <v>0</v>
      </c>
      <c r="AU30" s="135">
        <f t="shared" si="56"/>
        <v>0</v>
      </c>
    </row>
    <row r="31" spans="2:47">
      <c r="L31" s="130">
        <f t="shared" si="23"/>
        <v>22</v>
      </c>
      <c r="M31" s="135">
        <f t="shared" si="33"/>
        <v>0</v>
      </c>
      <c r="N31" s="136">
        <f t="shared" si="16"/>
        <v>0</v>
      </c>
      <c r="O31" s="136">
        <f t="shared" si="36"/>
        <v>0</v>
      </c>
      <c r="P31" s="135">
        <f t="shared" si="17"/>
        <v>0</v>
      </c>
      <c r="R31" s="130">
        <f t="shared" si="24"/>
        <v>22</v>
      </c>
      <c r="S31" s="135">
        <f t="shared" si="34"/>
        <v>0</v>
      </c>
      <c r="T31" s="136">
        <f t="shared" si="18"/>
        <v>0</v>
      </c>
      <c r="U31" s="136">
        <f t="shared" si="37"/>
        <v>0</v>
      </c>
      <c r="V31" s="135">
        <f t="shared" si="19"/>
        <v>0</v>
      </c>
      <c r="X31" s="130">
        <f t="shared" si="25"/>
        <v>22</v>
      </c>
      <c r="Y31" s="135">
        <f t="shared" si="35"/>
        <v>-932812.21803784941</v>
      </c>
      <c r="Z31" s="136">
        <f t="shared" si="20"/>
        <v>-709333.82688620221</v>
      </c>
      <c r="AA31" s="136">
        <f t="shared" si="38"/>
        <v>223478.3911516472</v>
      </c>
      <c r="AB31" s="135">
        <f t="shared" si="21"/>
        <v>22842491.225292284</v>
      </c>
      <c r="AE31" s="130">
        <f t="shared" si="26"/>
        <v>22</v>
      </c>
      <c r="AF31" s="135">
        <f t="shared" si="45"/>
        <v>0</v>
      </c>
      <c r="AG31" s="136">
        <f t="shared" si="46"/>
        <v>0</v>
      </c>
      <c r="AH31" s="136">
        <f t="shared" si="47"/>
        <v>0</v>
      </c>
      <c r="AI31" s="135">
        <f t="shared" si="48"/>
        <v>0</v>
      </c>
      <c r="AJ31" s="130"/>
      <c r="AK31" s="130">
        <f t="shared" si="27"/>
        <v>22</v>
      </c>
      <c r="AL31" s="135">
        <f t="shared" si="49"/>
        <v>0</v>
      </c>
      <c r="AM31" s="136">
        <f t="shared" si="50"/>
        <v>0</v>
      </c>
      <c r="AN31" s="136">
        <f t="shared" si="51"/>
        <v>0</v>
      </c>
      <c r="AO31" s="135">
        <f t="shared" si="52"/>
        <v>0</v>
      </c>
      <c r="AP31" s="130"/>
      <c r="AQ31" s="130">
        <f t="shared" si="28"/>
        <v>22</v>
      </c>
      <c r="AR31" s="135">
        <f t="shared" si="53"/>
        <v>0</v>
      </c>
      <c r="AS31" s="136">
        <f t="shared" si="54"/>
        <v>0</v>
      </c>
      <c r="AT31" s="136">
        <f t="shared" si="55"/>
        <v>0</v>
      </c>
      <c r="AU31" s="135">
        <f t="shared" si="56"/>
        <v>0</v>
      </c>
    </row>
    <row r="32" spans="2:47">
      <c r="L32" s="130">
        <f t="shared" si="23"/>
        <v>23</v>
      </c>
      <c r="M32" s="135">
        <f t="shared" si="33"/>
        <v>0</v>
      </c>
      <c r="N32" s="136">
        <f t="shared" si="16"/>
        <v>0</v>
      </c>
      <c r="O32" s="136">
        <f t="shared" si="36"/>
        <v>0</v>
      </c>
      <c r="P32" s="135">
        <f t="shared" si="17"/>
        <v>0</v>
      </c>
      <c r="R32" s="130">
        <f t="shared" si="24"/>
        <v>23</v>
      </c>
      <c r="S32" s="135">
        <f t="shared" si="34"/>
        <v>0</v>
      </c>
      <c r="T32" s="136">
        <f t="shared" si="18"/>
        <v>0</v>
      </c>
      <c r="U32" s="136">
        <f t="shared" si="37"/>
        <v>0</v>
      </c>
      <c r="V32" s="135">
        <f t="shared" si="19"/>
        <v>0</v>
      </c>
      <c r="X32" s="130">
        <f t="shared" si="25"/>
        <v>23</v>
      </c>
      <c r="Y32" s="135">
        <f t="shared" si="35"/>
        <v>-932812.21803784941</v>
      </c>
      <c r="Z32" s="136">
        <f t="shared" si="20"/>
        <v>-716064.54869102081</v>
      </c>
      <c r="AA32" s="136">
        <f t="shared" si="38"/>
        <v>216747.66934682865</v>
      </c>
      <c r="AB32" s="135">
        <f t="shared" si="21"/>
        <v>22126426.676601265</v>
      </c>
      <c r="AE32" s="130">
        <f t="shared" si="26"/>
        <v>23</v>
      </c>
      <c r="AF32" s="135">
        <f t="shared" si="45"/>
        <v>0</v>
      </c>
      <c r="AG32" s="136">
        <f t="shared" si="46"/>
        <v>0</v>
      </c>
      <c r="AH32" s="136">
        <f t="shared" si="47"/>
        <v>0</v>
      </c>
      <c r="AI32" s="135">
        <f t="shared" si="48"/>
        <v>0</v>
      </c>
      <c r="AJ32" s="130"/>
      <c r="AK32" s="130">
        <f t="shared" si="27"/>
        <v>23</v>
      </c>
      <c r="AL32" s="135">
        <f t="shared" si="49"/>
        <v>0</v>
      </c>
      <c r="AM32" s="136">
        <f t="shared" si="50"/>
        <v>0</v>
      </c>
      <c r="AN32" s="136">
        <f t="shared" si="51"/>
        <v>0</v>
      </c>
      <c r="AO32" s="135">
        <f t="shared" si="52"/>
        <v>0</v>
      </c>
      <c r="AP32" s="130"/>
      <c r="AQ32" s="130">
        <f t="shared" si="28"/>
        <v>23</v>
      </c>
      <c r="AR32" s="135">
        <f t="shared" si="53"/>
        <v>0</v>
      </c>
      <c r="AS32" s="136">
        <f t="shared" si="54"/>
        <v>0</v>
      </c>
      <c r="AT32" s="136">
        <f t="shared" si="55"/>
        <v>0</v>
      </c>
      <c r="AU32" s="135">
        <f t="shared" si="56"/>
        <v>0</v>
      </c>
    </row>
    <row r="33" spans="12:47">
      <c r="L33" s="130">
        <f t="shared" si="23"/>
        <v>24</v>
      </c>
      <c r="M33" s="135">
        <f t="shared" si="33"/>
        <v>0</v>
      </c>
      <c r="N33" s="136">
        <f t="shared" si="16"/>
        <v>0</v>
      </c>
      <c r="O33" s="136">
        <f t="shared" si="36"/>
        <v>0</v>
      </c>
      <c r="P33" s="135">
        <f t="shared" si="17"/>
        <v>0</v>
      </c>
      <c r="R33" s="130">
        <f t="shared" si="24"/>
        <v>24</v>
      </c>
      <c r="S33" s="135">
        <f t="shared" si="34"/>
        <v>0</v>
      </c>
      <c r="T33" s="136">
        <f t="shared" si="18"/>
        <v>0</v>
      </c>
      <c r="U33" s="136">
        <f t="shared" si="37"/>
        <v>0</v>
      </c>
      <c r="V33" s="135">
        <f t="shared" si="19"/>
        <v>0</v>
      </c>
      <c r="X33" s="130">
        <f t="shared" si="25"/>
        <v>24</v>
      </c>
      <c r="Y33" s="135">
        <f t="shared" si="35"/>
        <v>-932812.21803784941</v>
      </c>
      <c r="Z33" s="136">
        <f t="shared" si="20"/>
        <v>-722859.13692134549</v>
      </c>
      <c r="AA33" s="136">
        <f t="shared" si="38"/>
        <v>209953.08111650389</v>
      </c>
      <c r="AB33" s="135">
        <f t="shared" si="21"/>
        <v>21403567.539679918</v>
      </c>
      <c r="AE33" s="130">
        <f t="shared" si="26"/>
        <v>24</v>
      </c>
      <c r="AF33" s="135">
        <f t="shared" si="45"/>
        <v>0</v>
      </c>
      <c r="AG33" s="136">
        <f t="shared" si="46"/>
        <v>0</v>
      </c>
      <c r="AH33" s="136">
        <f t="shared" si="47"/>
        <v>0</v>
      </c>
      <c r="AI33" s="135">
        <f t="shared" si="48"/>
        <v>0</v>
      </c>
      <c r="AJ33" s="130"/>
      <c r="AK33" s="130">
        <f t="shared" si="27"/>
        <v>24</v>
      </c>
      <c r="AL33" s="135">
        <f t="shared" si="49"/>
        <v>0</v>
      </c>
      <c r="AM33" s="136">
        <f t="shared" si="50"/>
        <v>0</v>
      </c>
      <c r="AN33" s="136">
        <f t="shared" si="51"/>
        <v>0</v>
      </c>
      <c r="AO33" s="135">
        <f t="shared" si="52"/>
        <v>0</v>
      </c>
      <c r="AP33" s="130"/>
      <c r="AQ33" s="130">
        <f t="shared" si="28"/>
        <v>24</v>
      </c>
      <c r="AR33" s="135">
        <f t="shared" si="53"/>
        <v>0</v>
      </c>
      <c r="AS33" s="136">
        <f t="shared" si="54"/>
        <v>0</v>
      </c>
      <c r="AT33" s="136">
        <f t="shared" si="55"/>
        <v>0</v>
      </c>
      <c r="AU33" s="135">
        <f t="shared" si="56"/>
        <v>0</v>
      </c>
    </row>
    <row r="34" spans="12:47">
      <c r="L34" s="130">
        <f t="shared" si="23"/>
        <v>25</v>
      </c>
      <c r="M34" s="135">
        <f t="shared" si="33"/>
        <v>0</v>
      </c>
      <c r="N34" s="136">
        <f t="shared" si="16"/>
        <v>0</v>
      </c>
      <c r="O34" s="136">
        <f t="shared" si="36"/>
        <v>0</v>
      </c>
      <c r="P34" s="135">
        <f t="shared" si="17"/>
        <v>0</v>
      </c>
      <c r="R34" s="130">
        <f t="shared" si="24"/>
        <v>25</v>
      </c>
      <c r="S34" s="135">
        <f t="shared" si="34"/>
        <v>0</v>
      </c>
      <c r="T34" s="136">
        <f t="shared" si="18"/>
        <v>0</v>
      </c>
      <c r="U34" s="136">
        <f t="shared" si="37"/>
        <v>0</v>
      </c>
      <c r="V34" s="135">
        <f t="shared" si="19"/>
        <v>0</v>
      </c>
      <c r="X34" s="130">
        <f t="shared" si="25"/>
        <v>25</v>
      </c>
      <c r="Y34" s="135">
        <f t="shared" si="35"/>
        <v>-932812.21803784941</v>
      </c>
      <c r="Z34" s="136">
        <f t="shared" si="20"/>
        <v>-729718.19759246358</v>
      </c>
      <c r="AA34" s="136">
        <f t="shared" si="38"/>
        <v>203094.02044538583</v>
      </c>
      <c r="AB34" s="135">
        <f t="shared" si="21"/>
        <v>20673849.342087455</v>
      </c>
      <c r="AE34" s="130">
        <f t="shared" si="26"/>
        <v>25</v>
      </c>
      <c r="AF34" s="135">
        <f t="shared" si="45"/>
        <v>0</v>
      </c>
      <c r="AG34" s="136">
        <f t="shared" si="46"/>
        <v>0</v>
      </c>
      <c r="AH34" s="136">
        <f t="shared" si="47"/>
        <v>0</v>
      </c>
      <c r="AI34" s="135">
        <f t="shared" si="48"/>
        <v>0</v>
      </c>
      <c r="AJ34" s="130"/>
      <c r="AK34" s="130">
        <f t="shared" si="27"/>
        <v>25</v>
      </c>
      <c r="AL34" s="135">
        <f t="shared" si="49"/>
        <v>0</v>
      </c>
      <c r="AM34" s="136">
        <f t="shared" si="50"/>
        <v>0</v>
      </c>
      <c r="AN34" s="136">
        <f t="shared" si="51"/>
        <v>0</v>
      </c>
      <c r="AO34" s="135">
        <f t="shared" si="52"/>
        <v>0</v>
      </c>
      <c r="AP34" s="130"/>
      <c r="AQ34" s="130">
        <f t="shared" si="28"/>
        <v>25</v>
      </c>
      <c r="AR34" s="135">
        <f t="shared" si="53"/>
        <v>0</v>
      </c>
      <c r="AS34" s="136">
        <f t="shared" si="54"/>
        <v>0</v>
      </c>
      <c r="AT34" s="136">
        <f t="shared" si="55"/>
        <v>0</v>
      </c>
      <c r="AU34" s="135">
        <f t="shared" si="56"/>
        <v>0</v>
      </c>
    </row>
    <row r="35" spans="12:47">
      <c r="L35" s="130">
        <f t="shared" si="23"/>
        <v>26</v>
      </c>
      <c r="M35" s="135">
        <f t="shared" si="33"/>
        <v>0</v>
      </c>
      <c r="N35" s="136">
        <f t="shared" si="16"/>
        <v>0</v>
      </c>
      <c r="O35" s="136">
        <f t="shared" si="36"/>
        <v>0</v>
      </c>
      <c r="P35" s="135">
        <f t="shared" si="17"/>
        <v>0</v>
      </c>
      <c r="R35" s="130">
        <f t="shared" si="24"/>
        <v>26</v>
      </c>
      <c r="S35" s="135">
        <f t="shared" si="34"/>
        <v>0</v>
      </c>
      <c r="T35" s="136">
        <f t="shared" si="18"/>
        <v>0</v>
      </c>
      <c r="U35" s="136">
        <f t="shared" si="37"/>
        <v>0</v>
      </c>
      <c r="V35" s="135">
        <f t="shared" si="19"/>
        <v>0</v>
      </c>
      <c r="X35" s="130">
        <f t="shared" si="25"/>
        <v>26</v>
      </c>
      <c r="Y35" s="135">
        <f t="shared" si="35"/>
        <v>-932812.21803784941</v>
      </c>
      <c r="Z35" s="136">
        <f t="shared" si="20"/>
        <v>-736642.34247001563</v>
      </c>
      <c r="AA35" s="136">
        <f t="shared" si="38"/>
        <v>196169.87556783381</v>
      </c>
      <c r="AB35" s="135">
        <f t="shared" si="21"/>
        <v>19937206.999617439</v>
      </c>
      <c r="AE35" s="130">
        <f t="shared" si="26"/>
        <v>26</v>
      </c>
      <c r="AF35" s="135">
        <f t="shared" si="45"/>
        <v>0</v>
      </c>
      <c r="AG35" s="136">
        <f t="shared" si="46"/>
        <v>0</v>
      </c>
      <c r="AH35" s="136">
        <f t="shared" si="47"/>
        <v>0</v>
      </c>
      <c r="AI35" s="135">
        <f t="shared" si="48"/>
        <v>0</v>
      </c>
      <c r="AJ35" s="130"/>
      <c r="AK35" s="130">
        <f t="shared" si="27"/>
        <v>26</v>
      </c>
      <c r="AL35" s="135">
        <f t="shared" si="49"/>
        <v>0</v>
      </c>
      <c r="AM35" s="136">
        <f t="shared" si="50"/>
        <v>0</v>
      </c>
      <c r="AN35" s="136">
        <f t="shared" si="51"/>
        <v>0</v>
      </c>
      <c r="AO35" s="135">
        <f t="shared" si="52"/>
        <v>0</v>
      </c>
      <c r="AP35" s="130"/>
      <c r="AQ35" s="130">
        <f t="shared" si="28"/>
        <v>26</v>
      </c>
      <c r="AR35" s="135">
        <f t="shared" si="53"/>
        <v>0</v>
      </c>
      <c r="AS35" s="136">
        <f t="shared" si="54"/>
        <v>0</v>
      </c>
      <c r="AT35" s="136">
        <f t="shared" si="55"/>
        <v>0</v>
      </c>
      <c r="AU35" s="135">
        <f t="shared" si="56"/>
        <v>0</v>
      </c>
    </row>
    <row r="36" spans="12:47">
      <c r="L36" s="130">
        <f t="shared" si="23"/>
        <v>27</v>
      </c>
      <c r="M36" s="135">
        <f t="shared" si="33"/>
        <v>0</v>
      </c>
      <c r="N36" s="136">
        <f t="shared" si="16"/>
        <v>0</v>
      </c>
      <c r="O36" s="136">
        <f t="shared" si="36"/>
        <v>0</v>
      </c>
      <c r="P36" s="135">
        <f t="shared" si="17"/>
        <v>0</v>
      </c>
      <c r="R36" s="130">
        <f t="shared" si="24"/>
        <v>27</v>
      </c>
      <c r="S36" s="135">
        <f t="shared" si="34"/>
        <v>0</v>
      </c>
      <c r="T36" s="136">
        <f t="shared" si="18"/>
        <v>0</v>
      </c>
      <c r="U36" s="136">
        <f t="shared" si="37"/>
        <v>0</v>
      </c>
      <c r="V36" s="135">
        <f t="shared" si="19"/>
        <v>0</v>
      </c>
      <c r="X36" s="130">
        <f t="shared" si="25"/>
        <v>27</v>
      </c>
      <c r="Y36" s="135">
        <f t="shared" si="35"/>
        <v>-932812.21803784941</v>
      </c>
      <c r="Z36" s="136">
        <f t="shared" si="20"/>
        <v>-743632.18912455975</v>
      </c>
      <c r="AA36" s="136">
        <f t="shared" si="38"/>
        <v>189180.0289132896</v>
      </c>
      <c r="AB36" s="135">
        <f t="shared" si="21"/>
        <v>19193574.810492881</v>
      </c>
      <c r="AE36" s="130">
        <f t="shared" si="26"/>
        <v>27</v>
      </c>
      <c r="AF36" s="135">
        <f t="shared" si="45"/>
        <v>0</v>
      </c>
      <c r="AG36" s="136">
        <f t="shared" si="46"/>
        <v>0</v>
      </c>
      <c r="AH36" s="136">
        <f t="shared" si="47"/>
        <v>0</v>
      </c>
      <c r="AI36" s="135">
        <f t="shared" si="48"/>
        <v>0</v>
      </c>
      <c r="AJ36" s="130"/>
      <c r="AK36" s="130">
        <f t="shared" si="27"/>
        <v>27</v>
      </c>
      <c r="AL36" s="135">
        <f t="shared" si="49"/>
        <v>0</v>
      </c>
      <c r="AM36" s="136">
        <f t="shared" si="50"/>
        <v>0</v>
      </c>
      <c r="AN36" s="136">
        <f t="shared" si="51"/>
        <v>0</v>
      </c>
      <c r="AO36" s="135">
        <f t="shared" si="52"/>
        <v>0</v>
      </c>
      <c r="AP36" s="130"/>
      <c r="AQ36" s="130">
        <f t="shared" si="28"/>
        <v>27</v>
      </c>
      <c r="AR36" s="135">
        <f t="shared" si="53"/>
        <v>0</v>
      </c>
      <c r="AS36" s="136">
        <f t="shared" si="54"/>
        <v>0</v>
      </c>
      <c r="AT36" s="136">
        <f t="shared" si="55"/>
        <v>0</v>
      </c>
      <c r="AU36" s="135">
        <f t="shared" si="56"/>
        <v>0</v>
      </c>
    </row>
    <row r="37" spans="12:47">
      <c r="L37" s="130">
        <f t="shared" si="23"/>
        <v>28</v>
      </c>
      <c r="M37" s="135">
        <f t="shared" si="33"/>
        <v>0</v>
      </c>
      <c r="N37" s="136">
        <f t="shared" si="16"/>
        <v>0</v>
      </c>
      <c r="O37" s="136">
        <f t="shared" si="36"/>
        <v>0</v>
      </c>
      <c r="P37" s="135">
        <f t="shared" si="17"/>
        <v>0</v>
      </c>
      <c r="R37" s="130">
        <f t="shared" si="24"/>
        <v>28</v>
      </c>
      <c r="S37" s="135">
        <f t="shared" si="34"/>
        <v>0</v>
      </c>
      <c r="T37" s="136">
        <f t="shared" si="18"/>
        <v>0</v>
      </c>
      <c r="U37" s="136">
        <f t="shared" si="37"/>
        <v>0</v>
      </c>
      <c r="V37" s="135">
        <f t="shared" si="19"/>
        <v>0</v>
      </c>
      <c r="X37" s="130">
        <f t="shared" si="25"/>
        <v>28</v>
      </c>
      <c r="Y37" s="135">
        <f t="shared" si="35"/>
        <v>-932812.21803784941</v>
      </c>
      <c r="Z37" s="136">
        <f t="shared" si="20"/>
        <v>-750688.36098665348</v>
      </c>
      <c r="AA37" s="136">
        <f t="shared" si="38"/>
        <v>182123.85705119596</v>
      </c>
      <c r="AB37" s="135">
        <f t="shared" si="21"/>
        <v>18442886.449506227</v>
      </c>
      <c r="AE37" s="130">
        <f t="shared" si="26"/>
        <v>28</v>
      </c>
      <c r="AF37" s="135">
        <f t="shared" si="45"/>
        <v>0</v>
      </c>
      <c r="AG37" s="136">
        <f t="shared" si="46"/>
        <v>0</v>
      </c>
      <c r="AH37" s="136">
        <f t="shared" si="47"/>
        <v>0</v>
      </c>
      <c r="AI37" s="135">
        <f t="shared" si="48"/>
        <v>0</v>
      </c>
      <c r="AJ37" s="130"/>
      <c r="AK37" s="130">
        <f t="shared" si="27"/>
        <v>28</v>
      </c>
      <c r="AL37" s="135">
        <f t="shared" si="49"/>
        <v>0</v>
      </c>
      <c r="AM37" s="136">
        <f t="shared" si="50"/>
        <v>0</v>
      </c>
      <c r="AN37" s="136">
        <f t="shared" si="51"/>
        <v>0</v>
      </c>
      <c r="AO37" s="135">
        <f t="shared" si="52"/>
        <v>0</v>
      </c>
      <c r="AP37" s="130"/>
      <c r="AQ37" s="130">
        <f t="shared" si="28"/>
        <v>28</v>
      </c>
      <c r="AR37" s="135">
        <f t="shared" si="53"/>
        <v>0</v>
      </c>
      <c r="AS37" s="136">
        <f t="shared" si="54"/>
        <v>0</v>
      </c>
      <c r="AT37" s="136">
        <f t="shared" si="55"/>
        <v>0</v>
      </c>
      <c r="AU37" s="135">
        <f t="shared" si="56"/>
        <v>0</v>
      </c>
    </row>
    <row r="38" spans="12:47">
      <c r="L38" s="130">
        <f t="shared" si="23"/>
        <v>29</v>
      </c>
      <c r="M38" s="135">
        <f t="shared" si="33"/>
        <v>0</v>
      </c>
      <c r="N38" s="136">
        <f t="shared" si="16"/>
        <v>0</v>
      </c>
      <c r="O38" s="136">
        <f t="shared" si="36"/>
        <v>0</v>
      </c>
      <c r="P38" s="135">
        <f t="shared" si="17"/>
        <v>0</v>
      </c>
      <c r="R38" s="130">
        <f t="shared" si="24"/>
        <v>29</v>
      </c>
      <c r="S38" s="135">
        <f t="shared" si="34"/>
        <v>0</v>
      </c>
      <c r="T38" s="136">
        <f t="shared" si="18"/>
        <v>0</v>
      </c>
      <c r="U38" s="136">
        <f t="shared" si="37"/>
        <v>0</v>
      </c>
      <c r="V38" s="135">
        <f t="shared" si="19"/>
        <v>0</v>
      </c>
      <c r="X38" s="130">
        <f t="shared" si="25"/>
        <v>29</v>
      </c>
      <c r="Y38" s="135">
        <f t="shared" si="35"/>
        <v>-932812.21803784941</v>
      </c>
      <c r="Z38" s="136">
        <f t="shared" si="20"/>
        <v>-757811.48740245728</v>
      </c>
      <c r="AA38" s="136">
        <f t="shared" si="38"/>
        <v>175000.73063539207</v>
      </c>
      <c r="AB38" s="135">
        <f t="shared" si="21"/>
        <v>17685074.962103769</v>
      </c>
      <c r="AE38" s="130">
        <f t="shared" si="26"/>
        <v>29</v>
      </c>
      <c r="AF38" s="135">
        <f t="shared" si="45"/>
        <v>0</v>
      </c>
      <c r="AG38" s="136">
        <f t="shared" si="46"/>
        <v>0</v>
      </c>
      <c r="AH38" s="136">
        <f t="shared" si="47"/>
        <v>0</v>
      </c>
      <c r="AI38" s="135">
        <f t="shared" si="48"/>
        <v>0</v>
      </c>
      <c r="AJ38" s="130"/>
      <c r="AK38" s="130">
        <f t="shared" si="27"/>
        <v>29</v>
      </c>
      <c r="AL38" s="135">
        <f t="shared" si="49"/>
        <v>0</v>
      </c>
      <c r="AM38" s="136">
        <f t="shared" si="50"/>
        <v>0</v>
      </c>
      <c r="AN38" s="136">
        <f t="shared" si="51"/>
        <v>0</v>
      </c>
      <c r="AO38" s="135">
        <f t="shared" si="52"/>
        <v>0</v>
      </c>
      <c r="AP38" s="130"/>
      <c r="AQ38" s="130">
        <f t="shared" si="28"/>
        <v>29</v>
      </c>
      <c r="AR38" s="135">
        <f t="shared" si="53"/>
        <v>0</v>
      </c>
      <c r="AS38" s="136">
        <f t="shared" si="54"/>
        <v>0</v>
      </c>
      <c r="AT38" s="136">
        <f t="shared" si="55"/>
        <v>0</v>
      </c>
      <c r="AU38" s="135">
        <f t="shared" si="56"/>
        <v>0</v>
      </c>
    </row>
    <row r="39" spans="12:47">
      <c r="L39" s="130">
        <f t="shared" si="23"/>
        <v>30</v>
      </c>
      <c r="M39" s="135">
        <f t="shared" si="33"/>
        <v>0</v>
      </c>
      <c r="N39" s="136">
        <f t="shared" si="16"/>
        <v>0</v>
      </c>
      <c r="O39" s="136">
        <f t="shared" si="36"/>
        <v>0</v>
      </c>
      <c r="P39" s="135">
        <f t="shared" si="17"/>
        <v>0</v>
      </c>
      <c r="R39" s="130">
        <f t="shared" si="24"/>
        <v>30</v>
      </c>
      <c r="S39" s="135">
        <f t="shared" si="34"/>
        <v>0</v>
      </c>
      <c r="T39" s="136">
        <f t="shared" si="18"/>
        <v>0</v>
      </c>
      <c r="U39" s="136">
        <f t="shared" si="37"/>
        <v>0</v>
      </c>
      <c r="V39" s="135">
        <f t="shared" si="19"/>
        <v>0</v>
      </c>
      <c r="X39" s="130">
        <f t="shared" si="25"/>
        <v>30</v>
      </c>
      <c r="Y39" s="135">
        <f t="shared" si="35"/>
        <v>-932812.21803784941</v>
      </c>
      <c r="Z39" s="136">
        <f t="shared" si="20"/>
        <v>-765002.20368986763</v>
      </c>
      <c r="AA39" s="136">
        <f t="shared" si="38"/>
        <v>167810.01434798178</v>
      </c>
      <c r="AB39" s="135">
        <f t="shared" si="21"/>
        <v>16920072.758413903</v>
      </c>
      <c r="AE39" s="130">
        <f t="shared" si="26"/>
        <v>30</v>
      </c>
      <c r="AF39" s="135">
        <f t="shared" si="45"/>
        <v>0</v>
      </c>
      <c r="AG39" s="136">
        <f t="shared" si="46"/>
        <v>0</v>
      </c>
      <c r="AH39" s="136">
        <f t="shared" si="47"/>
        <v>0</v>
      </c>
      <c r="AI39" s="135">
        <f t="shared" si="48"/>
        <v>0</v>
      </c>
      <c r="AJ39" s="130"/>
      <c r="AK39" s="130">
        <f t="shared" si="27"/>
        <v>30</v>
      </c>
      <c r="AL39" s="135">
        <f t="shared" si="49"/>
        <v>0</v>
      </c>
      <c r="AM39" s="136">
        <f t="shared" si="50"/>
        <v>0</v>
      </c>
      <c r="AN39" s="136">
        <f t="shared" si="51"/>
        <v>0</v>
      </c>
      <c r="AO39" s="135">
        <f t="shared" si="52"/>
        <v>0</v>
      </c>
      <c r="AP39" s="130"/>
      <c r="AQ39" s="130">
        <f t="shared" si="28"/>
        <v>30</v>
      </c>
      <c r="AR39" s="135">
        <f t="shared" si="53"/>
        <v>0</v>
      </c>
      <c r="AS39" s="136">
        <f t="shared" si="54"/>
        <v>0</v>
      </c>
      <c r="AT39" s="136">
        <f t="shared" si="55"/>
        <v>0</v>
      </c>
      <c r="AU39" s="135">
        <f t="shared" si="56"/>
        <v>0</v>
      </c>
    </row>
    <row r="40" spans="12:47">
      <c r="L40" s="130">
        <f t="shared" si="23"/>
        <v>31</v>
      </c>
      <c r="M40" s="135">
        <f t="shared" si="33"/>
        <v>0</v>
      </c>
      <c r="N40" s="136">
        <f t="shared" si="16"/>
        <v>0</v>
      </c>
      <c r="O40" s="136">
        <f t="shared" si="36"/>
        <v>0</v>
      </c>
      <c r="P40" s="135">
        <f t="shared" si="17"/>
        <v>0</v>
      </c>
      <c r="R40" s="130">
        <f t="shared" si="24"/>
        <v>31</v>
      </c>
      <c r="S40" s="135">
        <f t="shared" si="34"/>
        <v>0</v>
      </c>
      <c r="T40" s="136">
        <f t="shared" si="18"/>
        <v>0</v>
      </c>
      <c r="U40" s="136">
        <f t="shared" si="37"/>
        <v>0</v>
      </c>
      <c r="V40" s="135">
        <f t="shared" si="19"/>
        <v>0</v>
      </c>
      <c r="X40" s="130">
        <f t="shared" si="25"/>
        <v>31</v>
      </c>
      <c r="Y40" s="135">
        <f t="shared" si="35"/>
        <v>-932812.21803784941</v>
      </c>
      <c r="Z40" s="136">
        <f t="shared" si="20"/>
        <v>-772261.15119518049</v>
      </c>
      <c r="AA40" s="136">
        <f t="shared" si="38"/>
        <v>160551.06684266892</v>
      </c>
      <c r="AB40" s="135">
        <f t="shared" si="21"/>
        <v>16147811.607218724</v>
      </c>
      <c r="AE40" s="130">
        <f t="shared" si="26"/>
        <v>31</v>
      </c>
      <c r="AF40" s="135">
        <f t="shared" si="45"/>
        <v>0</v>
      </c>
      <c r="AG40" s="136">
        <f t="shared" si="46"/>
        <v>0</v>
      </c>
      <c r="AH40" s="136">
        <f t="shared" si="47"/>
        <v>0</v>
      </c>
      <c r="AI40" s="135">
        <f t="shared" si="48"/>
        <v>0</v>
      </c>
      <c r="AJ40" s="130"/>
      <c r="AK40" s="130">
        <f t="shared" si="27"/>
        <v>31</v>
      </c>
      <c r="AL40" s="135">
        <f t="shared" si="49"/>
        <v>0</v>
      </c>
      <c r="AM40" s="136">
        <f t="shared" si="50"/>
        <v>0</v>
      </c>
      <c r="AN40" s="136">
        <f t="shared" si="51"/>
        <v>0</v>
      </c>
      <c r="AO40" s="135">
        <f t="shared" si="52"/>
        <v>0</v>
      </c>
      <c r="AP40" s="130"/>
      <c r="AQ40" s="130">
        <f t="shared" si="28"/>
        <v>31</v>
      </c>
      <c r="AR40" s="135">
        <f t="shared" si="53"/>
        <v>0</v>
      </c>
      <c r="AS40" s="136">
        <f t="shared" si="54"/>
        <v>0</v>
      </c>
      <c r="AT40" s="136">
        <f t="shared" si="55"/>
        <v>0</v>
      </c>
      <c r="AU40" s="135">
        <f t="shared" si="56"/>
        <v>0</v>
      </c>
    </row>
    <row r="41" spans="12:47">
      <c r="L41" s="130">
        <f t="shared" si="23"/>
        <v>32</v>
      </c>
      <c r="M41" s="135">
        <f t="shared" si="33"/>
        <v>0</v>
      </c>
      <c r="N41" s="136">
        <f t="shared" si="16"/>
        <v>0</v>
      </c>
      <c r="O41" s="136">
        <f t="shared" si="36"/>
        <v>0</v>
      </c>
      <c r="P41" s="135">
        <f t="shared" si="17"/>
        <v>0</v>
      </c>
      <c r="R41" s="130">
        <f t="shared" si="24"/>
        <v>32</v>
      </c>
      <c r="S41" s="135">
        <f t="shared" si="34"/>
        <v>0</v>
      </c>
      <c r="T41" s="136">
        <f t="shared" si="18"/>
        <v>0</v>
      </c>
      <c r="U41" s="136">
        <f t="shared" si="37"/>
        <v>0</v>
      </c>
      <c r="V41" s="135">
        <f t="shared" si="19"/>
        <v>0</v>
      </c>
      <c r="X41" s="130">
        <f t="shared" si="25"/>
        <v>32</v>
      </c>
      <c r="Y41" s="135">
        <f t="shared" si="35"/>
        <v>-932812.21803784941</v>
      </c>
      <c r="Z41" s="136">
        <f t="shared" si="20"/>
        <v>-779588.97735029436</v>
      </c>
      <c r="AA41" s="136">
        <f t="shared" si="38"/>
        <v>153223.24068755511</v>
      </c>
      <c r="AB41" s="135">
        <f t="shared" si="21"/>
        <v>15368222.629868429</v>
      </c>
      <c r="AE41" s="130">
        <f t="shared" si="26"/>
        <v>32</v>
      </c>
      <c r="AF41" s="135">
        <f t="shared" si="45"/>
        <v>0</v>
      </c>
      <c r="AG41" s="136">
        <f t="shared" si="46"/>
        <v>0</v>
      </c>
      <c r="AH41" s="136">
        <f t="shared" si="47"/>
        <v>0</v>
      </c>
      <c r="AI41" s="135">
        <f t="shared" si="48"/>
        <v>0</v>
      </c>
      <c r="AJ41" s="130"/>
      <c r="AK41" s="130">
        <f t="shared" si="27"/>
        <v>32</v>
      </c>
      <c r="AL41" s="135">
        <f t="shared" si="49"/>
        <v>0</v>
      </c>
      <c r="AM41" s="136">
        <f t="shared" si="50"/>
        <v>0</v>
      </c>
      <c r="AN41" s="136">
        <f t="shared" si="51"/>
        <v>0</v>
      </c>
      <c r="AO41" s="135">
        <f t="shared" si="52"/>
        <v>0</v>
      </c>
      <c r="AP41" s="130"/>
      <c r="AQ41" s="130">
        <f t="shared" si="28"/>
        <v>32</v>
      </c>
      <c r="AR41" s="135">
        <f t="shared" si="53"/>
        <v>0</v>
      </c>
      <c r="AS41" s="136">
        <f t="shared" si="54"/>
        <v>0</v>
      </c>
      <c r="AT41" s="136">
        <f t="shared" si="55"/>
        <v>0</v>
      </c>
      <c r="AU41" s="135">
        <f t="shared" si="56"/>
        <v>0</v>
      </c>
    </row>
    <row r="42" spans="12:47">
      <c r="L42" s="130">
        <f t="shared" si="23"/>
        <v>33</v>
      </c>
      <c r="M42" s="135">
        <f t="shared" si="33"/>
        <v>0</v>
      </c>
      <c r="N42" s="136">
        <f t="shared" si="16"/>
        <v>0</v>
      </c>
      <c r="O42" s="136">
        <f t="shared" si="36"/>
        <v>0</v>
      </c>
      <c r="P42" s="135">
        <f t="shared" si="17"/>
        <v>0</v>
      </c>
      <c r="R42" s="130">
        <f t="shared" si="24"/>
        <v>33</v>
      </c>
      <c r="S42" s="135">
        <f t="shared" si="34"/>
        <v>0</v>
      </c>
      <c r="T42" s="136">
        <f t="shared" si="18"/>
        <v>0</v>
      </c>
      <c r="U42" s="136">
        <f t="shared" si="37"/>
        <v>0</v>
      </c>
      <c r="V42" s="135">
        <f t="shared" si="19"/>
        <v>0</v>
      </c>
      <c r="X42" s="130">
        <f t="shared" si="25"/>
        <v>33</v>
      </c>
      <c r="Y42" s="135">
        <f t="shared" si="35"/>
        <v>-932812.21803784941</v>
      </c>
      <c r="Z42" s="136">
        <f t="shared" si="20"/>
        <v>-786986.33573045465</v>
      </c>
      <c r="AA42" s="136">
        <f t="shared" si="38"/>
        <v>145825.88230739482</v>
      </c>
      <c r="AB42" s="135">
        <f t="shared" si="21"/>
        <v>14581236.294137975</v>
      </c>
      <c r="AE42" s="130">
        <f t="shared" si="26"/>
        <v>33</v>
      </c>
      <c r="AF42" s="135">
        <f t="shared" si="45"/>
        <v>0</v>
      </c>
      <c r="AG42" s="136">
        <f t="shared" si="46"/>
        <v>0</v>
      </c>
      <c r="AH42" s="136">
        <f t="shared" si="47"/>
        <v>0</v>
      </c>
      <c r="AI42" s="135">
        <f t="shared" si="48"/>
        <v>0</v>
      </c>
      <c r="AJ42" s="130"/>
      <c r="AK42" s="130">
        <f t="shared" si="27"/>
        <v>33</v>
      </c>
      <c r="AL42" s="135">
        <f t="shared" si="49"/>
        <v>0</v>
      </c>
      <c r="AM42" s="136">
        <f t="shared" si="50"/>
        <v>0</v>
      </c>
      <c r="AN42" s="136">
        <f t="shared" si="51"/>
        <v>0</v>
      </c>
      <c r="AO42" s="135">
        <f t="shared" si="52"/>
        <v>0</v>
      </c>
      <c r="AP42" s="130"/>
      <c r="AQ42" s="130">
        <f t="shared" si="28"/>
        <v>33</v>
      </c>
      <c r="AR42" s="135">
        <f t="shared" si="53"/>
        <v>0</v>
      </c>
      <c r="AS42" s="136">
        <f t="shared" si="54"/>
        <v>0</v>
      </c>
      <c r="AT42" s="136">
        <f t="shared" si="55"/>
        <v>0</v>
      </c>
      <c r="AU42" s="135">
        <f t="shared" si="56"/>
        <v>0</v>
      </c>
    </row>
    <row r="43" spans="12:47">
      <c r="L43" s="130">
        <f t="shared" si="23"/>
        <v>34</v>
      </c>
      <c r="M43" s="135">
        <f t="shared" si="33"/>
        <v>0</v>
      </c>
      <c r="N43" s="136">
        <f t="shared" si="16"/>
        <v>0</v>
      </c>
      <c r="O43" s="136">
        <f t="shared" si="36"/>
        <v>0</v>
      </c>
      <c r="P43" s="135">
        <f t="shared" si="17"/>
        <v>0</v>
      </c>
      <c r="R43" s="130">
        <f t="shared" si="24"/>
        <v>34</v>
      </c>
      <c r="S43" s="135">
        <f t="shared" si="34"/>
        <v>0</v>
      </c>
      <c r="T43" s="136">
        <f t="shared" si="18"/>
        <v>0</v>
      </c>
      <c r="U43" s="136">
        <f t="shared" si="37"/>
        <v>0</v>
      </c>
      <c r="V43" s="135">
        <f t="shared" si="19"/>
        <v>0</v>
      </c>
      <c r="X43" s="130">
        <f t="shared" si="25"/>
        <v>34</v>
      </c>
      <c r="Y43" s="135">
        <f t="shared" si="35"/>
        <v>-932812.21803784941</v>
      </c>
      <c r="Z43" s="136">
        <f t="shared" si="20"/>
        <v>-794453.88611254713</v>
      </c>
      <c r="AA43" s="136">
        <f t="shared" si="38"/>
        <v>138358.33192530228</v>
      </c>
      <c r="AB43" s="135">
        <f t="shared" si="21"/>
        <v>13786782.408025429</v>
      </c>
      <c r="AE43" s="130">
        <f t="shared" si="26"/>
        <v>34</v>
      </c>
      <c r="AF43" s="135">
        <f t="shared" si="45"/>
        <v>0</v>
      </c>
      <c r="AG43" s="136">
        <f t="shared" si="46"/>
        <v>0</v>
      </c>
      <c r="AH43" s="136">
        <f t="shared" si="47"/>
        <v>0</v>
      </c>
      <c r="AI43" s="135">
        <f t="shared" si="48"/>
        <v>0</v>
      </c>
      <c r="AJ43" s="130"/>
      <c r="AK43" s="130">
        <f t="shared" si="27"/>
        <v>34</v>
      </c>
      <c r="AL43" s="135">
        <f t="shared" si="49"/>
        <v>0</v>
      </c>
      <c r="AM43" s="136">
        <f t="shared" si="50"/>
        <v>0</v>
      </c>
      <c r="AN43" s="136">
        <f t="shared" si="51"/>
        <v>0</v>
      </c>
      <c r="AO43" s="135">
        <f t="shared" si="52"/>
        <v>0</v>
      </c>
      <c r="AP43" s="130"/>
      <c r="AQ43" s="130">
        <f t="shared" si="28"/>
        <v>34</v>
      </c>
      <c r="AR43" s="135">
        <f t="shared" si="53"/>
        <v>0</v>
      </c>
      <c r="AS43" s="136">
        <f t="shared" si="54"/>
        <v>0</v>
      </c>
      <c r="AT43" s="136">
        <f t="shared" si="55"/>
        <v>0</v>
      </c>
      <c r="AU43" s="135">
        <f t="shared" si="56"/>
        <v>0</v>
      </c>
    </row>
    <row r="44" spans="12:47">
      <c r="L44" s="130">
        <f t="shared" si="23"/>
        <v>35</v>
      </c>
      <c r="M44" s="135">
        <f t="shared" si="33"/>
        <v>0</v>
      </c>
      <c r="N44" s="136">
        <f t="shared" si="16"/>
        <v>0</v>
      </c>
      <c r="O44" s="136">
        <f t="shared" si="36"/>
        <v>0</v>
      </c>
      <c r="P44" s="135">
        <f t="shared" si="17"/>
        <v>0</v>
      </c>
      <c r="R44" s="130">
        <f t="shared" si="24"/>
        <v>35</v>
      </c>
      <c r="S44" s="135">
        <f t="shared" si="34"/>
        <v>0</v>
      </c>
      <c r="T44" s="136">
        <f t="shared" si="18"/>
        <v>0</v>
      </c>
      <c r="U44" s="136">
        <f t="shared" si="37"/>
        <v>0</v>
      </c>
      <c r="V44" s="135">
        <f t="shared" si="19"/>
        <v>0</v>
      </c>
      <c r="X44" s="130">
        <f t="shared" si="25"/>
        <v>35</v>
      </c>
      <c r="Y44" s="135">
        <f t="shared" si="35"/>
        <v>-932812.21803784941</v>
      </c>
      <c r="Z44" s="136">
        <f t="shared" si="20"/>
        <v>-801992.29453394387</v>
      </c>
      <c r="AA44" s="136">
        <f t="shared" si="38"/>
        <v>130819.92350390552</v>
      </c>
      <c r="AB44" s="135">
        <f t="shared" si="21"/>
        <v>12984790.113491485</v>
      </c>
      <c r="AE44" s="130">
        <f t="shared" si="26"/>
        <v>35</v>
      </c>
      <c r="AF44" s="135">
        <f t="shared" si="45"/>
        <v>0</v>
      </c>
      <c r="AG44" s="136">
        <f t="shared" si="46"/>
        <v>0</v>
      </c>
      <c r="AH44" s="136">
        <f t="shared" si="47"/>
        <v>0</v>
      </c>
      <c r="AI44" s="135">
        <f t="shared" si="48"/>
        <v>0</v>
      </c>
      <c r="AJ44" s="130"/>
      <c r="AK44" s="130">
        <f t="shared" si="27"/>
        <v>35</v>
      </c>
      <c r="AL44" s="135">
        <f t="shared" si="49"/>
        <v>0</v>
      </c>
      <c r="AM44" s="136">
        <f t="shared" si="50"/>
        <v>0</v>
      </c>
      <c r="AN44" s="136">
        <f t="shared" si="51"/>
        <v>0</v>
      </c>
      <c r="AO44" s="135">
        <f t="shared" si="52"/>
        <v>0</v>
      </c>
      <c r="AP44" s="130"/>
      <c r="AQ44" s="130">
        <f t="shared" si="28"/>
        <v>35</v>
      </c>
      <c r="AR44" s="135">
        <f t="shared" si="53"/>
        <v>0</v>
      </c>
      <c r="AS44" s="136">
        <f t="shared" si="54"/>
        <v>0</v>
      </c>
      <c r="AT44" s="136">
        <f t="shared" si="55"/>
        <v>0</v>
      </c>
      <c r="AU44" s="135">
        <f t="shared" si="56"/>
        <v>0</v>
      </c>
    </row>
    <row r="45" spans="12:47">
      <c r="L45" s="130">
        <f t="shared" si="23"/>
        <v>36</v>
      </c>
      <c r="M45" s="135">
        <f t="shared" si="33"/>
        <v>0</v>
      </c>
      <c r="N45" s="136">
        <f t="shared" si="16"/>
        <v>0</v>
      </c>
      <c r="O45" s="136">
        <f t="shared" si="36"/>
        <v>0</v>
      </c>
      <c r="P45" s="135">
        <f t="shared" si="17"/>
        <v>0</v>
      </c>
      <c r="R45" s="130">
        <f t="shared" si="24"/>
        <v>36</v>
      </c>
      <c r="S45" s="135">
        <f t="shared" si="34"/>
        <v>0</v>
      </c>
      <c r="T45" s="136">
        <f t="shared" si="18"/>
        <v>0</v>
      </c>
      <c r="U45" s="136">
        <f t="shared" si="37"/>
        <v>0</v>
      </c>
      <c r="V45" s="135">
        <f t="shared" si="19"/>
        <v>0</v>
      </c>
      <c r="X45" s="130">
        <f t="shared" si="25"/>
        <v>36</v>
      </c>
      <c r="Y45" s="135">
        <f t="shared" si="35"/>
        <v>-932812.21803784941</v>
      </c>
      <c r="Z45" s="136">
        <f t="shared" si="20"/>
        <v>-809602.23335190758</v>
      </c>
      <c r="AA45" s="136">
        <f t="shared" si="38"/>
        <v>123209.98468594179</v>
      </c>
      <c r="AB45" s="135">
        <f t="shared" si="21"/>
        <v>12175187.880139578</v>
      </c>
      <c r="AE45" s="130">
        <f t="shared" si="26"/>
        <v>36</v>
      </c>
      <c r="AF45" s="135">
        <f t="shared" si="45"/>
        <v>0</v>
      </c>
      <c r="AG45" s="136">
        <f t="shared" si="46"/>
        <v>0</v>
      </c>
      <c r="AH45" s="136">
        <f t="shared" si="47"/>
        <v>0</v>
      </c>
      <c r="AI45" s="135">
        <f t="shared" si="48"/>
        <v>0</v>
      </c>
      <c r="AJ45" s="130"/>
      <c r="AK45" s="130">
        <f t="shared" si="27"/>
        <v>36</v>
      </c>
      <c r="AL45" s="135">
        <f t="shared" si="49"/>
        <v>0</v>
      </c>
      <c r="AM45" s="136">
        <f t="shared" si="50"/>
        <v>0</v>
      </c>
      <c r="AN45" s="136">
        <f t="shared" si="51"/>
        <v>0</v>
      </c>
      <c r="AO45" s="135">
        <f t="shared" si="52"/>
        <v>0</v>
      </c>
      <c r="AP45" s="130"/>
      <c r="AQ45" s="130">
        <f t="shared" si="28"/>
        <v>36</v>
      </c>
      <c r="AR45" s="135">
        <f t="shared" si="53"/>
        <v>0</v>
      </c>
      <c r="AS45" s="136">
        <f t="shared" si="54"/>
        <v>0</v>
      </c>
      <c r="AT45" s="136">
        <f t="shared" si="55"/>
        <v>0</v>
      </c>
      <c r="AU45" s="135">
        <f t="shared" si="56"/>
        <v>0</v>
      </c>
    </row>
    <row r="46" spans="12:47">
      <c r="L46" s="130">
        <f t="shared" si="23"/>
        <v>37</v>
      </c>
      <c r="M46" s="135">
        <f t="shared" si="33"/>
        <v>0</v>
      </c>
      <c r="N46" s="136">
        <f t="shared" si="16"/>
        <v>0</v>
      </c>
      <c r="O46" s="136">
        <f t="shared" si="36"/>
        <v>0</v>
      </c>
      <c r="P46" s="135">
        <f t="shared" si="17"/>
        <v>0</v>
      </c>
      <c r="R46" s="130">
        <f t="shared" si="24"/>
        <v>37</v>
      </c>
      <c r="S46" s="135"/>
      <c r="T46" s="136"/>
      <c r="U46" s="136"/>
      <c r="V46" s="135"/>
      <c r="X46" s="130">
        <f t="shared" si="25"/>
        <v>37</v>
      </c>
      <c r="Y46" s="135">
        <f t="shared" si="35"/>
        <v>-932812.21803784941</v>
      </c>
      <c r="Z46" s="136">
        <f t="shared" si="20"/>
        <v>-817284.38130355987</v>
      </c>
      <c r="AA46" s="136">
        <f t="shared" si="38"/>
        <v>115527.83673428957</v>
      </c>
      <c r="AB46" s="135">
        <f t="shared" si="21"/>
        <v>11357903.498836018</v>
      </c>
      <c r="AE46" s="130">
        <f t="shared" si="26"/>
        <v>37</v>
      </c>
      <c r="AF46" s="135">
        <f t="shared" si="45"/>
        <v>0</v>
      </c>
      <c r="AG46" s="136">
        <f t="shared" si="46"/>
        <v>0</v>
      </c>
      <c r="AH46" s="136">
        <f t="shared" si="47"/>
        <v>0</v>
      </c>
      <c r="AI46" s="135">
        <f t="shared" si="48"/>
        <v>0</v>
      </c>
      <c r="AJ46" s="130"/>
      <c r="AK46" s="130">
        <f t="shared" si="27"/>
        <v>37</v>
      </c>
      <c r="AL46" s="135">
        <f t="shared" si="49"/>
        <v>0</v>
      </c>
      <c r="AM46" s="136">
        <f t="shared" si="50"/>
        <v>0</v>
      </c>
      <c r="AN46" s="136">
        <f t="shared" si="51"/>
        <v>0</v>
      </c>
      <c r="AO46" s="135">
        <f t="shared" si="52"/>
        <v>0</v>
      </c>
      <c r="AP46" s="130"/>
      <c r="AQ46" s="130">
        <f t="shared" si="28"/>
        <v>37</v>
      </c>
      <c r="AR46" s="135">
        <f t="shared" si="53"/>
        <v>0</v>
      </c>
      <c r="AS46" s="136">
        <f t="shared" si="54"/>
        <v>0</v>
      </c>
      <c r="AT46" s="136">
        <f t="shared" si="55"/>
        <v>0</v>
      </c>
      <c r="AU46" s="135">
        <f t="shared" si="56"/>
        <v>0</v>
      </c>
    </row>
    <row r="47" spans="12:47">
      <c r="L47" s="130">
        <f t="shared" si="23"/>
        <v>38</v>
      </c>
      <c r="M47" s="135">
        <f t="shared" si="33"/>
        <v>0</v>
      </c>
      <c r="N47" s="136">
        <f t="shared" si="16"/>
        <v>0</v>
      </c>
      <c r="O47" s="136">
        <f t="shared" si="36"/>
        <v>0</v>
      </c>
      <c r="P47" s="135">
        <f t="shared" si="17"/>
        <v>0</v>
      </c>
      <c r="R47" s="130">
        <f t="shared" si="24"/>
        <v>38</v>
      </c>
      <c r="S47" s="135"/>
      <c r="T47" s="136"/>
      <c r="U47" s="136"/>
      <c r="V47" s="135"/>
      <c r="X47" s="130">
        <f t="shared" si="25"/>
        <v>38</v>
      </c>
      <c r="Y47" s="135">
        <f t="shared" si="35"/>
        <v>-932812.21803784941</v>
      </c>
      <c r="Z47" s="136">
        <f t="shared" si="20"/>
        <v>-825039.42356641812</v>
      </c>
      <c r="AA47" s="136">
        <f t="shared" si="38"/>
        <v>107772.79447143126</v>
      </c>
      <c r="AB47" s="135">
        <f t="shared" si="21"/>
        <v>10532864.0752696</v>
      </c>
      <c r="AE47" s="130">
        <f t="shared" si="26"/>
        <v>38</v>
      </c>
      <c r="AF47" s="135">
        <f t="shared" si="45"/>
        <v>0</v>
      </c>
      <c r="AG47" s="136">
        <f t="shared" si="46"/>
        <v>0</v>
      </c>
      <c r="AH47" s="136">
        <f t="shared" si="47"/>
        <v>0</v>
      </c>
      <c r="AI47" s="135">
        <f t="shared" si="48"/>
        <v>0</v>
      </c>
      <c r="AJ47" s="130"/>
      <c r="AK47" s="130">
        <f t="shared" si="27"/>
        <v>38</v>
      </c>
      <c r="AL47" s="135">
        <f t="shared" si="49"/>
        <v>0</v>
      </c>
      <c r="AM47" s="136">
        <f t="shared" si="50"/>
        <v>0</v>
      </c>
      <c r="AN47" s="136">
        <f t="shared" si="51"/>
        <v>0</v>
      </c>
      <c r="AO47" s="135">
        <f t="shared" si="52"/>
        <v>0</v>
      </c>
      <c r="AP47" s="130"/>
      <c r="AQ47" s="130">
        <f t="shared" si="28"/>
        <v>38</v>
      </c>
      <c r="AR47" s="135">
        <f t="shared" si="53"/>
        <v>0</v>
      </c>
      <c r="AS47" s="136">
        <f t="shared" si="54"/>
        <v>0</v>
      </c>
      <c r="AT47" s="136">
        <f t="shared" si="55"/>
        <v>0</v>
      </c>
      <c r="AU47" s="135">
        <f t="shared" si="56"/>
        <v>0</v>
      </c>
    </row>
    <row r="48" spans="12:47">
      <c r="L48" s="130">
        <f t="shared" si="23"/>
        <v>39</v>
      </c>
      <c r="M48" s="135">
        <f t="shared" si="33"/>
        <v>0</v>
      </c>
      <c r="N48" s="136">
        <f t="shared" si="16"/>
        <v>0</v>
      </c>
      <c r="O48" s="136">
        <f t="shared" si="36"/>
        <v>0</v>
      </c>
      <c r="P48" s="135">
        <f t="shared" si="17"/>
        <v>0</v>
      </c>
      <c r="R48" s="130">
        <f t="shared" si="24"/>
        <v>39</v>
      </c>
      <c r="S48" s="135"/>
      <c r="T48" s="136"/>
      <c r="U48" s="136"/>
      <c r="V48" s="135"/>
      <c r="X48" s="130">
        <f t="shared" si="25"/>
        <v>39</v>
      </c>
      <c r="Y48" s="135">
        <f t="shared" si="35"/>
        <v>-932812.21803784941</v>
      </c>
      <c r="Z48" s="136">
        <f t="shared" si="20"/>
        <v>-832868.05181950761</v>
      </c>
      <c r="AA48" s="136">
        <f t="shared" si="38"/>
        <v>99944.166218341765</v>
      </c>
      <c r="AB48" s="135">
        <f t="shared" si="21"/>
        <v>9699996.0234500933</v>
      </c>
      <c r="AE48" s="130">
        <f t="shared" si="26"/>
        <v>39</v>
      </c>
      <c r="AF48" s="135">
        <f t="shared" si="45"/>
        <v>0</v>
      </c>
      <c r="AG48" s="136">
        <f t="shared" si="46"/>
        <v>0</v>
      </c>
      <c r="AH48" s="136">
        <f t="shared" si="47"/>
        <v>0</v>
      </c>
      <c r="AI48" s="135">
        <f t="shared" si="48"/>
        <v>0</v>
      </c>
      <c r="AJ48" s="130"/>
      <c r="AK48" s="130">
        <f t="shared" si="27"/>
        <v>39</v>
      </c>
      <c r="AL48" s="135">
        <f t="shared" si="49"/>
        <v>0</v>
      </c>
      <c r="AM48" s="136">
        <f t="shared" si="50"/>
        <v>0</v>
      </c>
      <c r="AN48" s="136">
        <f t="shared" si="51"/>
        <v>0</v>
      </c>
      <c r="AO48" s="135">
        <f t="shared" si="52"/>
        <v>0</v>
      </c>
      <c r="AP48" s="130"/>
      <c r="AQ48" s="130">
        <f t="shared" si="28"/>
        <v>39</v>
      </c>
      <c r="AR48" s="135">
        <f t="shared" si="53"/>
        <v>0</v>
      </c>
      <c r="AS48" s="136">
        <f t="shared" si="54"/>
        <v>0</v>
      </c>
      <c r="AT48" s="136">
        <f t="shared" si="55"/>
        <v>0</v>
      </c>
      <c r="AU48" s="135">
        <f t="shared" si="56"/>
        <v>0</v>
      </c>
    </row>
    <row r="49" spans="12:48">
      <c r="L49" s="130">
        <f t="shared" si="23"/>
        <v>40</v>
      </c>
      <c r="M49" s="135">
        <f t="shared" si="33"/>
        <v>0</v>
      </c>
      <c r="N49" s="136">
        <f t="shared" si="16"/>
        <v>0</v>
      </c>
      <c r="O49" s="136">
        <f t="shared" si="36"/>
        <v>0</v>
      </c>
      <c r="P49" s="135">
        <f t="shared" si="17"/>
        <v>0</v>
      </c>
      <c r="R49" s="130">
        <f t="shared" si="24"/>
        <v>40</v>
      </c>
      <c r="S49" s="135"/>
      <c r="T49" s="136"/>
      <c r="U49" s="136"/>
      <c r="V49" s="135"/>
      <c r="X49" s="130">
        <f t="shared" si="25"/>
        <v>40</v>
      </c>
      <c r="Y49" s="135">
        <f t="shared" si="35"/>
        <v>-932812.21803784941</v>
      </c>
      <c r="Z49" s="136">
        <f t="shared" si="20"/>
        <v>-840770.96430505253</v>
      </c>
      <c r="AA49" s="136">
        <f t="shared" si="38"/>
        <v>92041.253732796889</v>
      </c>
      <c r="AB49" s="135">
        <f t="shared" si="21"/>
        <v>8859225.0591450408</v>
      </c>
      <c r="AE49" s="130">
        <f t="shared" si="26"/>
        <v>40</v>
      </c>
      <c r="AF49" s="135">
        <f t="shared" si="45"/>
        <v>0</v>
      </c>
      <c r="AG49" s="136">
        <f t="shared" si="46"/>
        <v>0</v>
      </c>
      <c r="AH49" s="136">
        <f t="shared" si="47"/>
        <v>0</v>
      </c>
      <c r="AI49" s="135">
        <f t="shared" si="48"/>
        <v>0</v>
      </c>
      <c r="AJ49" s="130"/>
      <c r="AK49" s="130">
        <f t="shared" si="27"/>
        <v>40</v>
      </c>
      <c r="AL49" s="135">
        <f t="shared" si="49"/>
        <v>0</v>
      </c>
      <c r="AM49" s="136">
        <f t="shared" si="50"/>
        <v>0</v>
      </c>
      <c r="AN49" s="136">
        <f t="shared" si="51"/>
        <v>0</v>
      </c>
      <c r="AO49" s="135">
        <f t="shared" si="52"/>
        <v>0</v>
      </c>
      <c r="AP49" s="130"/>
      <c r="AQ49" s="130">
        <f t="shared" si="28"/>
        <v>40</v>
      </c>
      <c r="AR49" s="135">
        <f t="shared" si="53"/>
        <v>0</v>
      </c>
      <c r="AS49" s="136">
        <f t="shared" si="54"/>
        <v>0</v>
      </c>
      <c r="AT49" s="136">
        <f t="shared" si="55"/>
        <v>0</v>
      </c>
      <c r="AU49" s="135">
        <f t="shared" si="56"/>
        <v>0</v>
      </c>
    </row>
    <row r="50" spans="12:48">
      <c r="L50" s="130">
        <f>L49+1</f>
        <v>41</v>
      </c>
      <c r="M50" s="135">
        <f t="shared" si="33"/>
        <v>0</v>
      </c>
      <c r="N50" s="136">
        <f t="shared" si="16"/>
        <v>0</v>
      </c>
      <c r="O50" s="136">
        <f t="shared" si="36"/>
        <v>0</v>
      </c>
      <c r="P50" s="135">
        <f t="shared" si="17"/>
        <v>0</v>
      </c>
      <c r="R50" s="130">
        <f>R49+1</f>
        <v>41</v>
      </c>
      <c r="S50" s="135"/>
      <c r="T50" s="136"/>
      <c r="U50" s="136"/>
      <c r="V50" s="135"/>
      <c r="X50" s="130">
        <f>X49+1</f>
        <v>41</v>
      </c>
      <c r="Y50" s="135">
        <f t="shared" si="35"/>
        <v>-932812.21803784941</v>
      </c>
      <c r="Z50" s="136">
        <f t="shared" si="20"/>
        <v>-848748.86589075287</v>
      </c>
      <c r="AA50" s="136">
        <f t="shared" si="38"/>
        <v>84063.352147096535</v>
      </c>
      <c r="AB50" s="135">
        <f t="shared" si="21"/>
        <v>8010476.1932542883</v>
      </c>
      <c r="AE50" s="130">
        <f>AE49+1</f>
        <v>41</v>
      </c>
      <c r="AF50" s="135">
        <f t="shared" si="45"/>
        <v>0</v>
      </c>
      <c r="AG50" s="136">
        <f t="shared" si="46"/>
        <v>0</v>
      </c>
      <c r="AH50" s="136">
        <f t="shared" si="47"/>
        <v>0</v>
      </c>
      <c r="AI50" s="135">
        <f t="shared" si="48"/>
        <v>0</v>
      </c>
      <c r="AJ50" s="130"/>
      <c r="AK50" s="130">
        <f>AK49+1</f>
        <v>41</v>
      </c>
      <c r="AL50" s="135">
        <f t="shared" si="49"/>
        <v>0</v>
      </c>
      <c r="AM50" s="136">
        <f t="shared" si="50"/>
        <v>0</v>
      </c>
      <c r="AN50" s="136">
        <f t="shared" si="51"/>
        <v>0</v>
      </c>
      <c r="AO50" s="135">
        <f t="shared" si="52"/>
        <v>0</v>
      </c>
      <c r="AP50" s="130"/>
      <c r="AQ50" s="130">
        <f>AQ49+1</f>
        <v>41</v>
      </c>
      <c r="AR50" s="135">
        <f t="shared" si="53"/>
        <v>0</v>
      </c>
      <c r="AS50" s="136">
        <f t="shared" si="54"/>
        <v>0</v>
      </c>
      <c r="AT50" s="136">
        <f t="shared" si="55"/>
        <v>0</v>
      </c>
      <c r="AU50" s="135">
        <f t="shared" si="56"/>
        <v>0</v>
      </c>
    </row>
    <row r="51" spans="12:48">
      <c r="L51" s="130">
        <f t="shared" si="23"/>
        <v>42</v>
      </c>
      <c r="M51" s="135">
        <f t="shared" si="33"/>
        <v>0</v>
      </c>
      <c r="N51" s="136">
        <f t="shared" si="16"/>
        <v>0</v>
      </c>
      <c r="O51" s="136">
        <f t="shared" si="36"/>
        <v>0</v>
      </c>
      <c r="P51" s="135">
        <f t="shared" si="17"/>
        <v>0</v>
      </c>
      <c r="R51" s="130">
        <f t="shared" si="24"/>
        <v>42</v>
      </c>
      <c r="S51" s="135"/>
      <c r="T51" s="136"/>
      <c r="U51" s="136"/>
      <c r="V51" s="135"/>
      <c r="X51" s="130">
        <f t="shared" si="25"/>
        <v>42</v>
      </c>
      <c r="Y51" s="135">
        <f t="shared" si="35"/>
        <v>-932812.21803784941</v>
      </c>
      <c r="Z51" s="136">
        <f t="shared" si="20"/>
        <v>-856802.46813265246</v>
      </c>
      <c r="AA51" s="136">
        <f t="shared" si="38"/>
        <v>76009.749905196979</v>
      </c>
      <c r="AB51" s="135">
        <f t="shared" si="21"/>
        <v>7153673.7251216359</v>
      </c>
      <c r="AE51" s="130">
        <f t="shared" si="26"/>
        <v>42</v>
      </c>
      <c r="AF51" s="135">
        <f t="shared" si="45"/>
        <v>0</v>
      </c>
      <c r="AG51" s="136">
        <f t="shared" si="46"/>
        <v>0</v>
      </c>
      <c r="AH51" s="136">
        <f t="shared" si="47"/>
        <v>0</v>
      </c>
      <c r="AI51" s="135">
        <f t="shared" si="48"/>
        <v>0</v>
      </c>
      <c r="AJ51" s="130"/>
      <c r="AK51" s="130">
        <f t="shared" si="27"/>
        <v>42</v>
      </c>
      <c r="AL51" s="135">
        <f t="shared" si="49"/>
        <v>0</v>
      </c>
      <c r="AM51" s="136">
        <f t="shared" si="50"/>
        <v>0</v>
      </c>
      <c r="AN51" s="136">
        <f t="shared" si="51"/>
        <v>0</v>
      </c>
      <c r="AO51" s="135">
        <f t="shared" si="52"/>
        <v>0</v>
      </c>
      <c r="AP51" s="130"/>
      <c r="AQ51" s="130">
        <f t="shared" si="28"/>
        <v>42</v>
      </c>
      <c r="AR51" s="135">
        <f t="shared" si="53"/>
        <v>0</v>
      </c>
      <c r="AS51" s="136">
        <f t="shared" si="54"/>
        <v>0</v>
      </c>
      <c r="AT51" s="136">
        <f t="shared" si="55"/>
        <v>0</v>
      </c>
      <c r="AU51" s="135">
        <f t="shared" si="56"/>
        <v>0</v>
      </c>
    </row>
    <row r="52" spans="12:48">
      <c r="L52" s="130">
        <f t="shared" si="23"/>
        <v>43</v>
      </c>
      <c r="M52" s="135">
        <f t="shared" si="33"/>
        <v>0</v>
      </c>
      <c r="N52" s="136">
        <f t="shared" si="16"/>
        <v>0</v>
      </c>
      <c r="O52" s="136">
        <f t="shared" si="36"/>
        <v>0</v>
      </c>
      <c r="P52" s="135">
        <f t="shared" si="17"/>
        <v>0</v>
      </c>
      <c r="R52" s="130">
        <f t="shared" si="24"/>
        <v>43</v>
      </c>
      <c r="S52" s="135"/>
      <c r="T52" s="136"/>
      <c r="U52" s="136"/>
      <c r="V52" s="135"/>
      <c r="X52" s="130">
        <f t="shared" si="25"/>
        <v>43</v>
      </c>
      <c r="Y52" s="135">
        <f t="shared" si="35"/>
        <v>-932812.21803784941</v>
      </c>
      <c r="Z52" s="136">
        <f t="shared" si="20"/>
        <v>-864932.48933860287</v>
      </c>
      <c r="AA52" s="136">
        <f t="shared" si="38"/>
        <v>67879.728699246552</v>
      </c>
      <c r="AB52" s="135">
        <f t="shared" si="21"/>
        <v>6288741.2357830331</v>
      </c>
      <c r="AE52" s="130">
        <f t="shared" si="26"/>
        <v>43</v>
      </c>
      <c r="AF52" s="135">
        <f t="shared" si="45"/>
        <v>0</v>
      </c>
      <c r="AG52" s="136">
        <f t="shared" si="46"/>
        <v>0</v>
      </c>
      <c r="AH52" s="136">
        <f t="shared" si="47"/>
        <v>0</v>
      </c>
      <c r="AI52" s="135">
        <f t="shared" si="48"/>
        <v>0</v>
      </c>
      <c r="AJ52" s="130"/>
      <c r="AK52" s="130">
        <f t="shared" si="27"/>
        <v>43</v>
      </c>
      <c r="AL52" s="135">
        <f t="shared" si="49"/>
        <v>0</v>
      </c>
      <c r="AM52" s="136">
        <f t="shared" si="50"/>
        <v>0</v>
      </c>
      <c r="AN52" s="136">
        <f t="shared" si="51"/>
        <v>0</v>
      </c>
      <c r="AO52" s="135">
        <f t="shared" si="52"/>
        <v>0</v>
      </c>
      <c r="AP52" s="130"/>
      <c r="AQ52" s="130">
        <f t="shared" si="28"/>
        <v>43</v>
      </c>
      <c r="AR52" s="135">
        <f t="shared" si="53"/>
        <v>0</v>
      </c>
      <c r="AS52" s="136">
        <f t="shared" si="54"/>
        <v>0</v>
      </c>
      <c r="AT52" s="136">
        <f t="shared" si="55"/>
        <v>0</v>
      </c>
      <c r="AU52" s="135">
        <f t="shared" si="56"/>
        <v>0</v>
      </c>
    </row>
    <row r="53" spans="12:48">
      <c r="L53" s="130">
        <f>L52+1</f>
        <v>44</v>
      </c>
      <c r="M53" s="135"/>
      <c r="N53" s="136"/>
      <c r="O53" s="136"/>
      <c r="P53" s="135"/>
      <c r="R53" s="130">
        <f>R52+1</f>
        <v>44</v>
      </c>
      <c r="S53" s="135"/>
      <c r="T53" s="136"/>
      <c r="U53" s="136"/>
      <c r="V53" s="135"/>
      <c r="X53" s="130">
        <f>X52+1</f>
        <v>44</v>
      </c>
      <c r="Y53" s="135">
        <f t="shared" si="35"/>
        <v>-932812.21803784941</v>
      </c>
      <c r="Z53" s="136">
        <f t="shared" si="20"/>
        <v>-873139.65463233029</v>
      </c>
      <c r="AA53" s="136">
        <f t="shared" si="38"/>
        <v>59672.563405519097</v>
      </c>
      <c r="AB53" s="135">
        <f t="shared" si="21"/>
        <v>5415601.5811507031</v>
      </c>
      <c r="AE53" s="130">
        <f>AE52+1</f>
        <v>44</v>
      </c>
      <c r="AF53" s="135">
        <f t="shared" si="45"/>
        <v>0</v>
      </c>
      <c r="AG53" s="136">
        <f t="shared" si="46"/>
        <v>0</v>
      </c>
      <c r="AH53" s="136">
        <f t="shared" si="47"/>
        <v>0</v>
      </c>
      <c r="AI53" s="135">
        <f t="shared" si="48"/>
        <v>0</v>
      </c>
      <c r="AJ53" s="130"/>
      <c r="AK53" s="130">
        <f>AK52+1</f>
        <v>44</v>
      </c>
      <c r="AL53" s="135">
        <f t="shared" si="49"/>
        <v>0</v>
      </c>
      <c r="AM53" s="136">
        <f t="shared" si="50"/>
        <v>0</v>
      </c>
      <c r="AN53" s="136">
        <f t="shared" si="51"/>
        <v>0</v>
      </c>
      <c r="AO53" s="135">
        <f t="shared" si="52"/>
        <v>0</v>
      </c>
      <c r="AP53" s="130"/>
      <c r="AQ53" s="130">
        <f>AQ52+1</f>
        <v>44</v>
      </c>
      <c r="AR53" s="135">
        <f t="shared" si="53"/>
        <v>0</v>
      </c>
      <c r="AS53" s="136">
        <f t="shared" si="54"/>
        <v>0</v>
      </c>
      <c r="AT53" s="136">
        <f t="shared" si="55"/>
        <v>0</v>
      </c>
      <c r="AU53" s="135">
        <f t="shared" si="56"/>
        <v>0</v>
      </c>
    </row>
    <row r="54" spans="12:48">
      <c r="L54" s="130">
        <f t="shared" si="23"/>
        <v>45</v>
      </c>
      <c r="M54" s="135"/>
      <c r="N54" s="136"/>
      <c r="O54" s="136"/>
      <c r="P54" s="135"/>
      <c r="R54" s="130">
        <f t="shared" si="24"/>
        <v>45</v>
      </c>
      <c r="S54" s="135"/>
      <c r="T54" s="136"/>
      <c r="U54" s="136"/>
      <c r="V54" s="135"/>
      <c r="X54" s="130">
        <f t="shared" si="25"/>
        <v>45</v>
      </c>
      <c r="Y54" s="135">
        <f t="shared" si="35"/>
        <v>-932812.21803784941</v>
      </c>
      <c r="Z54" s="136">
        <f t="shared" si="20"/>
        <v>-881424.6960181098</v>
      </c>
      <c r="AA54" s="136">
        <f t="shared" si="38"/>
        <v>51387.522019739561</v>
      </c>
      <c r="AB54" s="135">
        <f t="shared" si="21"/>
        <v>4534176.8851325931</v>
      </c>
      <c r="AE54" s="130">
        <f t="shared" si="26"/>
        <v>45</v>
      </c>
      <c r="AF54" s="135">
        <f t="shared" si="45"/>
        <v>0</v>
      </c>
      <c r="AG54" s="136">
        <f t="shared" si="46"/>
        <v>0</v>
      </c>
      <c r="AH54" s="136">
        <f t="shared" si="47"/>
        <v>0</v>
      </c>
      <c r="AI54" s="135">
        <f t="shared" si="48"/>
        <v>0</v>
      </c>
      <c r="AJ54" s="130"/>
      <c r="AK54" s="130">
        <f t="shared" si="27"/>
        <v>45</v>
      </c>
      <c r="AL54" s="135">
        <f t="shared" si="49"/>
        <v>0</v>
      </c>
      <c r="AM54" s="136">
        <f t="shared" si="50"/>
        <v>0</v>
      </c>
      <c r="AN54" s="136">
        <f t="shared" si="51"/>
        <v>0</v>
      </c>
      <c r="AO54" s="135">
        <f t="shared" si="52"/>
        <v>0</v>
      </c>
      <c r="AP54" s="130"/>
      <c r="AQ54" s="130">
        <f t="shared" si="28"/>
        <v>45</v>
      </c>
      <c r="AR54" s="135">
        <f t="shared" si="53"/>
        <v>0</v>
      </c>
      <c r="AS54" s="136">
        <f t="shared" si="54"/>
        <v>0</v>
      </c>
      <c r="AT54" s="136">
        <f t="shared" si="55"/>
        <v>0</v>
      </c>
      <c r="AU54" s="135">
        <f t="shared" si="56"/>
        <v>0</v>
      </c>
    </row>
    <row r="55" spans="12:48">
      <c r="L55" s="130">
        <f t="shared" si="23"/>
        <v>46</v>
      </c>
      <c r="M55" s="135"/>
      <c r="N55" s="136"/>
      <c r="O55" s="136"/>
      <c r="P55" s="135"/>
      <c r="R55" s="130">
        <f t="shared" si="24"/>
        <v>46</v>
      </c>
      <c r="S55" s="135"/>
      <c r="T55" s="136"/>
      <c r="U55" s="136"/>
      <c r="V55" s="135"/>
      <c r="X55" s="130">
        <f t="shared" si="25"/>
        <v>46</v>
      </c>
      <c r="Y55" s="135">
        <f t="shared" si="35"/>
        <v>-932812.21803784941</v>
      </c>
      <c r="Z55" s="136">
        <f t="shared" si="20"/>
        <v>-889788.35244605353</v>
      </c>
      <c r="AA55" s="136">
        <f t="shared" si="38"/>
        <v>43023.865591795911</v>
      </c>
      <c r="AB55" s="135">
        <f t="shared" si="21"/>
        <v>3644388.5326865395</v>
      </c>
      <c r="AE55" s="130">
        <f t="shared" si="26"/>
        <v>46</v>
      </c>
      <c r="AF55" s="135">
        <f t="shared" si="45"/>
        <v>0</v>
      </c>
      <c r="AG55" s="136">
        <f t="shared" si="46"/>
        <v>0</v>
      </c>
      <c r="AH55" s="136">
        <f t="shared" si="47"/>
        <v>0</v>
      </c>
      <c r="AI55" s="135">
        <f t="shared" si="48"/>
        <v>0</v>
      </c>
      <c r="AJ55" s="130"/>
      <c r="AK55" s="130">
        <f t="shared" si="27"/>
        <v>46</v>
      </c>
      <c r="AL55" s="135">
        <f t="shared" si="49"/>
        <v>0</v>
      </c>
      <c r="AM55" s="136">
        <f t="shared" si="50"/>
        <v>0</v>
      </c>
      <c r="AN55" s="136">
        <f t="shared" si="51"/>
        <v>0</v>
      </c>
      <c r="AO55" s="135">
        <f t="shared" si="52"/>
        <v>0</v>
      </c>
      <c r="AP55" s="130"/>
      <c r="AQ55" s="130">
        <f t="shared" si="28"/>
        <v>46</v>
      </c>
      <c r="AR55" s="135">
        <f t="shared" si="53"/>
        <v>0</v>
      </c>
      <c r="AS55" s="136">
        <f t="shared" si="54"/>
        <v>0</v>
      </c>
      <c r="AT55" s="136">
        <f t="shared" si="55"/>
        <v>0</v>
      </c>
      <c r="AU55" s="135">
        <f t="shared" si="56"/>
        <v>0</v>
      </c>
    </row>
    <row r="56" spans="12:48">
      <c r="L56" s="130">
        <f>L55+1</f>
        <v>47</v>
      </c>
      <c r="M56" s="135"/>
      <c r="N56" s="136"/>
      <c r="O56" s="136"/>
      <c r="P56" s="135"/>
      <c r="R56" s="130">
        <f>R55+1</f>
        <v>47</v>
      </c>
      <c r="S56" s="135"/>
      <c r="T56" s="136"/>
      <c r="U56" s="136"/>
      <c r="V56" s="135"/>
      <c r="X56" s="130">
        <f>X55+1</f>
        <v>47</v>
      </c>
      <c r="Y56" s="135">
        <f t="shared" si="35"/>
        <v>-932812.21803784941</v>
      </c>
      <c r="Z56" s="136">
        <f t="shared" si="20"/>
        <v>-898231.36987801793</v>
      </c>
      <c r="AA56" s="136">
        <f t="shared" si="38"/>
        <v>34580.848159831512</v>
      </c>
      <c r="AB56" s="135">
        <f t="shared" si="21"/>
        <v>2746157.1628085217</v>
      </c>
      <c r="AE56" s="130">
        <f>AE55+1</f>
        <v>47</v>
      </c>
      <c r="AF56" s="135">
        <f t="shared" si="45"/>
        <v>0</v>
      </c>
      <c r="AG56" s="136">
        <f t="shared" si="46"/>
        <v>0</v>
      </c>
      <c r="AH56" s="136">
        <f t="shared" si="47"/>
        <v>0</v>
      </c>
      <c r="AI56" s="135">
        <f t="shared" si="48"/>
        <v>0</v>
      </c>
      <c r="AJ56" s="130"/>
      <c r="AK56" s="130">
        <f>AK55+1</f>
        <v>47</v>
      </c>
      <c r="AL56" s="135">
        <f t="shared" si="49"/>
        <v>0</v>
      </c>
      <c r="AM56" s="136">
        <f t="shared" si="50"/>
        <v>0</v>
      </c>
      <c r="AN56" s="136">
        <f t="shared" si="51"/>
        <v>0</v>
      </c>
      <c r="AO56" s="135">
        <f t="shared" si="52"/>
        <v>0</v>
      </c>
      <c r="AP56" s="130"/>
      <c r="AQ56" s="130">
        <f>AQ55+1</f>
        <v>47</v>
      </c>
      <c r="AR56" s="135">
        <f t="shared" si="53"/>
        <v>0</v>
      </c>
      <c r="AS56" s="136">
        <f t="shared" si="54"/>
        <v>0</v>
      </c>
      <c r="AT56" s="136">
        <f t="shared" si="55"/>
        <v>0</v>
      </c>
      <c r="AU56" s="135">
        <f t="shared" si="56"/>
        <v>0</v>
      </c>
    </row>
    <row r="57" spans="12:48">
      <c r="L57" s="130">
        <f>L56+1</f>
        <v>48</v>
      </c>
      <c r="M57" s="135"/>
      <c r="N57" s="136"/>
      <c r="O57" s="136"/>
      <c r="P57" s="135"/>
      <c r="R57" s="130">
        <f>R56+1</f>
        <v>48</v>
      </c>
      <c r="S57" s="135"/>
      <c r="T57" s="136"/>
      <c r="U57" s="136"/>
      <c r="V57" s="135"/>
      <c r="X57" s="130">
        <f>X56+1</f>
        <v>48</v>
      </c>
      <c r="Y57" s="135">
        <f t="shared" si="35"/>
        <v>-932812.21803784941</v>
      </c>
      <c r="Z57" s="136">
        <f t="shared" si="20"/>
        <v>-906754.50135413732</v>
      </c>
      <c r="AA57" s="136">
        <f t="shared" si="38"/>
        <v>26057.716683712122</v>
      </c>
      <c r="AB57" s="135">
        <f t="shared" si="21"/>
        <v>1839402.6614543842</v>
      </c>
      <c r="AE57" s="130">
        <f>AE56+1</f>
        <v>48</v>
      </c>
      <c r="AF57" s="135">
        <f t="shared" si="45"/>
        <v>0</v>
      </c>
      <c r="AG57" s="136">
        <f t="shared" si="46"/>
        <v>0</v>
      </c>
      <c r="AH57" s="136">
        <f t="shared" si="47"/>
        <v>0</v>
      </c>
      <c r="AI57" s="135">
        <f t="shared" si="48"/>
        <v>0</v>
      </c>
      <c r="AJ57" s="130"/>
      <c r="AK57" s="130">
        <f>AK56+1</f>
        <v>48</v>
      </c>
      <c r="AL57" s="135">
        <f t="shared" si="49"/>
        <v>0</v>
      </c>
      <c r="AM57" s="136">
        <f t="shared" si="50"/>
        <v>0</v>
      </c>
      <c r="AN57" s="136">
        <f t="shared" si="51"/>
        <v>0</v>
      </c>
      <c r="AO57" s="135">
        <f t="shared" si="52"/>
        <v>0</v>
      </c>
      <c r="AP57" s="130"/>
      <c r="AQ57" s="130">
        <f>AQ56+1</f>
        <v>48</v>
      </c>
      <c r="AR57" s="135">
        <f t="shared" si="53"/>
        <v>0</v>
      </c>
      <c r="AS57" s="136">
        <f t="shared" si="54"/>
        <v>0</v>
      </c>
      <c r="AT57" s="136">
        <f t="shared" si="55"/>
        <v>0</v>
      </c>
      <c r="AU57" s="135">
        <f t="shared" si="56"/>
        <v>0</v>
      </c>
    </row>
    <row r="58" spans="12:48">
      <c r="L58" s="130">
        <f t="shared" ref="L58:L69" si="57">L57+1</f>
        <v>49</v>
      </c>
      <c r="M58" s="135"/>
      <c r="N58" s="136"/>
      <c r="O58" s="136"/>
      <c r="P58" s="135"/>
      <c r="R58" s="130">
        <f t="shared" ref="R58:R69" si="58">R57+1</f>
        <v>49</v>
      </c>
      <c r="S58" s="135"/>
      <c r="T58" s="136"/>
      <c r="U58" s="136"/>
      <c r="V58" s="135"/>
      <c r="X58" s="130">
        <f t="shared" ref="X58:X69" si="59">X57+1</f>
        <v>49</v>
      </c>
      <c r="Y58" s="135">
        <f t="shared" si="35"/>
        <v>-932812.21803784941</v>
      </c>
      <c r="Z58" s="136">
        <f t="shared" si="20"/>
        <v>-915358.50705998775</v>
      </c>
      <c r="AA58" s="136">
        <f t="shared" si="38"/>
        <v>17453.71097786161</v>
      </c>
      <c r="AB58" s="135">
        <f t="shared" si="21"/>
        <v>924044.15439439646</v>
      </c>
      <c r="AE58" s="130">
        <f t="shared" ref="AE58:AE69" si="60">AE57+1</f>
        <v>49</v>
      </c>
      <c r="AF58" s="135">
        <f t="shared" si="45"/>
        <v>0</v>
      </c>
      <c r="AG58" s="136">
        <f t="shared" si="46"/>
        <v>0</v>
      </c>
      <c r="AH58" s="136">
        <f t="shared" si="47"/>
        <v>0</v>
      </c>
      <c r="AI58" s="135">
        <f t="shared" si="48"/>
        <v>0</v>
      </c>
      <c r="AJ58" s="130"/>
      <c r="AK58" s="130">
        <f t="shared" ref="AK58:AK69" si="61">AK57+1</f>
        <v>49</v>
      </c>
      <c r="AL58" s="135"/>
      <c r="AM58" s="136"/>
      <c r="AN58" s="136"/>
      <c r="AO58" s="135"/>
      <c r="AP58" s="130"/>
      <c r="AQ58" s="130">
        <f t="shared" ref="AQ58:AQ69" si="62">AQ57+1</f>
        <v>49</v>
      </c>
      <c r="AR58" s="135">
        <f t="shared" si="53"/>
        <v>0</v>
      </c>
      <c r="AS58" s="136">
        <f t="shared" si="54"/>
        <v>0</v>
      </c>
      <c r="AT58" s="136">
        <f t="shared" si="55"/>
        <v>0</v>
      </c>
      <c r="AU58" s="135">
        <f>IF(AS58=0,0,AU57+AS58)</f>
        <v>0</v>
      </c>
      <c r="AV58" s="213"/>
    </row>
    <row r="59" spans="12:48">
      <c r="L59" s="130">
        <f t="shared" si="57"/>
        <v>50</v>
      </c>
      <c r="M59" s="135"/>
      <c r="N59" s="136"/>
      <c r="O59" s="136"/>
      <c r="P59" s="135"/>
      <c r="R59" s="130">
        <f t="shared" si="58"/>
        <v>50</v>
      </c>
      <c r="S59" s="135"/>
      <c r="T59" s="136"/>
      <c r="U59" s="136"/>
      <c r="V59" s="135"/>
      <c r="X59" s="130">
        <f t="shared" si="59"/>
        <v>50</v>
      </c>
      <c r="Y59" s="135">
        <f t="shared" si="35"/>
        <v>-932812.21803784941</v>
      </c>
      <c r="Z59" s="136">
        <f t="shared" si="20"/>
        <v>-924044.15439438913</v>
      </c>
      <c r="AA59" s="136">
        <f t="shared" si="38"/>
        <v>8768.0636434603148</v>
      </c>
      <c r="AB59" s="135">
        <f t="shared" si="21"/>
        <v>7.3341652750968933E-9</v>
      </c>
      <c r="AE59" s="130">
        <f t="shared" si="60"/>
        <v>50</v>
      </c>
      <c r="AF59" s="135">
        <f t="shared" si="45"/>
        <v>0</v>
      </c>
      <c r="AG59" s="136">
        <f t="shared" si="46"/>
        <v>0</v>
      </c>
      <c r="AH59" s="136">
        <f t="shared" si="47"/>
        <v>0</v>
      </c>
      <c r="AI59" s="135">
        <f t="shared" si="48"/>
        <v>0</v>
      </c>
      <c r="AJ59" s="130"/>
      <c r="AK59" s="130">
        <f t="shared" si="61"/>
        <v>50</v>
      </c>
      <c r="AL59" s="135"/>
      <c r="AM59" s="136"/>
      <c r="AN59" s="136"/>
      <c r="AO59" s="135"/>
      <c r="AP59" s="130"/>
      <c r="AQ59" s="130">
        <f t="shared" si="62"/>
        <v>50</v>
      </c>
      <c r="AR59" s="135">
        <f t="shared" si="53"/>
        <v>0</v>
      </c>
      <c r="AS59" s="136">
        <f t="shared" si="54"/>
        <v>0</v>
      </c>
      <c r="AT59" s="136">
        <f t="shared" si="55"/>
        <v>0</v>
      </c>
      <c r="AU59" s="135">
        <f t="shared" si="56"/>
        <v>0</v>
      </c>
    </row>
    <row r="60" spans="12:48">
      <c r="L60" s="130">
        <f t="shared" si="57"/>
        <v>51</v>
      </c>
      <c r="R60" s="130">
        <f t="shared" si="58"/>
        <v>51</v>
      </c>
      <c r="S60" s="135"/>
      <c r="X60" s="130">
        <f t="shared" si="59"/>
        <v>51</v>
      </c>
      <c r="AE60" s="130">
        <f t="shared" si="60"/>
        <v>51</v>
      </c>
      <c r="AF60" s="135"/>
      <c r="AG60" s="136"/>
      <c r="AH60" s="136"/>
      <c r="AI60" s="135"/>
      <c r="AJ60" s="130"/>
      <c r="AK60" s="130">
        <f t="shared" si="61"/>
        <v>51</v>
      </c>
      <c r="AL60" s="135"/>
      <c r="AM60" s="130"/>
      <c r="AN60" s="130"/>
      <c r="AO60" s="130"/>
      <c r="AP60" s="130"/>
      <c r="AQ60" s="130">
        <f t="shared" si="62"/>
        <v>51</v>
      </c>
      <c r="AR60" s="135"/>
      <c r="AS60" s="136"/>
      <c r="AT60" s="136"/>
      <c r="AU60" s="135"/>
    </row>
    <row r="61" spans="12:48">
      <c r="L61" s="130">
        <f t="shared" si="57"/>
        <v>52</v>
      </c>
      <c r="R61" s="130">
        <f t="shared" si="58"/>
        <v>52</v>
      </c>
      <c r="S61" s="135"/>
      <c r="X61" s="130">
        <f t="shared" si="59"/>
        <v>52</v>
      </c>
      <c r="AE61" s="130">
        <f t="shared" si="60"/>
        <v>52</v>
      </c>
      <c r="AF61" s="135"/>
      <c r="AG61" s="136"/>
      <c r="AH61" s="136"/>
      <c r="AI61" s="135"/>
      <c r="AJ61" s="130"/>
      <c r="AK61" s="130">
        <f t="shared" si="61"/>
        <v>52</v>
      </c>
      <c r="AL61" s="135"/>
      <c r="AM61" s="130"/>
      <c r="AN61" s="130"/>
      <c r="AO61" s="130"/>
      <c r="AP61" s="130"/>
      <c r="AQ61" s="130">
        <f t="shared" si="62"/>
        <v>52</v>
      </c>
      <c r="AR61" s="135"/>
      <c r="AS61" s="136"/>
      <c r="AT61" s="136"/>
      <c r="AU61" s="135"/>
    </row>
    <row r="62" spans="12:48">
      <c r="L62" s="130">
        <f t="shared" si="57"/>
        <v>53</v>
      </c>
      <c r="R62" s="130">
        <f t="shared" si="58"/>
        <v>53</v>
      </c>
      <c r="S62" s="135"/>
      <c r="X62" s="130">
        <f t="shared" si="59"/>
        <v>53</v>
      </c>
      <c r="AE62" s="130">
        <f t="shared" si="60"/>
        <v>53</v>
      </c>
      <c r="AF62" s="135"/>
      <c r="AG62" s="136"/>
      <c r="AH62" s="136"/>
      <c r="AI62" s="135"/>
      <c r="AJ62" s="130"/>
      <c r="AK62" s="130">
        <f t="shared" si="61"/>
        <v>53</v>
      </c>
      <c r="AL62" s="135"/>
      <c r="AM62" s="130"/>
      <c r="AN62" s="130"/>
      <c r="AO62" s="130"/>
      <c r="AP62" s="130"/>
      <c r="AQ62" s="130">
        <f t="shared" si="62"/>
        <v>53</v>
      </c>
      <c r="AR62" s="135"/>
      <c r="AS62" s="136"/>
      <c r="AT62" s="136"/>
      <c r="AU62" s="135"/>
    </row>
    <row r="63" spans="12:48">
      <c r="L63" s="130">
        <f t="shared" si="57"/>
        <v>54</v>
      </c>
      <c r="R63" s="130">
        <f t="shared" si="58"/>
        <v>54</v>
      </c>
      <c r="S63" s="135"/>
      <c r="X63" s="130">
        <f t="shared" si="59"/>
        <v>54</v>
      </c>
      <c r="AE63" s="130">
        <f t="shared" si="60"/>
        <v>54</v>
      </c>
      <c r="AF63" s="135"/>
      <c r="AG63" s="136"/>
      <c r="AH63" s="136"/>
      <c r="AI63" s="135"/>
      <c r="AJ63" s="130"/>
      <c r="AK63" s="130">
        <f t="shared" si="61"/>
        <v>54</v>
      </c>
      <c r="AL63" s="135"/>
      <c r="AM63" s="130"/>
      <c r="AN63" s="130"/>
      <c r="AO63" s="130"/>
      <c r="AP63" s="130"/>
      <c r="AQ63" s="130">
        <f t="shared" si="62"/>
        <v>54</v>
      </c>
      <c r="AR63" s="135"/>
      <c r="AS63" s="136"/>
      <c r="AT63" s="136"/>
      <c r="AU63" s="135"/>
    </row>
    <row r="64" spans="12:48">
      <c r="L64" s="130">
        <f t="shared" si="57"/>
        <v>55</v>
      </c>
      <c r="R64" s="130">
        <f t="shared" si="58"/>
        <v>55</v>
      </c>
      <c r="S64" s="135"/>
      <c r="X64" s="130">
        <f t="shared" si="59"/>
        <v>55</v>
      </c>
      <c r="AE64" s="130">
        <f t="shared" si="60"/>
        <v>55</v>
      </c>
      <c r="AF64" s="135"/>
      <c r="AG64" s="136"/>
      <c r="AH64" s="136"/>
      <c r="AI64" s="135"/>
      <c r="AJ64" s="130"/>
      <c r="AK64" s="130">
        <f t="shared" si="61"/>
        <v>55</v>
      </c>
      <c r="AL64" s="135"/>
      <c r="AM64" s="130"/>
      <c r="AN64" s="130"/>
      <c r="AO64" s="130"/>
      <c r="AP64" s="130"/>
      <c r="AQ64" s="130">
        <f t="shared" si="62"/>
        <v>55</v>
      </c>
      <c r="AR64" s="135"/>
      <c r="AS64" s="136"/>
      <c r="AT64" s="136"/>
      <c r="AU64" s="135"/>
    </row>
    <row r="65" spans="12:47">
      <c r="L65" s="130">
        <f t="shared" si="57"/>
        <v>56</v>
      </c>
      <c r="R65" s="130">
        <f t="shared" si="58"/>
        <v>56</v>
      </c>
      <c r="S65" s="135"/>
      <c r="X65" s="130">
        <f t="shared" si="59"/>
        <v>56</v>
      </c>
      <c r="AE65" s="130">
        <f t="shared" si="60"/>
        <v>56</v>
      </c>
      <c r="AF65" s="135"/>
      <c r="AG65" s="136"/>
      <c r="AH65" s="136"/>
      <c r="AI65" s="135"/>
      <c r="AJ65" s="130"/>
      <c r="AK65" s="130">
        <f t="shared" si="61"/>
        <v>56</v>
      </c>
      <c r="AL65" s="135"/>
      <c r="AM65" s="130"/>
      <c r="AN65" s="130"/>
      <c r="AO65" s="130"/>
      <c r="AP65" s="130"/>
      <c r="AQ65" s="130">
        <f t="shared" si="62"/>
        <v>56</v>
      </c>
      <c r="AR65" s="135"/>
      <c r="AS65" s="136"/>
      <c r="AT65" s="136"/>
      <c r="AU65" s="135"/>
    </row>
    <row r="66" spans="12:47">
      <c r="L66" s="130">
        <f t="shared" si="57"/>
        <v>57</v>
      </c>
      <c r="R66" s="130">
        <f t="shared" si="58"/>
        <v>57</v>
      </c>
      <c r="S66" s="135"/>
      <c r="X66" s="130">
        <f t="shared" si="59"/>
        <v>57</v>
      </c>
      <c r="AE66" s="130">
        <f t="shared" si="60"/>
        <v>57</v>
      </c>
      <c r="AF66" s="130"/>
      <c r="AG66" s="130"/>
      <c r="AH66" s="130"/>
      <c r="AI66" s="130"/>
      <c r="AJ66" s="130"/>
      <c r="AK66" s="130">
        <f t="shared" si="61"/>
        <v>57</v>
      </c>
      <c r="AL66" s="135"/>
      <c r="AM66" s="130"/>
      <c r="AN66" s="130"/>
      <c r="AO66" s="130"/>
      <c r="AP66" s="130"/>
      <c r="AQ66" s="130">
        <f t="shared" si="62"/>
        <v>57</v>
      </c>
      <c r="AR66" s="135"/>
      <c r="AS66" s="136"/>
      <c r="AT66" s="136"/>
      <c r="AU66" s="135"/>
    </row>
    <row r="67" spans="12:47">
      <c r="L67" s="130">
        <f t="shared" si="57"/>
        <v>58</v>
      </c>
      <c r="R67" s="130">
        <f t="shared" si="58"/>
        <v>58</v>
      </c>
      <c r="S67" s="135"/>
      <c r="X67" s="130">
        <f t="shared" si="59"/>
        <v>58</v>
      </c>
      <c r="AE67" s="130">
        <f t="shared" si="60"/>
        <v>58</v>
      </c>
      <c r="AF67" s="130"/>
      <c r="AG67" s="130"/>
      <c r="AH67" s="130"/>
      <c r="AI67" s="130"/>
      <c r="AJ67" s="130"/>
      <c r="AK67" s="130">
        <f t="shared" si="61"/>
        <v>58</v>
      </c>
      <c r="AL67" s="135"/>
      <c r="AM67" s="130"/>
      <c r="AN67" s="130"/>
      <c r="AO67" s="130"/>
      <c r="AP67" s="130"/>
      <c r="AQ67" s="130">
        <f t="shared" si="62"/>
        <v>58</v>
      </c>
      <c r="AR67" s="135"/>
      <c r="AS67" s="136"/>
      <c r="AT67" s="136"/>
      <c r="AU67" s="135"/>
    </row>
    <row r="68" spans="12:47">
      <c r="L68" s="130">
        <f t="shared" si="57"/>
        <v>59</v>
      </c>
      <c r="R68" s="130">
        <f t="shared" si="58"/>
        <v>59</v>
      </c>
      <c r="S68" s="135"/>
      <c r="X68" s="130">
        <f t="shared" si="59"/>
        <v>59</v>
      </c>
      <c r="AE68" s="130">
        <f t="shared" si="60"/>
        <v>59</v>
      </c>
      <c r="AF68" s="130"/>
      <c r="AG68" s="130"/>
      <c r="AH68" s="130"/>
      <c r="AI68" s="130"/>
      <c r="AJ68" s="130"/>
      <c r="AK68" s="130">
        <f t="shared" si="61"/>
        <v>59</v>
      </c>
      <c r="AL68" s="135"/>
      <c r="AM68" s="130"/>
      <c r="AN68" s="130"/>
      <c r="AO68" s="130"/>
      <c r="AP68" s="130"/>
      <c r="AQ68" s="130">
        <f t="shared" si="62"/>
        <v>59</v>
      </c>
      <c r="AR68" s="135"/>
      <c r="AS68" s="136"/>
      <c r="AT68" s="136"/>
      <c r="AU68" s="135"/>
    </row>
    <row r="69" spans="12:47">
      <c r="L69" s="130">
        <f t="shared" si="57"/>
        <v>60</v>
      </c>
      <c r="R69" s="130">
        <f t="shared" si="58"/>
        <v>60</v>
      </c>
      <c r="X69" s="130">
        <f t="shared" si="59"/>
        <v>60</v>
      </c>
      <c r="AE69" s="130">
        <f t="shared" si="60"/>
        <v>60</v>
      </c>
      <c r="AF69" s="130"/>
      <c r="AG69" s="130"/>
      <c r="AH69" s="130"/>
      <c r="AI69" s="130"/>
      <c r="AJ69" s="130"/>
      <c r="AK69" s="130">
        <f t="shared" si="61"/>
        <v>60</v>
      </c>
      <c r="AL69" s="130"/>
      <c r="AM69" s="130"/>
      <c r="AN69" s="130"/>
      <c r="AO69" s="130"/>
      <c r="AP69" s="130"/>
      <c r="AQ69" s="130">
        <f t="shared" si="62"/>
        <v>60</v>
      </c>
      <c r="AR69" s="135"/>
      <c r="AS69" s="136"/>
      <c r="AT69" s="136"/>
      <c r="AU69" s="135"/>
    </row>
  </sheetData>
  <sheetProtection algorithmName="SHA-512" hashValue="4Yj+/bRlX7cQSQe4Iyj/xf/4dUCje3t/fUxMbGUMixDmHVxwXzhexC9o1IlrhDWrcuDKwcVgmnhjWrCL+x97vw==" saltValue="EG4KKR8GLisv3+rU6VjQDQ==" spinCount="100000" sheet="1" objects="1" scenarios="1" formatCells="0" formatColumns="0" formatRows="0"/>
  <customSheetViews>
    <customSheetView guid="{D031F759-B892-43F4-943A-9CD4A624A3F4}" showPageBreaks="1" showGridLines="0" topLeftCell="F1">
      <selection activeCell="F16" sqref="F16:I16"/>
    </customSheetView>
  </customSheetViews>
  <mergeCells count="6">
    <mergeCell ref="B2:J2"/>
    <mergeCell ref="F21:I21"/>
    <mergeCell ref="I18:K18"/>
    <mergeCell ref="F20:I20"/>
    <mergeCell ref="F3:G3"/>
    <mergeCell ref="F4:G4"/>
  </mergeCells>
  <dataValidations count="2">
    <dataValidation type="list" allowBlank="1" showInputMessage="1" showErrorMessage="1" sqref="AD1:AD3 D4">
      <formula1>$AD$1:$AD$3</formula1>
    </dataValidation>
    <dataValidation type="list" allowBlank="1" showInputMessage="1" showErrorMessage="1" sqref="C26 J21">
      <formula1>$C$26:$C$28</formula1>
    </dataValidation>
  </dataValidations>
  <pageMargins left="0.7" right="0.7" top="0.75" bottom="0.75" header="0.3" footer="0.3"/>
  <pageSetup paperSize="9" orientation="portrait" r:id="rId1"/>
  <ignoredErrors>
    <ignoredError sqref="D19" unlockedFormula="1"/>
  </ignoredErrors>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Hoja5"/>
  <dimension ref="A1:L60"/>
  <sheetViews>
    <sheetView showGridLines="0" zoomScale="90" zoomScaleNormal="90" zoomScalePageLayoutView="90" workbookViewId="0">
      <pane xSplit="7" ySplit="1" topLeftCell="H2" activePane="bottomRight" state="frozenSplit"/>
      <selection pane="topRight" activeCell="H1" sqref="H1"/>
      <selection pane="bottomLeft" activeCell="A2" sqref="A2"/>
      <selection pane="bottomRight" activeCell="B5" sqref="B5"/>
    </sheetView>
  </sheetViews>
  <sheetFormatPr baseColWidth="10" defaultColWidth="10.85546875" defaultRowHeight="15"/>
  <cols>
    <col min="1" max="1" width="26.7109375" style="14" customWidth="1"/>
    <col min="2" max="2" width="25.85546875" style="14" bestFit="1" customWidth="1"/>
    <col min="3" max="3" width="21.7109375" style="14" bestFit="1" customWidth="1"/>
    <col min="4" max="7" width="17.5703125" style="14" bestFit="1" customWidth="1"/>
    <col min="8" max="16384" width="10.85546875" style="14"/>
  </cols>
  <sheetData>
    <row r="1" spans="1:12" ht="34.5" customHeight="1">
      <c r="A1" s="256" t="s">
        <v>124</v>
      </c>
      <c r="B1" s="256"/>
      <c r="C1" s="256"/>
      <c r="D1" s="256"/>
      <c r="E1" s="256"/>
      <c r="F1" s="256"/>
      <c r="G1" s="256"/>
    </row>
    <row r="2" spans="1:12" ht="23.25">
      <c r="A2" s="257" t="s">
        <v>139</v>
      </c>
      <c r="B2" s="257"/>
      <c r="C2" s="257"/>
      <c r="D2" s="257"/>
      <c r="E2" s="257"/>
      <c r="F2" s="257"/>
      <c r="G2" s="257"/>
    </row>
    <row r="3" spans="1:12" ht="8.25" customHeight="1">
      <c r="A3" s="52"/>
      <c r="B3" s="52"/>
      <c r="C3" s="52"/>
      <c r="D3" s="52"/>
      <c r="E3" s="52"/>
      <c r="F3" s="52"/>
      <c r="G3" s="52"/>
    </row>
    <row r="4" spans="1:12" ht="15.75">
      <c r="A4" s="258" t="s">
        <v>95</v>
      </c>
      <c r="B4" s="258"/>
      <c r="C4" s="258"/>
      <c r="D4" s="258"/>
      <c r="E4" s="258"/>
      <c r="F4" s="258"/>
      <c r="G4" s="258"/>
    </row>
    <row r="5" spans="1:12" ht="23.25">
      <c r="C5" s="56">
        <f>'1'!B31</f>
        <v>2020</v>
      </c>
      <c r="D5" s="56">
        <f>'1'!C31</f>
        <v>2021</v>
      </c>
      <c r="E5" s="56">
        <f>'1'!D31</f>
        <v>2022</v>
      </c>
      <c r="F5" s="56">
        <f>'1'!E31</f>
        <v>2023</v>
      </c>
      <c r="G5" s="56">
        <f>'1'!F31</f>
        <v>2024</v>
      </c>
    </row>
    <row r="6" spans="1:12">
      <c r="B6" s="14" t="s">
        <v>32</v>
      </c>
      <c r="C6" s="57">
        <f>'1'!B32</f>
        <v>422000000</v>
      </c>
      <c r="D6" s="57">
        <f>'1'!C32</f>
        <v>450344480.00000012</v>
      </c>
      <c r="E6" s="57">
        <f>'1'!D32</f>
        <v>480019658.70992011</v>
      </c>
      <c r="F6" s="57">
        <f>'1'!E32</f>
        <v>512499264.05603522</v>
      </c>
      <c r="G6" s="57">
        <f>'1'!F32</f>
        <v>552815292.22654164</v>
      </c>
    </row>
    <row r="7" spans="1:12">
      <c r="B7" s="14" t="s">
        <v>72</v>
      </c>
      <c r="C7" s="57">
        <f>'1'!B33</f>
        <v>184000000</v>
      </c>
      <c r="D7" s="57">
        <f>'1'!C33</f>
        <v>197473320.00000003</v>
      </c>
      <c r="E7" s="57">
        <f>'1'!D33</f>
        <v>211943070.50400007</v>
      </c>
      <c r="F7" s="57">
        <f>'1'!E33</f>
        <v>228129082.29094374</v>
      </c>
      <c r="G7" s="57">
        <f>'1'!F33</f>
        <v>247283986.92829853</v>
      </c>
    </row>
    <row r="8" spans="1:12" ht="15.75" thickBot="1">
      <c r="B8" s="58" t="s">
        <v>73</v>
      </c>
      <c r="C8" s="59">
        <f>C6-C7</f>
        <v>238000000</v>
      </c>
      <c r="D8" s="59">
        <f t="shared" ref="D8:G8" si="0">D6-D7</f>
        <v>252871160.00000009</v>
      </c>
      <c r="E8" s="59">
        <f t="shared" si="0"/>
        <v>268076588.20592004</v>
      </c>
      <c r="F8" s="59">
        <f t="shared" si="0"/>
        <v>284370181.76509148</v>
      </c>
      <c r="G8" s="59">
        <f t="shared" si="0"/>
        <v>305531305.29824311</v>
      </c>
    </row>
    <row r="9" spans="1:12" ht="15.75" thickTop="1">
      <c r="B9" s="14" t="s">
        <v>74</v>
      </c>
      <c r="C9" s="57">
        <f>'2'!C24</f>
        <v>179472000</v>
      </c>
      <c r="D9" s="57">
        <f>C9*(1+'1'!Z4)</f>
        <v>184766424</v>
      </c>
      <c r="E9" s="57">
        <f>D9*(1+'1'!AA4)</f>
        <v>189976837.1568</v>
      </c>
      <c r="F9" s="57">
        <f>E9*(1+'1'!AB4)</f>
        <v>195106211.76003358</v>
      </c>
      <c r="G9" s="57">
        <f>F9*(1+'1'!AC4)</f>
        <v>200374079.47755447</v>
      </c>
    </row>
    <row r="10" spans="1:12">
      <c r="B10" s="14" t="s">
        <v>75</v>
      </c>
      <c r="C10" s="57">
        <f>'2'!C26</f>
        <v>5000000</v>
      </c>
      <c r="D10" s="57">
        <f>C10*(1+'1'!Z5)</f>
        <v>5170000</v>
      </c>
      <c r="E10" s="57">
        <f>D10*(1+'1'!AA5)</f>
        <v>5345780</v>
      </c>
      <c r="F10" s="57">
        <f>E10*(1+'1'!AB5)</f>
        <v>5527536.5200000005</v>
      </c>
      <c r="G10" s="57">
        <f>F10*(1+'1'!AC5)</f>
        <v>5715472.7616800005</v>
      </c>
    </row>
    <row r="11" spans="1:12">
      <c r="B11" s="14" t="s">
        <v>141</v>
      </c>
      <c r="C11" s="57">
        <f>'2'!F32</f>
        <v>31250000</v>
      </c>
      <c r="D11" s="57">
        <f>C11*(1+'1'!Z4)</f>
        <v>32171875.000000004</v>
      </c>
      <c r="E11" s="57">
        <f>D11*(1+'1'!AA4)</f>
        <v>33079121.875000004</v>
      </c>
      <c r="F11" s="57">
        <f>E11*(1+'1'!AB4)</f>
        <v>33972258.165624999</v>
      </c>
      <c r="G11" s="57">
        <f>F11*(1+'1'!AC4)</f>
        <v>34889509.136096872</v>
      </c>
    </row>
    <row r="12" spans="1:12">
      <c r="B12" s="14" t="s">
        <v>92</v>
      </c>
      <c r="C12" s="57">
        <f>'2'!G13</f>
        <v>5400000</v>
      </c>
      <c r="D12" s="57">
        <f>C12</f>
        <v>5400000</v>
      </c>
      <c r="E12" s="57">
        <f t="shared" ref="E12:G12" si="1">D12</f>
        <v>5400000</v>
      </c>
      <c r="F12" s="57">
        <f t="shared" si="1"/>
        <v>5400000</v>
      </c>
      <c r="G12" s="57">
        <f t="shared" si="1"/>
        <v>5400000</v>
      </c>
    </row>
    <row r="13" spans="1:12" ht="15.75" thickBot="1">
      <c r="B13" s="58" t="s">
        <v>76</v>
      </c>
      <c r="C13" s="60">
        <f>C8-C9-C10-C11-C12</f>
        <v>16878000</v>
      </c>
      <c r="D13" s="60">
        <f>D8-D9-D10-D11-D12</f>
        <v>25362861.000000086</v>
      </c>
      <c r="E13" s="60">
        <f t="shared" ref="E13:G13" si="2">E8-E9-E10-E11-E12</f>
        <v>34274849.174120039</v>
      </c>
      <c r="F13" s="60">
        <f t="shared" si="2"/>
        <v>44364175.319432907</v>
      </c>
      <c r="G13" s="60">
        <f t="shared" si="2"/>
        <v>59152243.922911756</v>
      </c>
      <c r="L13"/>
    </row>
    <row r="14" spans="1:12" ht="15.75" thickTop="1">
      <c r="B14" s="14" t="s">
        <v>77</v>
      </c>
      <c r="C14" s="57">
        <f>'3'!I10</f>
        <v>3836938.8521522712</v>
      </c>
      <c r="D14" s="57">
        <f>'3'!I11</f>
        <v>2954121.920436034</v>
      </c>
      <c r="E14" s="57">
        <f>'3'!I12</f>
        <v>1965366.9569138475</v>
      </c>
      <c r="F14" s="57">
        <f>'3'!I13</f>
        <v>857961.3977689977</v>
      </c>
      <c r="G14" s="57">
        <f>'3'!I14</f>
        <v>26221.774621321925</v>
      </c>
    </row>
    <row r="15" spans="1:12" ht="15.75" thickBot="1">
      <c r="B15" s="58" t="s">
        <v>78</v>
      </c>
      <c r="C15" s="60">
        <f>C13-C14</f>
        <v>13041061.147847729</v>
      </c>
      <c r="D15" s="60">
        <f t="shared" ref="D15:G15" si="3">D13-D14</f>
        <v>22408739.07956405</v>
      </c>
      <c r="E15" s="60">
        <f t="shared" si="3"/>
        <v>32309482.217206191</v>
      </c>
      <c r="F15" s="60">
        <f t="shared" si="3"/>
        <v>43506213.92166391</v>
      </c>
      <c r="G15" s="60">
        <f t="shared" si="3"/>
        <v>59126022.148290433</v>
      </c>
    </row>
    <row r="16" spans="1:12" ht="15.75" thickTop="1">
      <c r="B16" s="14" t="s">
        <v>79</v>
      </c>
      <c r="C16" s="61">
        <f>IF(C15*'1'!$AB$7&lt;0,0,C15*'1'!$AB$7)</f>
        <v>4042728.9558327957</v>
      </c>
      <c r="D16" s="61">
        <f>IF(D15*'1'!$AB$7&lt;0,0,D15*'1'!$AB$7)</f>
        <v>6946709.1146648554</v>
      </c>
      <c r="E16" s="61">
        <f>IF(E15*'1'!$AB$7&lt;0,0,E15*'1'!$AB$7)</f>
        <v>10015939.48733392</v>
      </c>
      <c r="F16" s="61">
        <f>IF(F15*'1'!$AB$7&lt;0,0,F15*'1'!$AB$7)</f>
        <v>13486926.315715812</v>
      </c>
      <c r="G16" s="61">
        <f>IF(G15*'1'!$AB$7&lt;0,0,G15*'1'!$AB$7)</f>
        <v>18329066.865970034</v>
      </c>
    </row>
    <row r="17" spans="1:8" ht="15.75" thickBot="1">
      <c r="B17" s="62" t="s">
        <v>80</v>
      </c>
      <c r="C17" s="63">
        <f>C15-C16</f>
        <v>8998332.1920149326</v>
      </c>
      <c r="D17" s="63">
        <f t="shared" ref="D17:G17" si="4">D15-D16</f>
        <v>15462029.964899193</v>
      </c>
      <c r="E17" s="63">
        <f t="shared" si="4"/>
        <v>22293542.729872271</v>
      </c>
      <c r="F17" s="63">
        <f t="shared" si="4"/>
        <v>30019287.605948098</v>
      </c>
      <c r="G17" s="63">
        <f t="shared" si="4"/>
        <v>40796955.282320395</v>
      </c>
    </row>
    <row r="19" spans="1:8" ht="15.75">
      <c r="A19" s="258" t="s">
        <v>70</v>
      </c>
      <c r="B19" s="258"/>
      <c r="C19" s="258"/>
      <c r="D19" s="258"/>
      <c r="E19" s="258"/>
      <c r="F19" s="258"/>
      <c r="G19" s="258"/>
    </row>
    <row r="20" spans="1:8" ht="23.25">
      <c r="B20" s="64" t="s">
        <v>90</v>
      </c>
      <c r="C20" s="56">
        <f>C5</f>
        <v>2020</v>
      </c>
      <c r="D20" s="56">
        <f>D5</f>
        <v>2021</v>
      </c>
      <c r="E20" s="56">
        <f>E5</f>
        <v>2022</v>
      </c>
      <c r="F20" s="56">
        <f>F5</f>
        <v>2023</v>
      </c>
      <c r="G20" s="56">
        <f>G5</f>
        <v>2024</v>
      </c>
    </row>
    <row r="21" spans="1:8">
      <c r="A21" s="259" t="s">
        <v>71</v>
      </c>
      <c r="B21" s="259"/>
      <c r="C21" s="259"/>
      <c r="D21" s="259"/>
      <c r="E21" s="259"/>
      <c r="F21" s="259"/>
      <c r="G21" s="259"/>
    </row>
    <row r="22" spans="1:8">
      <c r="A22" s="14" t="s">
        <v>101</v>
      </c>
      <c r="B22" s="26">
        <f>B38-B26</f>
        <v>14000000</v>
      </c>
      <c r="C22" s="26">
        <f t="shared" ref="C22:G22" si="5">C38-C26</f>
        <v>25084253.383545808</v>
      </c>
      <c r="D22" s="26">
        <f t="shared" si="5"/>
        <v>31612306.619243972</v>
      </c>
      <c r="E22" s="26">
        <f t="shared" si="5"/>
        <v>37684670.097345762</v>
      </c>
      <c r="F22" s="26">
        <f t="shared" si="5"/>
        <v>43945616.58311829</v>
      </c>
      <c r="G22" s="26">
        <f t="shared" si="5"/>
        <v>63126022.148290426</v>
      </c>
    </row>
    <row r="23" spans="1:8">
      <c r="A23" s="14" t="s">
        <v>99</v>
      </c>
      <c r="B23" s="26">
        <f>'2'!C5</f>
        <v>0</v>
      </c>
      <c r="C23" s="26">
        <f>B23</f>
        <v>0</v>
      </c>
      <c r="D23" s="26">
        <f t="shared" ref="D23:G23" si="6">C23</f>
        <v>0</v>
      </c>
      <c r="E23" s="26">
        <f t="shared" si="6"/>
        <v>0</v>
      </c>
      <c r="F23" s="26">
        <f t="shared" si="6"/>
        <v>0</v>
      </c>
      <c r="G23" s="26">
        <f t="shared" si="6"/>
        <v>0</v>
      </c>
      <c r="H23" s="26"/>
    </row>
    <row r="24" spans="1:8">
      <c r="A24" s="14" t="s">
        <v>100</v>
      </c>
      <c r="B24" s="26">
        <f>'2'!C13-'2'!C5</f>
        <v>42000000</v>
      </c>
      <c r="C24" s="26">
        <f>B24</f>
        <v>42000000</v>
      </c>
      <c r="D24" s="26">
        <f t="shared" ref="D24:G24" si="7">C24</f>
        <v>42000000</v>
      </c>
      <c r="E24" s="26">
        <f t="shared" si="7"/>
        <v>42000000</v>
      </c>
      <c r="F24" s="26">
        <f t="shared" si="7"/>
        <v>42000000</v>
      </c>
      <c r="G24" s="26">
        <f t="shared" si="7"/>
        <v>42000000</v>
      </c>
      <c r="H24" s="26"/>
    </row>
    <row r="25" spans="1:8">
      <c r="A25" s="14" t="s">
        <v>93</v>
      </c>
      <c r="B25" s="26">
        <v>0</v>
      </c>
      <c r="C25" s="26">
        <f>C12</f>
        <v>5400000</v>
      </c>
      <c r="D25" s="26">
        <f>D12+C12</f>
        <v>10800000</v>
      </c>
      <c r="E25" s="26">
        <f>E12+D12+C12</f>
        <v>16200000</v>
      </c>
      <c r="F25" s="26">
        <f>F12+E12+D12+C12</f>
        <v>21600000</v>
      </c>
      <c r="G25" s="26">
        <f>F25+G12</f>
        <v>27000000</v>
      </c>
      <c r="H25" s="26"/>
    </row>
    <row r="26" spans="1:8">
      <c r="A26" s="14" t="s">
        <v>94</v>
      </c>
      <c r="B26" s="26">
        <f>B23+(B24-B25)</f>
        <v>42000000</v>
      </c>
      <c r="C26" s="26">
        <f>C23+(C24-C25)</f>
        <v>36600000</v>
      </c>
      <c r="D26" s="26">
        <f t="shared" ref="D26:G26" si="8">D23+(D24-D25)</f>
        <v>31200000</v>
      </c>
      <c r="E26" s="26">
        <f t="shared" si="8"/>
        <v>25800000</v>
      </c>
      <c r="F26" s="26">
        <f t="shared" si="8"/>
        <v>20400000</v>
      </c>
      <c r="G26" s="26">
        <f t="shared" si="8"/>
        <v>15000000</v>
      </c>
      <c r="H26" s="26"/>
    </row>
    <row r="27" spans="1:8" ht="15.75" thickBot="1">
      <c r="A27" s="58" t="s">
        <v>91</v>
      </c>
      <c r="B27" s="65">
        <f>B22+B26</f>
        <v>56000000</v>
      </c>
      <c r="C27" s="65">
        <f t="shared" ref="C27:G27" si="9">C22+C26</f>
        <v>61684253.383545808</v>
      </c>
      <c r="D27" s="65">
        <f t="shared" si="9"/>
        <v>62812306.619243972</v>
      </c>
      <c r="E27" s="65">
        <f t="shared" si="9"/>
        <v>63484670.097345762</v>
      </c>
      <c r="F27" s="65">
        <f t="shared" si="9"/>
        <v>64345616.58311829</v>
      </c>
      <c r="G27" s="65">
        <f t="shared" si="9"/>
        <v>78126022.148290426</v>
      </c>
      <c r="H27" s="26"/>
    </row>
    <row r="28" spans="1:8" ht="15.75" thickTop="1">
      <c r="A28" s="259" t="s">
        <v>81</v>
      </c>
      <c r="B28" s="259"/>
      <c r="C28" s="259"/>
      <c r="D28" s="259"/>
      <c r="E28" s="259"/>
      <c r="F28" s="259"/>
      <c r="G28" s="259"/>
    </row>
    <row r="29" spans="1:8">
      <c r="A29" s="14" t="s">
        <v>82</v>
      </c>
      <c r="B29" s="14">
        <v>0</v>
      </c>
      <c r="C29" s="61">
        <f>C16</f>
        <v>4042728.9558327957</v>
      </c>
      <c r="D29" s="61">
        <f>D16</f>
        <v>6946709.1146648554</v>
      </c>
      <c r="E29" s="61">
        <f>E16</f>
        <v>10015939.48733392</v>
      </c>
      <c r="F29" s="61">
        <f>F16</f>
        <v>13486926.315715812</v>
      </c>
      <c r="G29" s="61">
        <f>G16</f>
        <v>18329066.865970034</v>
      </c>
    </row>
    <row r="30" spans="1:8">
      <c r="A30" s="14" t="s">
        <v>83</v>
      </c>
      <c r="B30" s="61">
        <f>B29</f>
        <v>0</v>
      </c>
      <c r="C30" s="61">
        <f t="shared" ref="C30:G30" si="10">C29</f>
        <v>4042728.9558327957</v>
      </c>
      <c r="D30" s="61">
        <f t="shared" si="10"/>
        <v>6946709.1146648554</v>
      </c>
      <c r="E30" s="61">
        <f t="shared" si="10"/>
        <v>10015939.48733392</v>
      </c>
      <c r="F30" s="61">
        <f t="shared" si="10"/>
        <v>13486926.315715812</v>
      </c>
      <c r="G30" s="61">
        <f t="shared" si="10"/>
        <v>18329066.865970034</v>
      </c>
    </row>
    <row r="31" spans="1:8">
      <c r="A31" s="14" t="s">
        <v>84</v>
      </c>
      <c r="B31" s="25">
        <f>IF(AND('3'!J9="NO SE REQUIERE PRESTAMO",'3'!J21="TIPO 1"),0,IF('3'!J21="TIPO 2",'3'!J9,0))</f>
        <v>37000000</v>
      </c>
      <c r="C31" s="25">
        <f>'3'!J10</f>
        <v>29643192.235698078</v>
      </c>
      <c r="D31" s="25">
        <f>'3'!J11</f>
        <v>21403567.539679918</v>
      </c>
      <c r="E31" s="25">
        <f>'3'!J12</f>
        <v>12175187.880139573</v>
      </c>
      <c r="F31" s="25">
        <f>'3'!J13</f>
        <v>1839402.6614543758</v>
      </c>
      <c r="G31" s="25">
        <f>'3'!J14</f>
        <v>0</v>
      </c>
    </row>
    <row r="32" spans="1:8" ht="15.75" thickBot="1">
      <c r="A32" s="58" t="s">
        <v>81</v>
      </c>
      <c r="B32" s="65">
        <f>IF(B31="NO SE REQUIERE PRESTAMO",(0+B30),B30+B31)</f>
        <v>37000000</v>
      </c>
      <c r="C32" s="65">
        <f t="shared" ref="C32:G32" si="11">C30+C31</f>
        <v>33685921.191530876</v>
      </c>
      <c r="D32" s="65">
        <f t="shared" si="11"/>
        <v>28350276.654344775</v>
      </c>
      <c r="E32" s="65">
        <f t="shared" si="11"/>
        <v>22191127.367473491</v>
      </c>
      <c r="F32" s="65">
        <f t="shared" si="11"/>
        <v>15326328.977170188</v>
      </c>
      <c r="G32" s="65">
        <f t="shared" si="11"/>
        <v>18329066.865970034</v>
      </c>
    </row>
    <row r="33" spans="1:7" ht="15.75" thickTop="1">
      <c r="A33" s="259" t="s">
        <v>85</v>
      </c>
      <c r="B33" s="259"/>
      <c r="C33" s="259"/>
      <c r="D33" s="259"/>
      <c r="E33" s="259"/>
      <c r="F33" s="259"/>
      <c r="G33" s="259"/>
    </row>
    <row r="34" spans="1:7">
      <c r="A34" s="14" t="s">
        <v>86</v>
      </c>
      <c r="B34" s="26">
        <f>'3'!D19+'3'!C20</f>
        <v>19000000</v>
      </c>
      <c r="C34" s="26">
        <f>B34</f>
        <v>19000000</v>
      </c>
      <c r="D34" s="26">
        <f t="shared" ref="D34:G34" si="12">C34</f>
        <v>19000000</v>
      </c>
      <c r="E34" s="26">
        <f t="shared" si="12"/>
        <v>19000000</v>
      </c>
      <c r="F34" s="26">
        <f t="shared" si="12"/>
        <v>19000000</v>
      </c>
      <c r="G34" s="26">
        <f t="shared" si="12"/>
        <v>19000000</v>
      </c>
    </row>
    <row r="35" spans="1:7">
      <c r="A35" s="14" t="s">
        <v>87</v>
      </c>
      <c r="B35" s="14">
        <v>0</v>
      </c>
      <c r="C35" s="61">
        <f>C17</f>
        <v>8998332.1920149326</v>
      </c>
      <c r="D35" s="61">
        <f>D17</f>
        <v>15462029.964899193</v>
      </c>
      <c r="E35" s="61">
        <f>E17</f>
        <v>22293542.729872271</v>
      </c>
      <c r="F35" s="61">
        <f>F17</f>
        <v>30019287.605948098</v>
      </c>
      <c r="G35" s="61">
        <f>G17</f>
        <v>40796955.282320395</v>
      </c>
    </row>
    <row r="36" spans="1:7" ht="15.75" thickBot="1">
      <c r="A36" s="58" t="s">
        <v>88</v>
      </c>
      <c r="B36" s="65">
        <f>B34+B35</f>
        <v>19000000</v>
      </c>
      <c r="C36" s="65">
        <f t="shared" ref="C36:G36" si="13">C34+C35</f>
        <v>27998332.192014933</v>
      </c>
      <c r="D36" s="65">
        <f t="shared" si="13"/>
        <v>34462029.964899197</v>
      </c>
      <c r="E36" s="65">
        <f t="shared" si="13"/>
        <v>41293542.729872271</v>
      </c>
      <c r="F36" s="65">
        <f t="shared" si="13"/>
        <v>49019287.605948098</v>
      </c>
      <c r="G36" s="65">
        <f t="shared" si="13"/>
        <v>59796955.282320395</v>
      </c>
    </row>
    <row r="37" spans="1:7" ht="15.75" thickTop="1"/>
    <row r="38" spans="1:7" ht="15.75" thickBot="1">
      <c r="A38" s="58" t="s">
        <v>89</v>
      </c>
      <c r="B38" s="65">
        <f>B32+B36</f>
        <v>56000000</v>
      </c>
      <c r="C38" s="65">
        <f t="shared" ref="C38:G38" si="14">C32+C36</f>
        <v>61684253.383545808</v>
      </c>
      <c r="D38" s="65">
        <f t="shared" si="14"/>
        <v>62812306.619243972</v>
      </c>
      <c r="E38" s="65">
        <f t="shared" si="14"/>
        <v>63484670.097345762</v>
      </c>
      <c r="F38" s="65">
        <f t="shared" si="14"/>
        <v>64345616.58311829</v>
      </c>
      <c r="G38" s="65">
        <f t="shared" si="14"/>
        <v>78126022.148290426</v>
      </c>
    </row>
    <row r="39" spans="1:7" ht="15.75" thickTop="1">
      <c r="A39" s="54" t="s">
        <v>96</v>
      </c>
      <c r="B39" s="66">
        <f>B27-B38</f>
        <v>0</v>
      </c>
      <c r="C39" s="66">
        <f t="shared" ref="C39:G39" si="15">C27-C38</f>
        <v>0</v>
      </c>
      <c r="D39" s="66">
        <f t="shared" si="15"/>
        <v>0</v>
      </c>
      <c r="E39" s="66">
        <f t="shared" si="15"/>
        <v>0</v>
      </c>
      <c r="F39" s="66">
        <f t="shared" si="15"/>
        <v>0</v>
      </c>
      <c r="G39" s="66">
        <f t="shared" si="15"/>
        <v>0</v>
      </c>
    </row>
    <row r="41" spans="1:7" ht="15.75">
      <c r="A41" s="258" t="s">
        <v>102</v>
      </c>
      <c r="B41" s="258"/>
      <c r="C41" s="258"/>
      <c r="D41" s="258"/>
      <c r="E41" s="258"/>
      <c r="F41" s="258"/>
      <c r="G41" s="258"/>
    </row>
    <row r="42" spans="1:7">
      <c r="A42" s="259" t="s">
        <v>103</v>
      </c>
      <c r="B42" s="259"/>
      <c r="C42" s="259"/>
      <c r="D42" s="259"/>
      <c r="E42" s="259"/>
      <c r="F42" s="259"/>
      <c r="G42" s="259"/>
    </row>
    <row r="43" spans="1:7" ht="23.25">
      <c r="A43" s="11"/>
      <c r="B43" s="64" t="s">
        <v>90</v>
      </c>
      <c r="C43" s="56">
        <f>C20</f>
        <v>2020</v>
      </c>
      <c r="D43" s="56">
        <f t="shared" ref="D43:G43" si="16">D20</f>
        <v>2021</v>
      </c>
      <c r="E43" s="56">
        <f t="shared" si="16"/>
        <v>2022</v>
      </c>
      <c r="F43" s="56">
        <f t="shared" si="16"/>
        <v>2023</v>
      </c>
      <c r="G43" s="56">
        <f t="shared" si="16"/>
        <v>2024</v>
      </c>
    </row>
    <row r="44" spans="1:7">
      <c r="A44" s="1" t="s">
        <v>104</v>
      </c>
      <c r="B44" s="2">
        <f>B22</f>
        <v>14000000</v>
      </c>
      <c r="C44" s="2">
        <f t="shared" ref="C44:G44" si="17">C22</f>
        <v>25084253.383545808</v>
      </c>
      <c r="D44" s="2">
        <f t="shared" si="17"/>
        <v>31612306.619243972</v>
      </c>
      <c r="E44" s="2">
        <f t="shared" si="17"/>
        <v>37684670.097345762</v>
      </c>
      <c r="F44" s="2">
        <f t="shared" si="17"/>
        <v>43945616.58311829</v>
      </c>
      <c r="G44" s="2">
        <f t="shared" si="17"/>
        <v>63126022.148290426</v>
      </c>
    </row>
    <row r="45" spans="1:7" ht="15.75" thickBot="1">
      <c r="A45" s="1" t="s">
        <v>105</v>
      </c>
      <c r="B45" s="3">
        <f>B29</f>
        <v>0</v>
      </c>
      <c r="C45" s="3">
        <f t="shared" ref="C45:G45" si="18">C29</f>
        <v>4042728.9558327957</v>
      </c>
      <c r="D45" s="3">
        <f t="shared" si="18"/>
        <v>6946709.1146648554</v>
      </c>
      <c r="E45" s="3">
        <f t="shared" si="18"/>
        <v>10015939.48733392</v>
      </c>
      <c r="F45" s="3">
        <f t="shared" si="18"/>
        <v>13486926.315715812</v>
      </c>
      <c r="G45" s="3">
        <f t="shared" si="18"/>
        <v>18329066.865970034</v>
      </c>
    </row>
    <row r="46" spans="1:7" ht="15.75" thickTop="1">
      <c r="A46" s="4" t="s">
        <v>106</v>
      </c>
      <c r="B46" s="5">
        <f t="shared" ref="B46:G46" si="19">B44-B45</f>
        <v>14000000</v>
      </c>
      <c r="C46" s="5">
        <f t="shared" si="19"/>
        <v>21041524.427713014</v>
      </c>
      <c r="D46" s="5">
        <f t="shared" si="19"/>
        <v>24665597.504579116</v>
      </c>
      <c r="E46" s="5">
        <f t="shared" si="19"/>
        <v>27668730.610011842</v>
      </c>
      <c r="F46" s="5">
        <f t="shared" si="19"/>
        <v>30458690.267402478</v>
      </c>
      <c r="G46" s="5">
        <f t="shared" si="19"/>
        <v>44796955.282320395</v>
      </c>
    </row>
    <row r="47" spans="1:7">
      <c r="A47" s="1"/>
      <c r="B47" s="2"/>
      <c r="C47" s="2"/>
      <c r="D47" s="2"/>
      <c r="E47" s="2"/>
      <c r="F47" s="2"/>
      <c r="G47" s="2"/>
    </row>
    <row r="48" spans="1:7">
      <c r="A48" s="4" t="s">
        <v>107</v>
      </c>
      <c r="B48" s="2">
        <f>B26</f>
        <v>42000000</v>
      </c>
      <c r="C48" s="2">
        <f t="shared" ref="C48:G48" si="20">C26</f>
        <v>36600000</v>
      </c>
      <c r="D48" s="2">
        <f t="shared" si="20"/>
        <v>31200000</v>
      </c>
      <c r="E48" s="2">
        <f t="shared" si="20"/>
        <v>25800000</v>
      </c>
      <c r="F48" s="2">
        <f t="shared" si="20"/>
        <v>20400000</v>
      </c>
      <c r="G48" s="2">
        <f t="shared" si="20"/>
        <v>15000000</v>
      </c>
    </row>
    <row r="49" spans="1:7" ht="15.75" thickBot="1">
      <c r="A49" s="1" t="s">
        <v>108</v>
      </c>
      <c r="B49" s="3">
        <f>B25</f>
        <v>0</v>
      </c>
      <c r="C49" s="3">
        <f t="shared" ref="C49:G49" si="21">C25</f>
        <v>5400000</v>
      </c>
      <c r="D49" s="3">
        <f t="shared" si="21"/>
        <v>10800000</v>
      </c>
      <c r="E49" s="3">
        <f t="shared" si="21"/>
        <v>16200000</v>
      </c>
      <c r="F49" s="3">
        <f t="shared" si="21"/>
        <v>21600000</v>
      </c>
      <c r="G49" s="3">
        <f t="shared" si="21"/>
        <v>27000000</v>
      </c>
    </row>
    <row r="50" spans="1:7" ht="15.75" thickTop="1">
      <c r="A50" s="4" t="s">
        <v>109</v>
      </c>
      <c r="B50" s="5">
        <f t="shared" ref="B50:G50" si="22">B48+B49</f>
        <v>42000000</v>
      </c>
      <c r="C50" s="5">
        <f t="shared" si="22"/>
        <v>42000000</v>
      </c>
      <c r="D50" s="5">
        <f t="shared" si="22"/>
        <v>42000000</v>
      </c>
      <c r="E50" s="5">
        <f t="shared" si="22"/>
        <v>42000000</v>
      </c>
      <c r="F50" s="5">
        <f t="shared" si="22"/>
        <v>42000000</v>
      </c>
      <c r="G50" s="5">
        <f t="shared" si="22"/>
        <v>42000000</v>
      </c>
    </row>
    <row r="51" spans="1:7">
      <c r="A51" s="1"/>
      <c r="B51" s="2"/>
      <c r="C51" s="2"/>
      <c r="D51" s="2"/>
      <c r="E51" s="2"/>
      <c r="F51" s="2"/>
      <c r="G51" s="2"/>
    </row>
    <row r="52" spans="1:7" ht="15.75" thickBot="1">
      <c r="A52" s="12" t="s">
        <v>110</v>
      </c>
      <c r="B52" s="6">
        <f t="shared" ref="B52:G52" si="23">B46+B48</f>
        <v>56000000</v>
      </c>
      <c r="C52" s="6">
        <f t="shared" si="23"/>
        <v>57641524.427713014</v>
      </c>
      <c r="D52" s="6">
        <f t="shared" si="23"/>
        <v>55865597.504579112</v>
      </c>
      <c r="E52" s="6">
        <f t="shared" si="23"/>
        <v>53468730.610011846</v>
      </c>
      <c r="F52" s="6">
        <f t="shared" si="23"/>
        <v>50858690.267402478</v>
      </c>
      <c r="G52" s="6">
        <f t="shared" si="23"/>
        <v>59796955.282320395</v>
      </c>
    </row>
    <row r="53" spans="1:7" ht="15.75" thickTop="1">
      <c r="A53" s="7"/>
      <c r="B53" s="2"/>
      <c r="C53" s="2"/>
      <c r="D53" s="2"/>
      <c r="E53" s="2"/>
      <c r="F53" s="2"/>
      <c r="G53" s="2"/>
    </row>
    <row r="54" spans="1:7">
      <c r="A54" s="260" t="s">
        <v>111</v>
      </c>
      <c r="B54" s="260"/>
      <c r="C54" s="260"/>
      <c r="D54" s="260"/>
      <c r="E54" s="260"/>
      <c r="F54" s="260"/>
      <c r="G54" s="260"/>
    </row>
    <row r="55" spans="1:7">
      <c r="A55" s="1" t="s">
        <v>112</v>
      </c>
      <c r="B55" s="8"/>
      <c r="C55" s="9">
        <f>C13</f>
        <v>16878000</v>
      </c>
      <c r="D55" s="9">
        <f>D13</f>
        <v>25362861.000000086</v>
      </c>
      <c r="E55" s="9">
        <f>E13</f>
        <v>34274849.174120039</v>
      </c>
      <c r="F55" s="9">
        <f>F13</f>
        <v>44364175.319432907</v>
      </c>
      <c r="G55" s="9">
        <f>G13</f>
        <v>59152243.922911756</v>
      </c>
    </row>
    <row r="56" spans="1:7" ht="15.75" thickBot="1">
      <c r="A56" s="1" t="s">
        <v>113</v>
      </c>
      <c r="B56" s="8"/>
      <c r="C56" s="10">
        <f>C55*'1'!$AB$7</f>
        <v>5232180</v>
      </c>
      <c r="D56" s="10">
        <f>D55*'1'!$AB$7</f>
        <v>7862486.9100000262</v>
      </c>
      <c r="E56" s="10">
        <f>E55*'1'!$AB$7</f>
        <v>10625203.243977211</v>
      </c>
      <c r="F56" s="10">
        <f>F55*'1'!$AB$7</f>
        <v>13752894.349024201</v>
      </c>
      <c r="G56" s="10">
        <f>G55*'1'!$AB$7</f>
        <v>18337195.616102643</v>
      </c>
    </row>
    <row r="57" spans="1:7" ht="15.75" thickTop="1">
      <c r="A57" s="4" t="s">
        <v>114</v>
      </c>
      <c r="B57" s="8"/>
      <c r="C57" s="9">
        <f>C55-C56</f>
        <v>11645820</v>
      </c>
      <c r="D57" s="9">
        <f>D55-D56</f>
        <v>17500374.090000059</v>
      </c>
      <c r="E57" s="9">
        <f>E55-E56</f>
        <v>23649645.930142827</v>
      </c>
      <c r="F57" s="9">
        <f>F55-F56</f>
        <v>30611280.970408708</v>
      </c>
      <c r="G57" s="9">
        <f>G55-G56</f>
        <v>40815048.306809112</v>
      </c>
    </row>
    <row r="58" spans="1:7" ht="15.75" thickBot="1">
      <c r="A58" s="1" t="s">
        <v>115</v>
      </c>
      <c r="B58" s="8"/>
      <c r="C58" s="10">
        <f>C52-B52</f>
        <v>1641524.4277130142</v>
      </c>
      <c r="D58" s="10">
        <f>D52-C52</f>
        <v>-1775926.9231339023</v>
      </c>
      <c r="E58" s="10">
        <f>E52-D52</f>
        <v>-2396866.8945672661</v>
      </c>
      <c r="F58" s="10">
        <f>F52-E52</f>
        <v>-2610040.3426093683</v>
      </c>
      <c r="G58" s="10">
        <f>G52-F52</f>
        <v>8938265.0149179175</v>
      </c>
    </row>
    <row r="59" spans="1:7" ht="16.5" thickTop="1" thickBot="1">
      <c r="A59" s="53" t="s">
        <v>116</v>
      </c>
      <c r="B59" s="54"/>
      <c r="C59" s="55">
        <f>SUM(C57:C58)</f>
        <v>13287344.427713014</v>
      </c>
      <c r="D59" s="55">
        <f t="shared" ref="D59:G59" si="24">SUM(D57:D58)</f>
        <v>15724447.166866157</v>
      </c>
      <c r="E59" s="55">
        <f t="shared" si="24"/>
        <v>21252779.035575561</v>
      </c>
      <c r="F59" s="55">
        <f t="shared" si="24"/>
        <v>28001240.62779934</v>
      </c>
      <c r="G59" s="55">
        <f t="shared" si="24"/>
        <v>49753313.32172703</v>
      </c>
    </row>
    <row r="60" spans="1:7" ht="15.75" thickTop="1"/>
  </sheetData>
  <sheetProtection password="909C" sheet="1" objects="1" scenarios="1" formatCells="0" formatColumns="0" formatRows="0"/>
  <customSheetViews>
    <customSheetView guid="{D031F759-B892-43F4-943A-9CD4A624A3F4}" scale="90" showPageBreaks="1" showGridLines="0">
      <pane xSplit="7" ySplit="1" topLeftCell="H2" activePane="bottomRight" state="frozenSplit"/>
      <selection pane="bottomRight" sqref="A1:G1"/>
    </customSheetView>
  </customSheetViews>
  <mergeCells count="10">
    <mergeCell ref="A54:G54"/>
    <mergeCell ref="A21:G21"/>
    <mergeCell ref="A28:G28"/>
    <mergeCell ref="A33:G33"/>
    <mergeCell ref="A19:G19"/>
    <mergeCell ref="A1:G1"/>
    <mergeCell ref="A2:G2"/>
    <mergeCell ref="A4:G4"/>
    <mergeCell ref="A41:G41"/>
    <mergeCell ref="A42:G42"/>
  </mergeCells>
  <conditionalFormatting sqref="C17:G17">
    <cfRule type="cellIs" dxfId="5" priority="3" operator="lessThan">
      <formula>0</formula>
    </cfRule>
  </conditionalFormatting>
  <conditionalFormatting sqref="B22:G22">
    <cfRule type="cellIs" dxfId="4" priority="2" operator="lessThan">
      <formula>0</formula>
    </cfRule>
  </conditionalFormatting>
  <conditionalFormatting sqref="C59:G59">
    <cfRule type="cellIs" dxfId="3" priority="1" operator="lessThan">
      <formula>0</formula>
    </cfRule>
  </conditionalFormatting>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codeName="Hoja6"/>
  <dimension ref="B2:L47"/>
  <sheetViews>
    <sheetView showGridLines="0" zoomScale="80" zoomScaleNormal="80" zoomScalePageLayoutView="90" workbookViewId="0">
      <selection activeCell="B26" sqref="B26:F27"/>
    </sheetView>
  </sheetViews>
  <sheetFormatPr baseColWidth="10" defaultColWidth="10.85546875" defaultRowHeight="15"/>
  <cols>
    <col min="1" max="1" width="10.85546875" style="14"/>
    <col min="2" max="2" width="32.42578125" style="14" customWidth="1"/>
    <col min="3" max="3" width="24.28515625" style="14" bestFit="1" customWidth="1"/>
    <col min="4" max="4" width="23.140625" style="14" bestFit="1" customWidth="1"/>
    <col min="5" max="5" width="27.28515625" style="14" bestFit="1" customWidth="1"/>
    <col min="6" max="6" width="21.7109375" style="14" bestFit="1" customWidth="1"/>
    <col min="7" max="8" width="16.42578125" style="14" bestFit="1" customWidth="1"/>
    <col min="9" max="9" width="10.85546875" style="14"/>
    <col min="10" max="10" width="12" style="14" bestFit="1" customWidth="1"/>
    <col min="11" max="16384" width="10.85546875" style="14"/>
  </cols>
  <sheetData>
    <row r="2" spans="2:12" ht="38.25" customHeight="1">
      <c r="B2" s="235" t="s">
        <v>138</v>
      </c>
      <c r="C2" s="235"/>
      <c r="D2" s="235"/>
      <c r="E2" s="235"/>
      <c r="F2" s="235"/>
      <c r="G2" s="235"/>
      <c r="H2" s="235"/>
    </row>
    <row r="3" spans="2:12" ht="15.75" customHeight="1">
      <c r="B3" s="262" t="s">
        <v>117</v>
      </c>
      <c r="C3" s="262"/>
      <c r="D3" s="262"/>
      <c r="E3" s="263">
        <v>0.2</v>
      </c>
      <c r="F3" s="263"/>
      <c r="H3" s="198" t="str">
        <f>'3'!I4</f>
        <v>GOALGESTOR</v>
      </c>
    </row>
    <row r="4" spans="2:12">
      <c r="B4" s="262"/>
      <c r="C4" s="262"/>
      <c r="D4" s="262"/>
      <c r="E4" s="263"/>
      <c r="F4" s="263"/>
    </row>
    <row r="5" spans="2:12" ht="15.75" thickBot="1"/>
    <row r="6" spans="2:12" ht="23.25">
      <c r="B6" s="105" t="s">
        <v>118</v>
      </c>
      <c r="C6" s="82" t="s">
        <v>119</v>
      </c>
      <c r="D6" s="83">
        <f>'4'!C20</f>
        <v>2020</v>
      </c>
      <c r="E6" s="83">
        <f>'4'!D20</f>
        <v>2021</v>
      </c>
      <c r="F6" s="83">
        <f>'4'!E20</f>
        <v>2022</v>
      </c>
      <c r="G6" s="83">
        <f>'4'!F20</f>
        <v>2023</v>
      </c>
      <c r="H6" s="84">
        <f>'4'!G20</f>
        <v>2024</v>
      </c>
    </row>
    <row r="7" spans="2:12" ht="16.5" thickBot="1">
      <c r="B7" s="85"/>
      <c r="C7" s="86">
        <f>-'3'!D14</f>
        <v>-56000000</v>
      </c>
      <c r="D7" s="86">
        <f>'4'!C59</f>
        <v>13287344.427713014</v>
      </c>
      <c r="E7" s="86">
        <f>'4'!D59</f>
        <v>15724447.166866157</v>
      </c>
      <c r="F7" s="86">
        <f>'4'!E59</f>
        <v>21252779.035575561</v>
      </c>
      <c r="G7" s="86">
        <f>'4'!F59</f>
        <v>28001240.62779934</v>
      </c>
      <c r="H7" s="87">
        <f>'4'!G59</f>
        <v>49753313.32172703</v>
      </c>
    </row>
    <row r="9" spans="2:12" ht="18.75">
      <c r="B9" s="72" t="s">
        <v>120</v>
      </c>
      <c r="D9" s="88">
        <f>NPV(E3,C7:H7)</f>
        <v>9825024.5131807365</v>
      </c>
      <c r="L9"/>
    </row>
    <row r="10" spans="2:12" ht="25.5">
      <c r="B10" s="72" t="s">
        <v>121</v>
      </c>
      <c r="D10" s="89">
        <f>IF(C7:H7=0,0,IRR(C7:H7))</f>
        <v>0.27291815894002558</v>
      </c>
    </row>
    <row r="12" spans="2:12" ht="18">
      <c r="B12" s="264" t="s">
        <v>125</v>
      </c>
      <c r="C12" s="264"/>
      <c r="D12" s="264"/>
      <c r="E12" s="264"/>
      <c r="F12" s="264"/>
      <c r="G12" s="264"/>
      <c r="H12" s="186"/>
    </row>
    <row r="13" spans="2:12" ht="36.75">
      <c r="B13" s="90" t="str">
        <f>'1'!B2</f>
        <v>NOMBRE DEL PRODUCTO O SERVICIO</v>
      </c>
      <c r="C13" s="90" t="s">
        <v>126</v>
      </c>
      <c r="D13" s="90" t="s">
        <v>127</v>
      </c>
      <c r="E13" s="90" t="s">
        <v>128</v>
      </c>
      <c r="F13" s="90" t="s">
        <v>130</v>
      </c>
      <c r="H13" s="67"/>
      <c r="I13" s="67"/>
      <c r="J13" s="67" t="s">
        <v>134</v>
      </c>
    </row>
    <row r="14" spans="2:12">
      <c r="B14" s="91" t="str">
        <f>'1'!B3</f>
        <v xml:space="preserve">	Venta de paquetes virtuales de asesoría en sistemas de gestión</v>
      </c>
      <c r="C14" s="92">
        <f>'1'!D3-'1'!D17</f>
        <v>1100000</v>
      </c>
      <c r="D14" s="93">
        <f>'1'!F3</f>
        <v>0.28436018957345971</v>
      </c>
      <c r="E14" s="94">
        <f>C14*D14</f>
        <v>312796.20853080566</v>
      </c>
      <c r="F14" s="95">
        <f t="shared" ref="F14:F23" si="0">$E$27*D14</f>
        <v>36.865052691540882</v>
      </c>
      <c r="G14" s="37" t="s">
        <v>129</v>
      </c>
      <c r="H14" s="68">
        <f>'1'!D3</f>
        <v>2000000</v>
      </c>
      <c r="I14" s="96">
        <f t="shared" ref="I14:I23" si="1">$B$34*D14</f>
        <v>73.730105383081764</v>
      </c>
      <c r="J14" s="68">
        <f>'1'!D17</f>
        <v>900000</v>
      </c>
    </row>
    <row r="15" spans="2:12">
      <c r="B15" s="97" t="str">
        <f>'1'!B4</f>
        <v>Venta de documentación de sistemas de gestión</v>
      </c>
      <c r="C15" s="92">
        <f>'1'!D4-'1'!D18</f>
        <v>2100000</v>
      </c>
      <c r="D15" s="93">
        <f>'1'!F4</f>
        <v>0.56872037914691942</v>
      </c>
      <c r="E15" s="94">
        <f t="shared" ref="E15:E23" si="2">C15*D15</f>
        <v>1194312.7962085307</v>
      </c>
      <c r="F15" s="95">
        <f t="shared" si="0"/>
        <v>73.730105383081764</v>
      </c>
      <c r="G15" s="37" t="str">
        <f>G14</f>
        <v>UNIDADES</v>
      </c>
      <c r="H15" s="68">
        <f>'1'!D4</f>
        <v>4000000</v>
      </c>
      <c r="I15" s="96">
        <f t="shared" si="1"/>
        <v>147.46021076616353</v>
      </c>
      <c r="J15" s="68">
        <f>'1'!D18</f>
        <v>1900000</v>
      </c>
    </row>
    <row r="16" spans="2:12">
      <c r="B16" s="97" t="str">
        <f>'1'!B5</f>
        <v>Alquiler de plataforma de sistemas de gestión</v>
      </c>
      <c r="C16" s="92">
        <f>'1'!D5-'1'!D19</f>
        <v>600000</v>
      </c>
      <c r="D16" s="93">
        <f>'1'!F5</f>
        <v>0.12322274881516587</v>
      </c>
      <c r="E16" s="94">
        <f t="shared" si="2"/>
        <v>73933.649289099529</v>
      </c>
      <c r="F16" s="95">
        <f t="shared" si="0"/>
        <v>15.97485616633438</v>
      </c>
      <c r="G16" s="37" t="str">
        <f t="shared" ref="G16:G23" si="3">G15</f>
        <v>UNIDADES</v>
      </c>
      <c r="H16" s="68">
        <f>'1'!D5</f>
        <v>800000</v>
      </c>
      <c r="I16" s="96">
        <f t="shared" si="1"/>
        <v>31.94971233266876</v>
      </c>
      <c r="J16" s="68">
        <f>'1'!D19</f>
        <v>200000</v>
      </c>
    </row>
    <row r="17" spans="2:10">
      <c r="B17" s="97" t="str">
        <f>'1'!B6</f>
        <v>Franquicia</v>
      </c>
      <c r="C17" s="92">
        <f>'1'!D6-'1'!D20</f>
        <v>3500000</v>
      </c>
      <c r="D17" s="93">
        <f>'1'!F6</f>
        <v>2.3696682464454975E-2</v>
      </c>
      <c r="E17" s="94">
        <f t="shared" si="2"/>
        <v>82938.388625592415</v>
      </c>
      <c r="F17" s="95">
        <f t="shared" si="0"/>
        <v>3.072087724295073</v>
      </c>
      <c r="G17" s="37" t="str">
        <f t="shared" si="3"/>
        <v>UNIDADES</v>
      </c>
      <c r="H17" s="68">
        <f>'1'!D6</f>
        <v>5000000</v>
      </c>
      <c r="I17" s="96">
        <f t="shared" si="1"/>
        <v>6.1441754485901461</v>
      </c>
      <c r="J17" s="68">
        <f>'1'!D20</f>
        <v>1500000</v>
      </c>
    </row>
    <row r="18" spans="2:10">
      <c r="B18" s="97">
        <f>'1'!B7</f>
        <v>0</v>
      </c>
      <c r="C18" s="92">
        <f>'1'!D7-'1'!D21</f>
        <v>0</v>
      </c>
      <c r="D18" s="93">
        <f>'1'!F7</f>
        <v>0</v>
      </c>
      <c r="E18" s="94">
        <f t="shared" si="2"/>
        <v>0</v>
      </c>
      <c r="F18" s="95">
        <f t="shared" si="0"/>
        <v>0</v>
      </c>
      <c r="G18" s="37" t="str">
        <f t="shared" si="3"/>
        <v>UNIDADES</v>
      </c>
      <c r="H18" s="68">
        <f>'1'!D7</f>
        <v>0</v>
      </c>
      <c r="I18" s="96">
        <f t="shared" si="1"/>
        <v>0</v>
      </c>
      <c r="J18" s="68">
        <f>'1'!D21</f>
        <v>0</v>
      </c>
    </row>
    <row r="19" spans="2:10">
      <c r="B19" s="97">
        <f>'1'!B8</f>
        <v>0</v>
      </c>
      <c r="C19" s="92">
        <f>'1'!D8-'1'!D22</f>
        <v>0</v>
      </c>
      <c r="D19" s="93">
        <f>'1'!F8</f>
        <v>0</v>
      </c>
      <c r="E19" s="94">
        <f t="shared" si="2"/>
        <v>0</v>
      </c>
      <c r="F19" s="95">
        <f t="shared" si="0"/>
        <v>0</v>
      </c>
      <c r="G19" s="37" t="str">
        <f t="shared" si="3"/>
        <v>UNIDADES</v>
      </c>
      <c r="H19" s="68">
        <f>'1'!D8</f>
        <v>0</v>
      </c>
      <c r="I19" s="96">
        <f t="shared" si="1"/>
        <v>0</v>
      </c>
      <c r="J19" s="68">
        <f>'1'!D22</f>
        <v>0</v>
      </c>
    </row>
    <row r="20" spans="2:10">
      <c r="B20" s="97">
        <f>'1'!B9</f>
        <v>0</v>
      </c>
      <c r="C20" s="92">
        <f>'1'!D9-'1'!D23</f>
        <v>0</v>
      </c>
      <c r="D20" s="93">
        <f>'1'!F9</f>
        <v>0</v>
      </c>
      <c r="E20" s="94">
        <f t="shared" si="2"/>
        <v>0</v>
      </c>
      <c r="F20" s="95">
        <f t="shared" si="0"/>
        <v>0</v>
      </c>
      <c r="G20" s="37" t="str">
        <f t="shared" si="3"/>
        <v>UNIDADES</v>
      </c>
      <c r="H20" s="68">
        <f>'1'!D9</f>
        <v>0</v>
      </c>
      <c r="I20" s="96">
        <f t="shared" si="1"/>
        <v>0</v>
      </c>
      <c r="J20" s="68">
        <f>'1'!D23</f>
        <v>0</v>
      </c>
    </row>
    <row r="21" spans="2:10">
      <c r="B21" s="97">
        <f>'1'!B10</f>
        <v>0</v>
      </c>
      <c r="C21" s="92">
        <f>'1'!D10-'1'!D24</f>
        <v>0</v>
      </c>
      <c r="D21" s="93">
        <f>'1'!F10</f>
        <v>0</v>
      </c>
      <c r="E21" s="94">
        <f t="shared" si="2"/>
        <v>0</v>
      </c>
      <c r="F21" s="95">
        <f t="shared" si="0"/>
        <v>0</v>
      </c>
      <c r="G21" s="37" t="str">
        <f t="shared" si="3"/>
        <v>UNIDADES</v>
      </c>
      <c r="H21" s="68">
        <f>'1'!D10</f>
        <v>0</v>
      </c>
      <c r="I21" s="96">
        <f t="shared" si="1"/>
        <v>0</v>
      </c>
      <c r="J21" s="68">
        <f>'1'!D24</f>
        <v>0</v>
      </c>
    </row>
    <row r="22" spans="2:10">
      <c r="B22" s="97">
        <f>'1'!B11</f>
        <v>0</v>
      </c>
      <c r="C22" s="92">
        <f>'1'!D11-'1'!D25</f>
        <v>0</v>
      </c>
      <c r="D22" s="93">
        <f>'1'!F11</f>
        <v>0</v>
      </c>
      <c r="E22" s="94">
        <f t="shared" si="2"/>
        <v>0</v>
      </c>
      <c r="F22" s="95">
        <f t="shared" si="0"/>
        <v>0</v>
      </c>
      <c r="G22" s="37" t="str">
        <f t="shared" si="3"/>
        <v>UNIDADES</v>
      </c>
      <c r="H22" s="68">
        <f>'1'!D11</f>
        <v>0</v>
      </c>
      <c r="I22" s="96">
        <f t="shared" si="1"/>
        <v>0</v>
      </c>
      <c r="J22" s="68">
        <f>'1'!D25</f>
        <v>0</v>
      </c>
    </row>
    <row r="23" spans="2:10">
      <c r="B23" s="91">
        <f>'1'!B12</f>
        <v>0</v>
      </c>
      <c r="C23" s="92">
        <f>'1'!D12-'1'!D26</f>
        <v>0</v>
      </c>
      <c r="D23" s="93">
        <f>'1'!F12</f>
        <v>0</v>
      </c>
      <c r="E23" s="94">
        <f t="shared" si="2"/>
        <v>0</v>
      </c>
      <c r="F23" s="95">
        <f t="shared" si="0"/>
        <v>0</v>
      </c>
      <c r="G23" s="37" t="str">
        <f t="shared" si="3"/>
        <v>UNIDADES</v>
      </c>
      <c r="H23" s="68">
        <f>'1'!D12</f>
        <v>0</v>
      </c>
      <c r="I23" s="96">
        <f t="shared" si="1"/>
        <v>0</v>
      </c>
      <c r="J23" s="68">
        <f>'1'!D26</f>
        <v>0</v>
      </c>
    </row>
    <row r="24" spans="2:10" ht="26.25">
      <c r="B24" s="98"/>
      <c r="C24" s="99"/>
      <c r="D24" s="100"/>
      <c r="E24" s="26"/>
      <c r="F24" s="101">
        <f>SUM(F14:F23)</f>
        <v>129.6421019652521</v>
      </c>
      <c r="G24" s="14" t="str">
        <f>G23</f>
        <v>UNIDADES</v>
      </c>
      <c r="H24" s="68"/>
      <c r="I24" s="96"/>
      <c r="J24" s="68"/>
    </row>
    <row r="25" spans="2:10" ht="12.75" customHeight="1">
      <c r="B25" s="98"/>
      <c r="C25" s="99"/>
      <c r="D25" s="100"/>
      <c r="E25" s="26"/>
      <c r="F25" s="101"/>
      <c r="H25" s="68"/>
      <c r="I25" s="96"/>
      <c r="J25" s="68"/>
    </row>
    <row r="26" spans="2:10" ht="21" customHeight="1">
      <c r="B26" s="261" t="s">
        <v>137</v>
      </c>
      <c r="C26" s="261"/>
      <c r="D26" s="261"/>
      <c r="E26" s="106">
        <f>SUM(E14:E23)</f>
        <v>1663981.0426540282</v>
      </c>
      <c r="H26" s="67"/>
      <c r="I26" s="67"/>
      <c r="J26" s="67"/>
    </row>
    <row r="27" spans="2:10" ht="19.5" customHeight="1">
      <c r="B27" s="261" t="s">
        <v>136</v>
      </c>
      <c r="C27" s="261"/>
      <c r="D27" s="261"/>
      <c r="E27" s="101">
        <f>IF(E26=0,0,('2'!C24+'2'!F32+'2'!C26)/'5'!E26)</f>
        <v>129.6421019652521</v>
      </c>
      <c r="F27" s="102" t="s">
        <v>129</v>
      </c>
      <c r="H27" s="103"/>
    </row>
    <row r="30" spans="2:10">
      <c r="B30" s="201"/>
      <c r="C30" s="201"/>
      <c r="D30" s="201"/>
      <c r="E30" s="201"/>
      <c r="F30" s="201"/>
      <c r="G30" s="201"/>
    </row>
    <row r="31" spans="2:10">
      <c r="B31" s="201"/>
      <c r="C31" s="202" t="s">
        <v>131</v>
      </c>
      <c r="D31" s="202" t="s">
        <v>132</v>
      </c>
      <c r="E31" s="202" t="s">
        <v>135</v>
      </c>
      <c r="F31" s="202" t="s">
        <v>133</v>
      </c>
      <c r="G31" s="201"/>
    </row>
    <row r="32" spans="2:10">
      <c r="B32" s="201">
        <v>0</v>
      </c>
      <c r="C32" s="203">
        <f>'2'!C26+'2'!F32+'2'!C24</f>
        <v>215722000</v>
      </c>
      <c r="D32" s="201">
        <f>0</f>
        <v>0</v>
      </c>
      <c r="E32" s="201">
        <v>0</v>
      </c>
      <c r="F32" s="203">
        <f>C32+E32</f>
        <v>215722000</v>
      </c>
      <c r="G32" s="201"/>
    </row>
    <row r="33" spans="2:7">
      <c r="B33" s="204">
        <f>F24</f>
        <v>129.6421019652521</v>
      </c>
      <c r="C33" s="203">
        <f>C32</f>
        <v>215722000</v>
      </c>
      <c r="D33" s="205">
        <f>SUMPRODUCT(F14:F23,H14:H23)</f>
        <v>396790850.46995169</v>
      </c>
      <c r="E33" s="205">
        <f>SUMPRODUCT(F14:F23,J14:J23)</f>
        <v>181068850.46995166</v>
      </c>
      <c r="F33" s="203">
        <f t="shared" ref="F33:F34" si="4">C33+E33</f>
        <v>396790850.46995163</v>
      </c>
      <c r="G33" s="201"/>
    </row>
    <row r="34" spans="2:7">
      <c r="B34" s="204">
        <f>B33*2</f>
        <v>259.28420393050419</v>
      </c>
      <c r="C34" s="203">
        <f>C33</f>
        <v>215722000</v>
      </c>
      <c r="D34" s="205">
        <f>SUMPRODUCT(H14:H23,I14:I23)</f>
        <v>793581700.93990338</v>
      </c>
      <c r="E34" s="205">
        <f>SUMPRODUCT(I14:I23,J14:J23)</f>
        <v>362137700.93990332</v>
      </c>
      <c r="F34" s="203">
        <f t="shared" si="4"/>
        <v>577859700.93990326</v>
      </c>
      <c r="G34" s="201"/>
    </row>
    <row r="35" spans="2:7">
      <c r="B35" s="201"/>
      <c r="C35" s="203"/>
      <c r="D35" s="201"/>
      <c r="E35" s="201"/>
      <c r="F35" s="201"/>
      <c r="G35" s="201"/>
    </row>
    <row r="36" spans="2:7">
      <c r="B36" s="8"/>
      <c r="C36" s="206"/>
      <c r="D36" s="8"/>
      <c r="E36" s="8"/>
      <c r="F36" s="8"/>
      <c r="G36" s="8"/>
    </row>
    <row r="37" spans="2:7">
      <c r="B37" s="8"/>
      <c r="C37" s="206"/>
      <c r="D37" s="8"/>
      <c r="E37" s="8"/>
      <c r="F37" s="8"/>
      <c r="G37" s="8"/>
    </row>
    <row r="38" spans="2:7">
      <c r="C38" s="26"/>
    </row>
    <row r="39" spans="2:7">
      <c r="C39" s="26"/>
    </row>
    <row r="40" spans="2:7">
      <c r="C40" s="26"/>
    </row>
    <row r="41" spans="2:7">
      <c r="C41" s="26"/>
    </row>
    <row r="42" spans="2:7">
      <c r="C42" s="26"/>
    </row>
    <row r="43" spans="2:7">
      <c r="C43" s="26"/>
    </row>
    <row r="44" spans="2:7">
      <c r="C44" s="26"/>
    </row>
    <row r="45" spans="2:7">
      <c r="C45" s="26"/>
    </row>
    <row r="46" spans="2:7">
      <c r="C46" s="26"/>
    </row>
    <row r="47" spans="2:7">
      <c r="C47" s="26"/>
    </row>
  </sheetData>
  <sheetProtection formatCells="0" formatColumns="0" formatRows="0"/>
  <customSheetViews>
    <customSheetView guid="{D031F759-B892-43F4-943A-9CD4A624A3F4}" scale="90" showPageBreaks="1" showGridLines="0" showRowCol="0">
      <selection activeCell="D13" sqref="D13"/>
    </customSheetView>
  </customSheetViews>
  <mergeCells count="7">
    <mergeCell ref="B26:D26"/>
    <mergeCell ref="B27:D27"/>
    <mergeCell ref="B2:F2"/>
    <mergeCell ref="G2:H2"/>
    <mergeCell ref="B3:D4"/>
    <mergeCell ref="E3:F4"/>
    <mergeCell ref="B12:G12"/>
  </mergeCells>
  <conditionalFormatting sqref="D10">
    <cfRule type="cellIs" dxfId="2" priority="1" operator="equal">
      <formula>$E$3</formula>
    </cfRule>
    <cfRule type="cellIs" dxfId="1" priority="2" operator="greaterThan">
      <formula>$E$3</formula>
    </cfRule>
    <cfRule type="cellIs" dxfId="0" priority="3" operator="lessThan">
      <formula>$E$3</formula>
    </cfRule>
  </conditionalFormatting>
  <pageMargins left="0.7" right="0.7" top="0.75" bottom="0.75" header="0.3" footer="0.3"/>
  <pageSetup paperSize="9" orientation="portrait" r:id="rId1"/>
  <drawing r:id="rId2"/>
  <legacy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2:F207"/>
  <sheetViews>
    <sheetView showGridLines="0" view="pageLayout" zoomScaleNormal="100" zoomScaleSheetLayoutView="100" workbookViewId="0">
      <selection activeCell="D7" sqref="D7"/>
    </sheetView>
  </sheetViews>
  <sheetFormatPr baseColWidth="10" defaultRowHeight="15"/>
  <cols>
    <col min="1" max="1" width="16.42578125" customWidth="1"/>
    <col min="2" max="2" width="16.28515625" customWidth="1"/>
    <col min="3" max="3" width="17.5703125" customWidth="1"/>
    <col min="4" max="4" width="16" customWidth="1"/>
    <col min="5" max="5" width="13.7109375" customWidth="1"/>
    <col min="6" max="6" width="14" customWidth="1"/>
  </cols>
  <sheetData>
    <row r="2" spans="1:6">
      <c r="A2" s="141"/>
      <c r="B2" s="141"/>
      <c r="C2" s="141"/>
      <c r="D2" s="141"/>
      <c r="E2" s="141"/>
      <c r="F2" s="141"/>
    </row>
    <row r="3" spans="1:6">
      <c r="A3" s="141"/>
      <c r="B3" s="141"/>
      <c r="C3" s="141"/>
      <c r="D3" s="141"/>
      <c r="E3" s="141"/>
      <c r="F3" s="141"/>
    </row>
    <row r="4" spans="1:6">
      <c r="A4" s="141"/>
      <c r="B4" s="141"/>
      <c r="C4" s="141"/>
      <c r="D4" s="141"/>
      <c r="E4" s="141"/>
      <c r="F4" s="141"/>
    </row>
    <row r="5" spans="1:6">
      <c r="A5" s="141"/>
      <c r="B5" s="141"/>
      <c r="C5" s="141"/>
      <c r="D5" s="141"/>
      <c r="E5" s="141"/>
      <c r="F5" s="141"/>
    </row>
    <row r="6" spans="1:6">
      <c r="A6" s="265" t="str">
        <f>'1'!A1:E1</f>
        <v>INGRESOS/VENTAS DEL PRIMER AÑO</v>
      </c>
      <c r="B6" s="265"/>
      <c r="C6" s="265"/>
      <c r="D6" s="199" t="s">
        <v>171</v>
      </c>
      <c r="E6" s="141"/>
      <c r="F6" s="141"/>
    </row>
    <row r="7" spans="1:6">
      <c r="A7" s="141"/>
      <c r="B7" s="141"/>
      <c r="C7" s="141"/>
      <c r="D7" s="155" t="str">
        <f>'5'!H3</f>
        <v>GOALGESTOR</v>
      </c>
      <c r="E7" s="141"/>
      <c r="F7" s="141"/>
    </row>
    <row r="8" spans="1:6" ht="34.5">
      <c r="A8" s="144" t="str">
        <f>'1'!B2</f>
        <v>NOMBRE DEL PRODUCTO O SERVICIO</v>
      </c>
      <c r="B8" s="144" t="str">
        <f>'1'!C2</f>
        <v>CANTIDADES</v>
      </c>
      <c r="C8" s="144" t="str">
        <f>'1'!D2</f>
        <v>PRECIO DE VENTA UNITARIO SIN IVA</v>
      </c>
      <c r="D8" s="144" t="str">
        <f>'1'!E2</f>
        <v>INGRESOS TOTALES</v>
      </c>
      <c r="F8" s="141"/>
    </row>
    <row r="9" spans="1:6" ht="45.75">
      <c r="A9" s="142" t="str">
        <f>'1'!B3</f>
        <v xml:space="preserve">	Venta de paquetes virtuales de asesoría en sistemas de gestión</v>
      </c>
      <c r="B9" s="146">
        <f>'1'!C3</f>
        <v>60</v>
      </c>
      <c r="C9" s="147">
        <f>'1'!D3</f>
        <v>2000000</v>
      </c>
      <c r="D9" s="147">
        <f>'1'!E3</f>
        <v>120000000</v>
      </c>
      <c r="E9" s="141"/>
      <c r="F9" s="141"/>
    </row>
    <row r="10" spans="1:6" ht="34.5">
      <c r="A10" s="142" t="str">
        <f>'1'!B4</f>
        <v>Venta de documentación de sistemas de gestión</v>
      </c>
      <c r="B10" s="146">
        <f>'1'!C4</f>
        <v>60</v>
      </c>
      <c r="C10" s="147">
        <f>'1'!D4</f>
        <v>4000000</v>
      </c>
      <c r="D10" s="147">
        <f>'1'!E4</f>
        <v>240000000</v>
      </c>
      <c r="E10" s="141"/>
      <c r="F10" s="141"/>
    </row>
    <row r="11" spans="1:6" ht="34.5">
      <c r="A11" s="142" t="str">
        <f>'1'!B5</f>
        <v>Alquiler de plataforma de sistemas de gestión</v>
      </c>
      <c r="B11" s="146">
        <f>'1'!C5</f>
        <v>65</v>
      </c>
      <c r="C11" s="147">
        <f>'1'!D5</f>
        <v>800000</v>
      </c>
      <c r="D11" s="147">
        <f>'1'!E5</f>
        <v>52000000</v>
      </c>
      <c r="E11" s="141"/>
      <c r="F11" s="141"/>
    </row>
    <row r="12" spans="1:6">
      <c r="A12" s="142" t="str">
        <f>'1'!B6</f>
        <v>Franquicia</v>
      </c>
      <c r="B12" s="146">
        <f>'1'!C6</f>
        <v>2</v>
      </c>
      <c r="C12" s="147">
        <f>'1'!D6</f>
        <v>5000000</v>
      </c>
      <c r="D12" s="147">
        <f>'1'!E6</f>
        <v>10000000</v>
      </c>
      <c r="E12" s="141"/>
      <c r="F12" s="141"/>
    </row>
    <row r="13" spans="1:6">
      <c r="A13" s="142">
        <f>'1'!B7</f>
        <v>0</v>
      </c>
      <c r="B13" s="146">
        <f>'1'!C7</f>
        <v>0</v>
      </c>
      <c r="C13" s="147">
        <f>'1'!D7</f>
        <v>0</v>
      </c>
      <c r="D13" s="147">
        <f>'1'!E7</f>
        <v>0</v>
      </c>
      <c r="E13" s="141"/>
      <c r="F13" s="141"/>
    </row>
    <row r="14" spans="1:6">
      <c r="A14" s="142">
        <f>'1'!B8</f>
        <v>0</v>
      </c>
      <c r="B14" s="146">
        <f>'1'!C8</f>
        <v>0</v>
      </c>
      <c r="C14" s="147">
        <f>'1'!D8</f>
        <v>0</v>
      </c>
      <c r="D14" s="147">
        <f>'1'!E8</f>
        <v>0</v>
      </c>
      <c r="E14" s="141"/>
      <c r="F14" s="141"/>
    </row>
    <row r="15" spans="1:6">
      <c r="A15" s="142">
        <f>'1'!B9</f>
        <v>0</v>
      </c>
      <c r="B15" s="146">
        <f>'1'!C9</f>
        <v>0</v>
      </c>
      <c r="C15" s="147">
        <f>'1'!D9</f>
        <v>0</v>
      </c>
      <c r="D15" s="147">
        <f>'1'!E9</f>
        <v>0</v>
      </c>
      <c r="E15" s="141"/>
      <c r="F15" s="141"/>
    </row>
    <row r="16" spans="1:6">
      <c r="A16" s="142">
        <f>'1'!B10</f>
        <v>0</v>
      </c>
      <c r="B16" s="146">
        <f>'1'!C10</f>
        <v>0</v>
      </c>
      <c r="C16" s="147">
        <f>'1'!D10</f>
        <v>0</v>
      </c>
      <c r="D16" s="147">
        <f>'1'!E10</f>
        <v>0</v>
      </c>
      <c r="E16" s="141"/>
      <c r="F16" s="141"/>
    </row>
    <row r="17" spans="1:6">
      <c r="A17" s="142">
        <f>'1'!B11</f>
        <v>0</v>
      </c>
      <c r="B17" s="146">
        <f>'1'!C11</f>
        <v>0</v>
      </c>
      <c r="C17" s="147">
        <f>'1'!D11</f>
        <v>0</v>
      </c>
      <c r="D17" s="147">
        <f>'1'!E11</f>
        <v>0</v>
      </c>
      <c r="E17" s="141"/>
      <c r="F17" s="141"/>
    </row>
    <row r="18" spans="1:6">
      <c r="A18" s="142">
        <f>'1'!B12</f>
        <v>0</v>
      </c>
      <c r="B18" s="146">
        <f>'1'!C12</f>
        <v>0</v>
      </c>
      <c r="C18" s="147">
        <f>'1'!D12</f>
        <v>0</v>
      </c>
      <c r="D18" s="147">
        <f>'1'!E12</f>
        <v>0</v>
      </c>
      <c r="E18" s="141"/>
      <c r="F18" s="141"/>
    </row>
    <row r="19" spans="1:6">
      <c r="A19" s="145"/>
      <c r="B19" s="146"/>
      <c r="C19" s="146" t="str">
        <f>'1'!D13</f>
        <v>TOTAL</v>
      </c>
      <c r="D19" s="182">
        <f>'1'!E13</f>
        <v>422000000</v>
      </c>
      <c r="E19" s="141"/>
      <c r="F19" s="141"/>
    </row>
    <row r="20" spans="1:6">
      <c r="A20" s="265" t="str">
        <f>'1'!A15:E15</f>
        <v>COSTOS DE CADA PRODUCTO O SERVICIO</v>
      </c>
      <c r="B20" s="265"/>
      <c r="C20" s="265"/>
      <c r="D20" s="265"/>
    </row>
    <row r="21" spans="1:6">
      <c r="A21" s="265"/>
      <c r="B21" s="265"/>
      <c r="C21" s="265"/>
      <c r="D21" s="265"/>
    </row>
    <row r="22" spans="1:6" ht="34.5">
      <c r="A22" s="144" t="str">
        <f>'1'!B16</f>
        <v>NOMBRE DEL PRODUCTO SERVICIO</v>
      </c>
      <c r="B22" s="144" t="str">
        <f>'1'!C16</f>
        <v>CANTIDADES</v>
      </c>
      <c r="C22" s="144" t="str">
        <f>'1'!D16</f>
        <v>COSTO UNITARIO DEL PDTO O SERVICIO</v>
      </c>
      <c r="D22" s="144" t="str">
        <f>'1'!E16</f>
        <v>COSTOS TOTALES</v>
      </c>
    </row>
    <row r="23" spans="1:6" ht="45.75">
      <c r="A23" s="142" t="str">
        <f>'1'!B17</f>
        <v xml:space="preserve">	Venta de paquetes virtuales de asesoría en sistemas de gestión</v>
      </c>
      <c r="B23" s="146">
        <f>'1'!C17</f>
        <v>60</v>
      </c>
      <c r="C23" s="147">
        <f>'1'!D17</f>
        <v>900000</v>
      </c>
      <c r="D23" s="147">
        <f>'1'!E17</f>
        <v>54000000</v>
      </c>
    </row>
    <row r="24" spans="1:6" ht="34.5">
      <c r="A24" s="142" t="str">
        <f>'1'!B18</f>
        <v>Venta de documentación de sistemas de gestión</v>
      </c>
      <c r="B24" s="146">
        <f>'1'!C18</f>
        <v>60</v>
      </c>
      <c r="C24" s="147">
        <f>'1'!D18</f>
        <v>1900000</v>
      </c>
      <c r="D24" s="147">
        <f>'1'!E18</f>
        <v>114000000</v>
      </c>
    </row>
    <row r="25" spans="1:6" ht="34.5">
      <c r="A25" s="142" t="str">
        <f>'1'!B19</f>
        <v>Alquiler de plataforma de sistemas de gestión</v>
      </c>
      <c r="B25" s="146">
        <f>'1'!C19</f>
        <v>65</v>
      </c>
      <c r="C25" s="147">
        <f>'1'!D19</f>
        <v>200000</v>
      </c>
      <c r="D25" s="147">
        <f>'1'!E19</f>
        <v>13000000</v>
      </c>
    </row>
    <row r="26" spans="1:6">
      <c r="A26" s="142" t="str">
        <f>'1'!B20</f>
        <v>Franquicia</v>
      </c>
      <c r="B26" s="146">
        <f>'1'!C20</f>
        <v>2</v>
      </c>
      <c r="C26" s="147">
        <f>'1'!D20</f>
        <v>1500000</v>
      </c>
      <c r="D26" s="147">
        <f>'1'!E20</f>
        <v>3000000</v>
      </c>
    </row>
    <row r="27" spans="1:6">
      <c r="A27" s="142">
        <f>'1'!B21</f>
        <v>0</v>
      </c>
      <c r="B27" s="185">
        <f>'1'!C21</f>
        <v>0</v>
      </c>
      <c r="C27" s="147">
        <f>'1'!D21</f>
        <v>0</v>
      </c>
      <c r="D27" s="147">
        <f>'1'!E21</f>
        <v>0</v>
      </c>
    </row>
    <row r="28" spans="1:6">
      <c r="A28" s="142">
        <f>'1'!B22</f>
        <v>0</v>
      </c>
      <c r="B28" s="185">
        <f>'1'!C22</f>
        <v>0</v>
      </c>
      <c r="C28" s="147">
        <f>'1'!D22</f>
        <v>0</v>
      </c>
      <c r="D28" s="147">
        <f>'1'!E22</f>
        <v>0</v>
      </c>
      <c r="E28" s="141"/>
      <c r="F28" s="141"/>
    </row>
    <row r="29" spans="1:6">
      <c r="A29" s="142">
        <f>'1'!B23</f>
        <v>0</v>
      </c>
      <c r="B29" s="185">
        <f>'1'!C23</f>
        <v>0</v>
      </c>
      <c r="C29" s="147">
        <f>'1'!D23</f>
        <v>0</v>
      </c>
      <c r="D29" s="147">
        <f>'1'!E23</f>
        <v>0</v>
      </c>
      <c r="E29" s="141"/>
      <c r="F29" s="141"/>
    </row>
    <row r="30" spans="1:6">
      <c r="A30" s="142">
        <f>'1'!B24</f>
        <v>0</v>
      </c>
      <c r="B30" s="185">
        <f>'1'!C24</f>
        <v>0</v>
      </c>
      <c r="C30" s="147">
        <f>'1'!D24</f>
        <v>0</v>
      </c>
      <c r="D30" s="147">
        <f>'1'!E24</f>
        <v>0</v>
      </c>
      <c r="E30" s="141"/>
      <c r="F30" s="141"/>
    </row>
    <row r="31" spans="1:6">
      <c r="A31" s="142">
        <f>'1'!B25</f>
        <v>0</v>
      </c>
      <c r="B31" s="185">
        <f>'1'!C25</f>
        <v>0</v>
      </c>
      <c r="C31" s="147">
        <f>'1'!D25</f>
        <v>0</v>
      </c>
      <c r="D31" s="147">
        <f>'1'!E25</f>
        <v>0</v>
      </c>
      <c r="E31" s="141"/>
      <c r="F31" s="141"/>
    </row>
    <row r="32" spans="1:6">
      <c r="A32" s="142">
        <f>'1'!B26</f>
        <v>0</v>
      </c>
      <c r="B32" s="185">
        <f>'1'!C26</f>
        <v>0</v>
      </c>
      <c r="C32" s="147">
        <f>'1'!D26</f>
        <v>0</v>
      </c>
      <c r="D32" s="147">
        <f>'1'!E26</f>
        <v>0</v>
      </c>
      <c r="E32" s="141"/>
      <c r="F32" s="141"/>
    </row>
    <row r="33" spans="1:6">
      <c r="A33" s="141"/>
      <c r="B33" s="146"/>
      <c r="C33" s="146"/>
      <c r="D33" s="182">
        <f>'1'!E27</f>
        <v>184000000</v>
      </c>
      <c r="E33" s="141"/>
      <c r="F33" s="141"/>
    </row>
    <row r="34" spans="1:6">
      <c r="A34" s="141"/>
      <c r="B34" s="141"/>
      <c r="C34" s="141"/>
      <c r="D34" s="141"/>
      <c r="E34" s="141"/>
      <c r="F34" s="141"/>
    </row>
    <row r="35" spans="1:6">
      <c r="A35" s="141"/>
      <c r="B35" s="141"/>
      <c r="C35" s="141"/>
      <c r="D35" s="141"/>
      <c r="E35" s="141"/>
      <c r="F35" s="141"/>
    </row>
    <row r="36" spans="1:6">
      <c r="A36" s="268" t="str">
        <f>'1'!A1:E1</f>
        <v>INGRESOS/VENTAS DEL PRIMER AÑO</v>
      </c>
      <c r="B36" s="268"/>
      <c r="C36" s="268"/>
      <c r="D36" s="268"/>
      <c r="E36" s="268"/>
      <c r="F36" s="268"/>
    </row>
    <row r="37" spans="1:6">
      <c r="A37" s="141"/>
      <c r="B37" s="141"/>
      <c r="C37" s="141"/>
      <c r="D37" s="141"/>
      <c r="E37" s="141"/>
      <c r="F37" s="141"/>
    </row>
    <row r="38" spans="1:6">
      <c r="A38" s="269" t="str">
        <f>'1'!A30:F30</f>
        <v>PROYECCIONES</v>
      </c>
      <c r="B38" s="269"/>
      <c r="C38" s="269"/>
      <c r="D38" s="269"/>
      <c r="E38" s="269"/>
      <c r="F38" s="143"/>
    </row>
    <row r="39" spans="1:6">
      <c r="A39" s="158" t="str">
        <f>'1'!A31</f>
        <v>AÑO</v>
      </c>
      <c r="B39" s="158">
        <f>'1'!B31</f>
        <v>2020</v>
      </c>
      <c r="C39" s="158">
        <f>'1'!C31</f>
        <v>2021</v>
      </c>
      <c r="D39" s="158">
        <f>'1'!D31</f>
        <v>2022</v>
      </c>
      <c r="E39" s="158">
        <f>'1'!E31</f>
        <v>2023</v>
      </c>
      <c r="F39" s="158">
        <f>'1'!F31</f>
        <v>2024</v>
      </c>
    </row>
    <row r="40" spans="1:6">
      <c r="A40" s="161" t="str">
        <f>'1'!A32</f>
        <v>VENTAS ANUALES</v>
      </c>
      <c r="B40" s="148">
        <f>'1'!B32</f>
        <v>422000000</v>
      </c>
      <c r="C40" s="148">
        <f>'1'!C32</f>
        <v>450344480.00000012</v>
      </c>
      <c r="D40" s="148">
        <f>'1'!D32</f>
        <v>480019658.70992011</v>
      </c>
      <c r="E40" s="148">
        <f>'1'!E32</f>
        <v>512499264.05603522</v>
      </c>
      <c r="F40" s="148">
        <f>'1'!F32</f>
        <v>552815292.22654164</v>
      </c>
    </row>
    <row r="41" spans="1:6" ht="15.75" thickBot="1">
      <c r="A41" s="161" t="str">
        <f>'1'!A33</f>
        <v>COSTOS ANUALES</v>
      </c>
      <c r="B41" s="153">
        <f>'1'!B33</f>
        <v>184000000</v>
      </c>
      <c r="C41" s="153">
        <f>'1'!C33</f>
        <v>197473320.00000003</v>
      </c>
      <c r="D41" s="153">
        <f>'1'!D33</f>
        <v>211943070.50400007</v>
      </c>
      <c r="E41" s="153">
        <f>'1'!E33</f>
        <v>228129082.29094374</v>
      </c>
      <c r="F41" s="153">
        <f>'1'!F33</f>
        <v>247283986.92829853</v>
      </c>
    </row>
    <row r="42" spans="1:6" ht="15.75" thickTop="1">
      <c r="A42" s="161" t="str">
        <f>'1'!A34</f>
        <v>MARGEN OPERATIVO</v>
      </c>
      <c r="B42" s="148">
        <f>'1'!B34</f>
        <v>238000000</v>
      </c>
      <c r="C42" s="148">
        <f>'1'!C34</f>
        <v>252871160.00000009</v>
      </c>
      <c r="D42" s="148">
        <f>'1'!D34</f>
        <v>268076588.20592004</v>
      </c>
      <c r="E42" s="148">
        <f>'1'!E34</f>
        <v>284370181.76509148</v>
      </c>
      <c r="F42" s="148">
        <f>'1'!F34</f>
        <v>305531305.29824311</v>
      </c>
    </row>
    <row r="43" spans="1:6">
      <c r="A43" s="141"/>
      <c r="B43" s="141"/>
      <c r="C43" s="141"/>
      <c r="D43" s="141"/>
      <c r="E43" s="141"/>
      <c r="F43" s="141"/>
    </row>
    <row r="44" spans="1:6">
      <c r="A44" s="141"/>
      <c r="B44" s="141"/>
      <c r="C44" s="141"/>
      <c r="D44" s="141"/>
      <c r="E44" s="141"/>
      <c r="F44" s="141"/>
    </row>
    <row r="45" spans="1:6">
      <c r="A45" s="141"/>
      <c r="B45" s="141"/>
      <c r="C45" s="141"/>
      <c r="D45" s="141"/>
      <c r="E45" s="141"/>
      <c r="F45" s="141"/>
    </row>
    <row r="46" spans="1:6">
      <c r="A46" s="141"/>
      <c r="B46" s="141"/>
      <c r="C46" s="141"/>
      <c r="D46" s="141"/>
      <c r="E46" s="141"/>
      <c r="F46" s="141"/>
    </row>
    <row r="47" spans="1:6">
      <c r="A47" s="141"/>
      <c r="B47" s="141"/>
      <c r="C47" s="141"/>
      <c r="D47" s="141"/>
      <c r="E47" s="141"/>
      <c r="F47" s="141"/>
    </row>
    <row r="52" spans="1:5">
      <c r="A52" s="155" t="s">
        <v>160</v>
      </c>
      <c r="D52" s="154" t="str">
        <f>D7</f>
        <v>GOALGESTOR</v>
      </c>
    </row>
    <row r="53" spans="1:5">
      <c r="A53" s="143"/>
      <c r="B53" s="168" t="str">
        <f>'2'!C4</f>
        <v xml:space="preserve">INVERSIÓN </v>
      </c>
      <c r="D53" s="178" t="s">
        <v>165</v>
      </c>
      <c r="E53" s="178"/>
    </row>
    <row r="54" spans="1:5">
      <c r="A54" s="142" t="str">
        <f>'2'!B5</f>
        <v>TERRENOS</v>
      </c>
      <c r="B54" s="149">
        <f>'2'!C5</f>
        <v>0</v>
      </c>
      <c r="D54" s="168" t="s">
        <v>161</v>
      </c>
      <c r="E54" s="164"/>
    </row>
    <row r="55" spans="1:5" ht="23.25">
      <c r="A55" s="142" t="str">
        <f>'2'!B6</f>
        <v>PROPIEDAD PLANTA Y EQUIPO</v>
      </c>
      <c r="B55" s="149">
        <f>'2'!C6</f>
        <v>30000000</v>
      </c>
      <c r="D55" s="163">
        <f>'2'!E6</f>
        <v>14000000</v>
      </c>
    </row>
    <row r="56" spans="1:5">
      <c r="A56" s="142" t="str">
        <f>'2'!B7</f>
        <v>MUEBLES Y ENSERES</v>
      </c>
      <c r="B56" s="149">
        <f>'2'!C7</f>
        <v>4000000</v>
      </c>
      <c r="D56" s="165" t="str">
        <f>'2'!E17</f>
        <v>GASTOS FIJOS:</v>
      </c>
      <c r="E56" s="162"/>
    </row>
    <row r="57" spans="1:5">
      <c r="A57" s="142" t="str">
        <f>'2'!B8</f>
        <v>EQUIPO DE OFICINA</v>
      </c>
      <c r="B57" s="149">
        <f>'2'!C8</f>
        <v>6000000</v>
      </c>
      <c r="D57" s="162"/>
      <c r="E57" s="168" t="str">
        <f>'2'!F18</f>
        <v>VALOR AÑO 1</v>
      </c>
    </row>
    <row r="58" spans="1:5" ht="23.25">
      <c r="A58" s="142" t="str">
        <f>'2'!B9</f>
        <v>EQUIPO DE TRANSPORTE</v>
      </c>
      <c r="B58" s="149">
        <f>'2'!C9</f>
        <v>0</v>
      </c>
      <c r="D58" s="142" t="str">
        <f>'2'!E19</f>
        <v>ARRENDO:</v>
      </c>
      <c r="E58" s="194">
        <f>'2'!F19</f>
        <v>2500000</v>
      </c>
    </row>
    <row r="59" spans="1:5" ht="23.25">
      <c r="A59" s="142" t="str">
        <f>'2'!B10</f>
        <v>FRANQUICIAS</v>
      </c>
      <c r="B59" s="149">
        <f>'2'!C10</f>
        <v>0</v>
      </c>
      <c r="D59" s="142" t="str">
        <f>'2'!E20</f>
        <v>SERVICIOS PÚBLICOS:</v>
      </c>
      <c r="E59" s="194">
        <f>'2'!F20</f>
        <v>500000</v>
      </c>
    </row>
    <row r="60" spans="1:5" ht="23.25">
      <c r="A60" s="142" t="str">
        <f>'2'!B11</f>
        <v>PATENTES</v>
      </c>
      <c r="B60" s="149">
        <f>'2'!C11</f>
        <v>0</v>
      </c>
      <c r="D60" s="142" t="str">
        <f>'2'!E21</f>
        <v>TELEFONÍA CELULAR:</v>
      </c>
      <c r="E60" s="194">
        <f>'2'!F21</f>
        <v>200000</v>
      </c>
    </row>
    <row r="61" spans="1:5" ht="24" thickBot="1">
      <c r="A61" s="142" t="str">
        <f>'2'!B12</f>
        <v>GASTOS DE PUESTA EN MARCHA</v>
      </c>
      <c r="B61" s="174">
        <f>'2'!C12</f>
        <v>2000000</v>
      </c>
      <c r="D61" s="142" t="str">
        <f>'2'!E22</f>
        <v>INTERNET:</v>
      </c>
      <c r="E61" s="194">
        <f>'2'!F22</f>
        <v>200000</v>
      </c>
    </row>
    <row r="62" spans="1:5" ht="15.75" thickTop="1">
      <c r="A62" s="142" t="str">
        <f>'2'!B13</f>
        <v>TOTAL INVERSIONES</v>
      </c>
      <c r="B62" s="172">
        <f>'2'!C13</f>
        <v>42000000</v>
      </c>
      <c r="D62" s="142" t="str">
        <f>'2'!E23</f>
        <v>PAPELERÍA:</v>
      </c>
      <c r="E62" s="194">
        <f>'2'!F23</f>
        <v>150000</v>
      </c>
    </row>
    <row r="63" spans="1:5" ht="23.25">
      <c r="A63" s="143"/>
      <c r="B63" s="143"/>
      <c r="D63" s="142" t="str">
        <f>'2'!E24</f>
        <v>SERVICIOS DE SEGURIDAD:</v>
      </c>
      <c r="E63" s="194">
        <f>'2'!F24</f>
        <v>12000000</v>
      </c>
    </row>
    <row r="64" spans="1:5">
      <c r="A64" s="165" t="str">
        <f>'2'!B17</f>
        <v>NÓMINAS:</v>
      </c>
      <c r="B64" s="162"/>
      <c r="C64" s="162"/>
      <c r="D64" s="142" t="str">
        <f>'2'!E25</f>
        <v>SERVICIOS DE ASEO:</v>
      </c>
      <c r="E64" s="194">
        <f>'2'!F25</f>
        <v>12000000</v>
      </c>
    </row>
    <row r="65" spans="1:5">
      <c r="A65" s="162"/>
      <c r="B65" s="168" t="str">
        <f>'2'!C18</f>
        <v>VALOR AÑO 1</v>
      </c>
      <c r="C65" s="162"/>
      <c r="D65" s="142" t="str">
        <f>'2'!E26</f>
        <v>TRANSPORTE</v>
      </c>
      <c r="E65" s="194">
        <f>'2'!F26</f>
        <v>0</v>
      </c>
    </row>
    <row r="66" spans="1:5" ht="36.75">
      <c r="A66" s="162" t="str">
        <f>'2'!B19</f>
        <v>ADMINISTRATIVA:</v>
      </c>
      <c r="B66" s="162">
        <f>'2'!C19</f>
        <v>99792000</v>
      </c>
      <c r="C66" s="162"/>
      <c r="D66" s="162" t="str">
        <f>'2'!E27</f>
        <v>CARGOS POR SERVICIOS BANCARIOS</v>
      </c>
      <c r="E66" s="194">
        <f>'2'!F27</f>
        <v>1200000</v>
      </c>
    </row>
    <row r="67" spans="1:5">
      <c r="A67" s="162"/>
      <c r="B67" s="162">
        <f>'2'!C20</f>
        <v>0</v>
      </c>
      <c r="C67" s="162"/>
      <c r="D67" s="162" t="str">
        <f>'2'!E28</f>
        <v>REPARACIONES Y MANTENIMIENTO</v>
      </c>
      <c r="E67" s="194">
        <f>'2'!F28</f>
        <v>1000000</v>
      </c>
    </row>
    <row r="68" spans="1:5" ht="24.75">
      <c r="A68" s="162" t="str">
        <f>'2'!B21</f>
        <v>VENTAS:</v>
      </c>
      <c r="B68" s="162">
        <f>'2'!C21</f>
        <v>15000000</v>
      </c>
      <c r="C68" s="162"/>
      <c r="D68" s="162" t="str">
        <f>'2'!E29</f>
        <v>SUSCRIPCIONES Y AFILIACIONES</v>
      </c>
      <c r="E68" s="194">
        <f>'2'!F29</f>
        <v>500000</v>
      </c>
    </row>
    <row r="69" spans="1:5">
      <c r="A69" s="162"/>
      <c r="B69" s="162">
        <f>'2'!C22</f>
        <v>0</v>
      </c>
      <c r="C69" s="162"/>
      <c r="D69" s="162" t="str">
        <f>'2'!E30</f>
        <v>MARKETING</v>
      </c>
      <c r="E69" s="194">
        <f>'2'!F30</f>
        <v>1000000</v>
      </c>
    </row>
    <row r="70" spans="1:5">
      <c r="A70" s="162" t="str">
        <f>'2'!B23</f>
        <v>PRODUCCIÓN:</v>
      </c>
      <c r="B70" s="162">
        <f>'2'!C23</f>
        <v>64680000</v>
      </c>
      <c r="C70" s="162"/>
      <c r="D70" s="162">
        <f>'2'!E31</f>
        <v>0</v>
      </c>
      <c r="E70" s="194">
        <f>'2'!F31</f>
        <v>0</v>
      </c>
    </row>
    <row r="71" spans="1:5" ht="24.75">
      <c r="A71" s="162" t="str">
        <f>'2'!B24</f>
        <v>TOTAL NÓMINAS</v>
      </c>
      <c r="B71" s="162">
        <f>'2'!C24</f>
        <v>179472000</v>
      </c>
      <c r="C71" s="162"/>
      <c r="D71" s="165" t="str">
        <f>'2'!E32</f>
        <v>TOTAL GASTOS FIJOS</v>
      </c>
      <c r="E71" s="193">
        <f>'2'!F32</f>
        <v>31250000</v>
      </c>
    </row>
    <row r="72" spans="1:5">
      <c r="A72" s="162"/>
      <c r="B72" s="162"/>
      <c r="C72" s="162"/>
      <c r="D72" s="162"/>
      <c r="E72" s="162"/>
    </row>
    <row r="73" spans="1:5" ht="36.75">
      <c r="A73" s="162" t="str">
        <f>'2'!B26</f>
        <v>PRESUPUESTO DEL MARKETING MIX</v>
      </c>
      <c r="B73" s="162">
        <f>'2'!C26</f>
        <v>5000000</v>
      </c>
      <c r="C73" s="162"/>
    </row>
    <row r="74" spans="1:5">
      <c r="A74" s="162"/>
      <c r="B74" s="162"/>
      <c r="C74" s="162"/>
    </row>
    <row r="75" spans="1:5">
      <c r="A75" s="162"/>
      <c r="B75" s="162"/>
      <c r="C75" s="168" t="str">
        <f>'3'!D3</f>
        <v>FINANCIARÁ INV FIJAS?</v>
      </c>
      <c r="D75" s="169"/>
      <c r="E75" s="162"/>
    </row>
    <row r="76" spans="1:5" ht="24.75">
      <c r="A76" s="162" t="str">
        <f>'3'!B4</f>
        <v>TOTAL INVERSIÓN INICIAL Ó NUEVA</v>
      </c>
      <c r="B76" s="173">
        <f>'3'!C4</f>
        <v>42000000</v>
      </c>
      <c r="C76" s="170" t="str">
        <f>'3'!D4</f>
        <v>SI</v>
      </c>
    </row>
    <row r="77" spans="1:5" ht="36.75">
      <c r="A77" s="162" t="str">
        <f>'3'!B5</f>
        <v>INVERSIÓN YA REALIZADA POR EL EMPRESARIO</v>
      </c>
      <c r="B77" s="166">
        <f>'3'!C5</f>
        <v>14000000</v>
      </c>
      <c r="C77" s="162"/>
    </row>
    <row r="78" spans="1:5" ht="15" customHeight="1">
      <c r="A78" s="168" t="str">
        <f>'3'!B6</f>
        <v>CALCULO DEL CAPITAL DE TRABAJO INICIAL</v>
      </c>
      <c r="B78" s="169"/>
      <c r="C78" s="169"/>
    </row>
    <row r="79" spans="1:5">
      <c r="A79" s="162"/>
      <c r="B79" s="162"/>
      <c r="C79" s="162"/>
    </row>
    <row r="80" spans="1:5" ht="84.75">
      <c r="A80" s="162" t="str">
        <f>'3'!B8</f>
        <v>SI EL PRÉSTAMO A SOLICTAR SOLO ES PARA INVERSIONES FIJAS, ESTOS VALORES DEBEN SER CEROS</v>
      </c>
      <c r="B80" s="162" t="str">
        <f>'3'!C8</f>
        <v>MESES</v>
      </c>
      <c r="C80" s="162" t="str">
        <f>'3'!D8</f>
        <v>VALOR</v>
      </c>
    </row>
    <row r="81" spans="1:6" ht="24.75">
      <c r="A81" s="162" t="str">
        <f>'3'!B9</f>
        <v>COSTOS OPERATIVOS</v>
      </c>
      <c r="B81" s="166">
        <f>'3'!C9</f>
        <v>0</v>
      </c>
      <c r="C81" s="166">
        <f>'3'!D9</f>
        <v>0</v>
      </c>
      <c r="D81" s="162"/>
      <c r="E81" s="162"/>
    </row>
    <row r="82" spans="1:6">
      <c r="A82" s="162" t="str">
        <f>'3'!B10</f>
        <v>NÓMINAS</v>
      </c>
      <c r="B82" s="166">
        <f>'3'!C10</f>
        <v>0</v>
      </c>
      <c r="C82" s="166">
        <f>'3'!D10</f>
        <v>0</v>
      </c>
      <c r="D82" s="162"/>
      <c r="E82" s="162"/>
    </row>
    <row r="83" spans="1:6">
      <c r="A83" s="162" t="str">
        <f>'3'!B11</f>
        <v>MARKETING MIX</v>
      </c>
      <c r="B83" s="166">
        <f>'3'!C11</f>
        <v>0</v>
      </c>
      <c r="C83" s="166">
        <f>'3'!D11</f>
        <v>0</v>
      </c>
      <c r="E83" s="162"/>
    </row>
    <row r="84" spans="1:6" ht="15.75" thickBot="1">
      <c r="A84" s="162" t="str">
        <f>'3'!B12</f>
        <v>GASTOS FIJOS</v>
      </c>
      <c r="B84" s="171">
        <f>'3'!C12</f>
        <v>0</v>
      </c>
      <c r="C84" s="171">
        <f>'3'!D12</f>
        <v>0</v>
      </c>
    </row>
    <row r="85" spans="1:6" ht="15.75" thickTop="1">
      <c r="A85" s="165" t="str">
        <f>'3'!B13</f>
        <v>TOTAL</v>
      </c>
      <c r="B85" s="167">
        <f>'3'!C13</f>
        <v>0</v>
      </c>
      <c r="C85" s="167">
        <f>'3'!D13</f>
        <v>0</v>
      </c>
    </row>
    <row r="91" spans="1:6">
      <c r="A91" s="168" t="s">
        <v>162</v>
      </c>
      <c r="B91" s="169"/>
      <c r="C91" s="169"/>
      <c r="D91" s="169"/>
    </row>
    <row r="92" spans="1:6">
      <c r="A92" s="266" t="str">
        <f>'3'!B14</f>
        <v>TOTAL INVERSIÓN EN LA EMPRESA</v>
      </c>
      <c r="B92" s="266"/>
      <c r="C92" s="166">
        <f>'3'!D14</f>
        <v>56000000</v>
      </c>
    </row>
    <row r="93" spans="1:6">
      <c r="A93" s="162"/>
      <c r="B93" s="162"/>
      <c r="C93" s="166"/>
      <c r="D93" s="267" t="str">
        <f>D52</f>
        <v>GOALGESTOR</v>
      </c>
      <c r="E93" s="267"/>
      <c r="F93" s="267"/>
    </row>
    <row r="94" spans="1:6" ht="24" customHeight="1">
      <c r="A94" s="266" t="str">
        <f>'3'!B16</f>
        <v>NECESIDADES DE CAPITAL DE TRABAJO</v>
      </c>
      <c r="B94" s="266"/>
      <c r="C94" s="166">
        <f>'3'!D16</f>
        <v>0</v>
      </c>
      <c r="D94" s="267"/>
      <c r="E94" s="267"/>
      <c r="F94" s="267"/>
    </row>
    <row r="95" spans="1:6">
      <c r="A95" s="266" t="str">
        <f>'3'!B17</f>
        <v>NECESIDADES DE INVERSIÓN FIJA</v>
      </c>
      <c r="B95" s="266"/>
      <c r="C95" s="166">
        <f>'3'!D17</f>
        <v>42000000</v>
      </c>
    </row>
    <row r="96" spans="1:6">
      <c r="A96" s="162"/>
      <c r="B96" s="162"/>
      <c r="C96" s="166">
        <f>'3'!D18</f>
        <v>0</v>
      </c>
    </row>
    <row r="97" spans="1:5" ht="27" customHeight="1">
      <c r="A97" s="266" t="str">
        <f>'3'!B19</f>
        <v>APORTE YA REALIZADO POR EL EMPRESARIO</v>
      </c>
      <c r="B97" s="266"/>
      <c r="C97" s="166">
        <f>'3'!D19</f>
        <v>14000000</v>
      </c>
    </row>
    <row r="98" spans="1:5" ht="25.5" customHeight="1" thickBot="1">
      <c r="A98" s="266" t="str">
        <f>'3'!B20</f>
        <v>APORTE NUEVO A REALIZAR POR EL EMPRESARIO</v>
      </c>
      <c r="B98" s="266"/>
      <c r="C98" s="171">
        <f>'3'!D20</f>
        <v>0</v>
      </c>
    </row>
    <row r="99" spans="1:5" ht="15.75" thickTop="1">
      <c r="A99" s="273" t="str">
        <f>'3'!B21</f>
        <v>PRÉSTAMO A SOLICITAR</v>
      </c>
      <c r="B99" s="273"/>
      <c r="C99" s="167">
        <f>'3'!D21</f>
        <v>37000000</v>
      </c>
    </row>
    <row r="100" spans="1:5">
      <c r="A100" s="162"/>
      <c r="B100" s="162"/>
      <c r="C100" s="166"/>
    </row>
    <row r="101" spans="1:5">
      <c r="A101" s="168" t="s">
        <v>163</v>
      </c>
      <c r="B101" s="168"/>
      <c r="C101" s="168"/>
      <c r="D101" s="168"/>
    </row>
    <row r="102" spans="1:5">
      <c r="A102" s="162"/>
      <c r="B102" s="162"/>
      <c r="C102" s="166"/>
    </row>
    <row r="103" spans="1:5">
      <c r="A103" s="162" t="s">
        <v>164</v>
      </c>
      <c r="B103" s="175">
        <f>'3'!F4</f>
        <v>0.12</v>
      </c>
      <c r="C103" s="175"/>
    </row>
    <row r="104" spans="1:5">
      <c r="A104" s="270" t="str">
        <f>'3'!F6</f>
        <v xml:space="preserve">CALCULO DEL PRÉSTAMO </v>
      </c>
      <c r="B104" s="270"/>
    </row>
    <row r="106" spans="1:5" ht="24.75">
      <c r="A106" s="177" t="str">
        <f>'3'!F8</f>
        <v>AÑOS</v>
      </c>
      <c r="B106" s="177" t="str">
        <f>'3'!G8</f>
        <v>CUOTA A PAGAR</v>
      </c>
      <c r="C106" s="177" t="str">
        <f>'3'!H8</f>
        <v>ABONO A CAPITAL</v>
      </c>
      <c r="D106" s="177" t="str">
        <f>'3'!I8</f>
        <v>INTERESES</v>
      </c>
      <c r="E106" s="177" t="str">
        <f>'3'!J8</f>
        <v>SALDO DE LA DEUDA</v>
      </c>
    </row>
    <row r="107" spans="1:5">
      <c r="A107" s="156">
        <f>'3'!F9</f>
        <v>0</v>
      </c>
      <c r="B107" s="148">
        <f>'3'!G9</f>
        <v>0</v>
      </c>
      <c r="C107" s="148">
        <f>'3'!H9</f>
        <v>0</v>
      </c>
      <c r="D107" s="148">
        <f>'3'!I9</f>
        <v>0</v>
      </c>
      <c r="E107" s="148">
        <f>'3'!J9</f>
        <v>37000000</v>
      </c>
    </row>
    <row r="108" spans="1:5">
      <c r="A108" s="156">
        <f>'3'!F10</f>
        <v>2020</v>
      </c>
      <c r="B108" s="148">
        <f>'3'!G10</f>
        <v>-11193746.616454193</v>
      </c>
      <c r="C108" s="148">
        <f>'3'!H10</f>
        <v>-7356807.7643019212</v>
      </c>
      <c r="D108" s="148">
        <f>'3'!I10</f>
        <v>3836938.8521522712</v>
      </c>
      <c r="E108" s="148">
        <f>'3'!J10</f>
        <v>29643192.235698078</v>
      </c>
    </row>
    <row r="109" spans="1:5">
      <c r="A109" s="156">
        <f>'3'!F11</f>
        <v>2021</v>
      </c>
      <c r="B109" s="148">
        <f>'3'!G11</f>
        <v>-11193746.616454193</v>
      </c>
      <c r="C109" s="148">
        <f>'3'!H11</f>
        <v>-8239624.6960181585</v>
      </c>
      <c r="D109" s="148">
        <f>'3'!I11</f>
        <v>2954121.920436034</v>
      </c>
      <c r="E109" s="148">
        <f>'3'!J11</f>
        <v>21403567.539679918</v>
      </c>
    </row>
    <row r="110" spans="1:5">
      <c r="A110" s="156">
        <f>'3'!F12</f>
        <v>2022</v>
      </c>
      <c r="B110" s="148">
        <f>'3'!G12</f>
        <v>-11193746.616454193</v>
      </c>
      <c r="C110" s="148">
        <f>'3'!H12</f>
        <v>-9228379.6595403459</v>
      </c>
      <c r="D110" s="148">
        <f>'3'!I12</f>
        <v>1965366.9569138475</v>
      </c>
      <c r="E110" s="148">
        <f>'3'!J12</f>
        <v>12175187.880139573</v>
      </c>
    </row>
    <row r="111" spans="1:5">
      <c r="A111" s="156">
        <f>'3'!F13</f>
        <v>2023</v>
      </c>
      <c r="B111" s="148">
        <f>'3'!G13</f>
        <v>-11193746.616454193</v>
      </c>
      <c r="C111" s="148">
        <f>'3'!H13</f>
        <v>-10335785.218685197</v>
      </c>
      <c r="D111" s="148">
        <f>'3'!I13</f>
        <v>857961.3977689977</v>
      </c>
      <c r="E111" s="148">
        <f>'3'!J13</f>
        <v>1839402.6614543758</v>
      </c>
    </row>
    <row r="112" spans="1:5">
      <c r="A112" s="156">
        <f>'3'!F14</f>
        <v>2024</v>
      </c>
      <c r="B112" s="148">
        <f>'3'!G14</f>
        <v>-1865624.4360756988</v>
      </c>
      <c r="C112" s="148">
        <f>'3'!H14</f>
        <v>-1839402.6614543768</v>
      </c>
      <c r="D112" s="148">
        <f>'3'!I14</f>
        <v>26221.774621321925</v>
      </c>
      <c r="E112" s="148">
        <f>'3'!J14</f>
        <v>0</v>
      </c>
    </row>
    <row r="113" spans="1:6">
      <c r="A113" s="143"/>
      <c r="B113" s="143"/>
      <c r="C113" s="143"/>
      <c r="D113" s="143"/>
      <c r="E113" s="143"/>
    </row>
    <row r="114" spans="1:6">
      <c r="A114" s="271" t="s">
        <v>166</v>
      </c>
      <c r="B114" s="271"/>
      <c r="C114" s="271"/>
      <c r="D114" s="271"/>
      <c r="E114" s="271"/>
    </row>
    <row r="115" spans="1:6">
      <c r="A115" s="143"/>
      <c r="B115" s="143"/>
      <c r="C115" s="143"/>
      <c r="D115" s="143"/>
      <c r="E115" s="143"/>
      <c r="F115" s="143"/>
    </row>
    <row r="116" spans="1:6">
      <c r="A116" s="160" t="str">
        <f>'4'!A4:G4</f>
        <v>ESTADO DE RESULTADOS</v>
      </c>
      <c r="B116" s="143"/>
      <c r="C116" s="143"/>
      <c r="D116" s="143"/>
      <c r="E116" s="143"/>
      <c r="F116" s="143"/>
    </row>
    <row r="117" spans="1:6">
      <c r="A117" s="165" t="s">
        <v>11</v>
      </c>
      <c r="B117" s="157">
        <f>'4'!C5</f>
        <v>2020</v>
      </c>
      <c r="C117" s="157">
        <f>'4'!D5</f>
        <v>2021</v>
      </c>
      <c r="D117" s="157">
        <f>'4'!E5</f>
        <v>2022</v>
      </c>
      <c r="E117" s="157">
        <f>'4'!F5</f>
        <v>2023</v>
      </c>
      <c r="F117" s="157">
        <f>'4'!G5</f>
        <v>2024</v>
      </c>
    </row>
    <row r="118" spans="1:6">
      <c r="A118" s="162" t="str">
        <f>'4'!B6</f>
        <v>VENTAS</v>
      </c>
      <c r="B118" s="148">
        <f>'4'!C6</f>
        <v>422000000</v>
      </c>
      <c r="C118" s="148">
        <f>'4'!D6</f>
        <v>450344480.00000012</v>
      </c>
      <c r="D118" s="148">
        <f>'4'!E6</f>
        <v>480019658.70992011</v>
      </c>
      <c r="E118" s="148">
        <f>'4'!F6</f>
        <v>512499264.05603522</v>
      </c>
      <c r="F118" s="148">
        <f>'4'!G6</f>
        <v>552815292.22654164</v>
      </c>
    </row>
    <row r="119" spans="1:6" ht="15.75" thickBot="1">
      <c r="A119" s="179" t="str">
        <f>'4'!B7</f>
        <v>COSTO VENTAS</v>
      </c>
      <c r="B119" s="153">
        <f>'4'!C7</f>
        <v>184000000</v>
      </c>
      <c r="C119" s="153">
        <f>'4'!D7</f>
        <v>197473320.00000003</v>
      </c>
      <c r="D119" s="153">
        <f>'4'!E7</f>
        <v>211943070.50400007</v>
      </c>
      <c r="E119" s="153">
        <f>'4'!F7</f>
        <v>228129082.29094374</v>
      </c>
      <c r="F119" s="153">
        <f>'4'!G7</f>
        <v>247283986.92829853</v>
      </c>
    </row>
    <row r="120" spans="1:6" ht="15.75" thickTop="1">
      <c r="A120" s="162" t="str">
        <f>'4'!B8</f>
        <v>UTILIDAD BRUTA</v>
      </c>
      <c r="B120" s="148">
        <f>'4'!C8</f>
        <v>238000000</v>
      </c>
      <c r="C120" s="148">
        <f>'4'!D8</f>
        <v>252871160.00000009</v>
      </c>
      <c r="D120" s="148">
        <f>'4'!E8</f>
        <v>268076588.20592004</v>
      </c>
      <c r="E120" s="148">
        <f>'4'!F8</f>
        <v>284370181.76509148</v>
      </c>
      <c r="F120" s="148">
        <f>'4'!G8</f>
        <v>305531305.29824311</v>
      </c>
    </row>
    <row r="121" spans="1:6" ht="24.75">
      <c r="A121" s="162" t="str">
        <f>'4'!B9</f>
        <v>GASTOS ADTIVOS Y VTAS</v>
      </c>
      <c r="B121" s="148">
        <f>'4'!C9</f>
        <v>179472000</v>
      </c>
      <c r="C121" s="148">
        <f>'4'!D9</f>
        <v>184766424</v>
      </c>
      <c r="D121" s="148">
        <f>'4'!E9</f>
        <v>189976837.1568</v>
      </c>
      <c r="E121" s="148">
        <f>'4'!F9</f>
        <v>195106211.76003358</v>
      </c>
      <c r="F121" s="148">
        <f>'4'!G9</f>
        <v>200374079.47755447</v>
      </c>
    </row>
    <row r="122" spans="1:6">
      <c r="A122" s="162" t="str">
        <f>'4'!B10</f>
        <v>OTROS GASTOS</v>
      </c>
      <c r="B122" s="148">
        <f>'4'!C10</f>
        <v>5000000</v>
      </c>
      <c r="C122" s="148">
        <f>'4'!D10</f>
        <v>5170000</v>
      </c>
      <c r="D122" s="148">
        <f>'4'!E10</f>
        <v>5345780</v>
      </c>
      <c r="E122" s="148">
        <f>'4'!F10</f>
        <v>5527536.5200000005</v>
      </c>
      <c r="F122" s="148">
        <f>'4'!G10</f>
        <v>5715472.7616800005</v>
      </c>
    </row>
    <row r="123" spans="1:6" ht="15.75" thickBot="1">
      <c r="A123" s="179" t="str">
        <f>'4'!B12</f>
        <v>DEPRECIACIÓN</v>
      </c>
      <c r="B123" s="153">
        <f>'4'!C12</f>
        <v>5400000</v>
      </c>
      <c r="C123" s="153">
        <f>'4'!D12</f>
        <v>5400000</v>
      </c>
      <c r="D123" s="153">
        <f>'4'!E12</f>
        <v>5400000</v>
      </c>
      <c r="E123" s="153">
        <f>'4'!F12</f>
        <v>5400000</v>
      </c>
      <c r="F123" s="153">
        <f>'4'!G12</f>
        <v>5400000</v>
      </c>
    </row>
    <row r="124" spans="1:6" ht="25.5" thickTop="1">
      <c r="A124" s="162" t="str">
        <f>'4'!B13</f>
        <v>UTILIDAD OPERATIVA</v>
      </c>
      <c r="B124" s="180">
        <f>'4'!C13</f>
        <v>16878000</v>
      </c>
      <c r="C124" s="180">
        <f>'4'!D13</f>
        <v>25362861.000000086</v>
      </c>
      <c r="D124" s="180">
        <f>'4'!E13</f>
        <v>34274849.174120039</v>
      </c>
      <c r="E124" s="180">
        <f>'4'!F13</f>
        <v>44364175.319432907</v>
      </c>
      <c r="F124" s="180">
        <f>'4'!G13</f>
        <v>59152243.922911756</v>
      </c>
    </row>
    <row r="125" spans="1:6" ht="24.75">
      <c r="A125" s="162" t="str">
        <f>'4'!B14</f>
        <v>GASTOS FINACIEROS</v>
      </c>
      <c r="B125" s="148">
        <f>'4'!C14</f>
        <v>3836938.8521522712</v>
      </c>
      <c r="C125" s="148">
        <f>'4'!D14</f>
        <v>2954121.920436034</v>
      </c>
      <c r="D125" s="148">
        <f>'4'!E14</f>
        <v>1965366.9569138475</v>
      </c>
      <c r="E125" s="148">
        <f>'4'!F14</f>
        <v>857961.3977689977</v>
      </c>
      <c r="F125" s="148">
        <f>'4'!G14</f>
        <v>26221.774621321925</v>
      </c>
    </row>
    <row r="126" spans="1:6" ht="24.75">
      <c r="A126" s="162" t="str">
        <f>'4'!B11</f>
        <v>GASTOS FIJOS DEL PERIODO</v>
      </c>
      <c r="B126" s="148">
        <f>'4'!C11</f>
        <v>31250000</v>
      </c>
      <c r="C126" s="148">
        <f>'4'!D11</f>
        <v>32171875.000000004</v>
      </c>
      <c r="D126" s="148">
        <f>'4'!E11</f>
        <v>33079121.875000004</v>
      </c>
      <c r="E126" s="148">
        <f>'4'!F11</f>
        <v>33972258.165624999</v>
      </c>
      <c r="F126" s="148">
        <f>'4'!G11</f>
        <v>34889509.136096872</v>
      </c>
    </row>
    <row r="127" spans="1:6" ht="24.75">
      <c r="A127" s="162" t="str">
        <f>'4'!B15</f>
        <v>UTILIDAD ANTES DE IMPTOS</v>
      </c>
      <c r="B127" s="148">
        <f>'4'!C15</f>
        <v>13041061.147847729</v>
      </c>
      <c r="C127" s="148">
        <f>'4'!D15</f>
        <v>22408739.07956405</v>
      </c>
      <c r="D127" s="148">
        <f>'4'!E15</f>
        <v>32309482.217206191</v>
      </c>
      <c r="E127" s="148">
        <f>'4'!F15</f>
        <v>43506213.92166391</v>
      </c>
      <c r="F127" s="148">
        <f>'4'!G15</f>
        <v>59126022.148290433</v>
      </c>
    </row>
    <row r="128" spans="1:6" ht="15.75" thickBot="1">
      <c r="A128" s="179" t="str">
        <f>'4'!B16</f>
        <v>IMPUESTOS</v>
      </c>
      <c r="B128" s="153">
        <f>'4'!C16</f>
        <v>4042728.9558327957</v>
      </c>
      <c r="C128" s="153">
        <f>'4'!D16</f>
        <v>6946709.1146648554</v>
      </c>
      <c r="D128" s="153">
        <f>'4'!E16</f>
        <v>10015939.48733392</v>
      </c>
      <c r="E128" s="153">
        <f>'4'!F16</f>
        <v>13486926.315715812</v>
      </c>
      <c r="F128" s="153">
        <f>'4'!G16</f>
        <v>18329066.865970034</v>
      </c>
    </row>
    <row r="129" spans="1:6" ht="15.75" thickTop="1">
      <c r="A129" s="165" t="str">
        <f>'4'!B17</f>
        <v>UTILIDAD NETA</v>
      </c>
      <c r="B129" s="180">
        <f>'4'!C17</f>
        <v>8998332.1920149326</v>
      </c>
      <c r="C129" s="180">
        <f>'4'!D17</f>
        <v>15462029.964899193</v>
      </c>
      <c r="D129" s="180">
        <f>'4'!E17</f>
        <v>22293542.729872271</v>
      </c>
      <c r="E129" s="180">
        <f>'4'!F17</f>
        <v>30019287.605948098</v>
      </c>
      <c r="F129" s="180">
        <f>'4'!G17</f>
        <v>40796955.282320395</v>
      </c>
    </row>
    <row r="135" spans="1:6">
      <c r="A135" s="155" t="s">
        <v>167</v>
      </c>
      <c r="B135" s="154" t="str">
        <f>D52</f>
        <v>GOALGESTOR</v>
      </c>
    </row>
    <row r="136" spans="1:6">
      <c r="A136" s="165" t="s">
        <v>11</v>
      </c>
      <c r="B136" s="157">
        <f>'4'!C20</f>
        <v>2020</v>
      </c>
      <c r="C136" s="157">
        <f>'4'!D20</f>
        <v>2021</v>
      </c>
      <c r="D136" s="157">
        <f>'4'!E20</f>
        <v>2022</v>
      </c>
      <c r="E136" s="157">
        <f>'4'!F20</f>
        <v>2023</v>
      </c>
      <c r="F136" s="157">
        <f>'4'!G20</f>
        <v>2024</v>
      </c>
    </row>
    <row r="137" spans="1:6">
      <c r="A137" s="272" t="str">
        <f>'4'!A21</f>
        <v xml:space="preserve">ACTIVO </v>
      </c>
      <c r="B137" s="272"/>
      <c r="C137" s="272"/>
      <c r="D137" s="272"/>
      <c r="E137" s="272"/>
      <c r="F137" s="272"/>
    </row>
    <row r="138" spans="1:6">
      <c r="A138" s="162" t="str">
        <f>'4'!A22</f>
        <v>CAJA/BANCOS</v>
      </c>
      <c r="B138" s="148">
        <f>'4'!C22</f>
        <v>25084253.383545808</v>
      </c>
      <c r="C138" s="148">
        <f>'4'!D22</f>
        <v>31612306.619243972</v>
      </c>
      <c r="D138" s="148">
        <f>'4'!E22</f>
        <v>37684670.097345762</v>
      </c>
      <c r="E138" s="148">
        <f>'4'!F22</f>
        <v>43945616.58311829</v>
      </c>
      <c r="F138" s="148">
        <f>'4'!G22</f>
        <v>63126022.148290426</v>
      </c>
    </row>
    <row r="139" spans="1:6" ht="24.75">
      <c r="A139" s="162" t="str">
        <f>'4'!A23</f>
        <v>FIJO NO DEPRECIABLE</v>
      </c>
      <c r="B139" s="148">
        <f>'4'!C23</f>
        <v>0</v>
      </c>
      <c r="C139" s="148">
        <f>'4'!D23</f>
        <v>0</v>
      </c>
      <c r="D139" s="148">
        <f>'4'!E23</f>
        <v>0</v>
      </c>
      <c r="E139" s="148">
        <f>'4'!F23</f>
        <v>0</v>
      </c>
      <c r="F139" s="148">
        <f>'4'!G23</f>
        <v>0</v>
      </c>
    </row>
    <row r="140" spans="1:6" ht="24.75">
      <c r="A140" s="162" t="str">
        <f>'4'!A24</f>
        <v>FIJO DEPRECIABLE</v>
      </c>
      <c r="B140" s="148">
        <f>'4'!C24</f>
        <v>42000000</v>
      </c>
      <c r="C140" s="148">
        <f>'4'!D24</f>
        <v>42000000</v>
      </c>
      <c r="D140" s="148">
        <f>'4'!E24</f>
        <v>42000000</v>
      </c>
      <c r="E140" s="148">
        <f>'4'!F24</f>
        <v>42000000</v>
      </c>
      <c r="F140" s="148">
        <f>'4'!G24</f>
        <v>42000000</v>
      </c>
    </row>
    <row r="141" spans="1:6" ht="24.75">
      <c r="A141" s="162" t="str">
        <f>'4'!A25</f>
        <v>DEPRECIACIÓN ACUMULADA</v>
      </c>
      <c r="B141" s="148">
        <f>'4'!C25</f>
        <v>5400000</v>
      </c>
      <c r="C141" s="148">
        <f>'4'!D25</f>
        <v>10800000</v>
      </c>
      <c r="D141" s="148">
        <f>'4'!E25</f>
        <v>16200000</v>
      </c>
      <c r="E141" s="148">
        <f>'4'!F25</f>
        <v>21600000</v>
      </c>
      <c r="F141" s="148">
        <f>'4'!G25</f>
        <v>27000000</v>
      </c>
    </row>
    <row r="142" spans="1:6" ht="15.75" thickBot="1">
      <c r="A142" s="179" t="str">
        <f>'4'!A26</f>
        <v>ACTIVO FIJO NETO</v>
      </c>
      <c r="B142" s="153">
        <f>'4'!C26</f>
        <v>36600000</v>
      </c>
      <c r="C142" s="153">
        <f>'4'!D26</f>
        <v>31200000</v>
      </c>
      <c r="D142" s="153">
        <f>'4'!E26</f>
        <v>25800000</v>
      </c>
      <c r="E142" s="153">
        <f>'4'!F26</f>
        <v>20400000</v>
      </c>
      <c r="F142" s="153">
        <f>'4'!G26</f>
        <v>15000000</v>
      </c>
    </row>
    <row r="143" spans="1:6" ht="15.75" thickTop="1">
      <c r="A143" s="165" t="str">
        <f>'4'!A27</f>
        <v>TOTAL ACTIVO</v>
      </c>
      <c r="B143" s="180">
        <f>'4'!C27</f>
        <v>61684253.383545808</v>
      </c>
      <c r="C143" s="180">
        <f>'4'!D27</f>
        <v>62812306.619243972</v>
      </c>
      <c r="D143" s="180">
        <f>'4'!E27</f>
        <v>63484670.097345762</v>
      </c>
      <c r="E143" s="180">
        <f>'4'!F27</f>
        <v>64345616.58311829</v>
      </c>
      <c r="F143" s="180">
        <f>'4'!G27</f>
        <v>78126022.148290426</v>
      </c>
    </row>
    <row r="144" spans="1:6">
      <c r="A144" s="272" t="str">
        <f>'4'!A28</f>
        <v>PASIVO</v>
      </c>
      <c r="B144" s="272"/>
      <c r="C144" s="272"/>
      <c r="D144" s="272"/>
      <c r="E144" s="272"/>
      <c r="F144" s="272"/>
    </row>
    <row r="145" spans="1:6">
      <c r="A145" s="162" t="str">
        <f>'4'!A29</f>
        <v>Impuestos X Pagar</v>
      </c>
      <c r="B145" s="148">
        <f>'4'!C29</f>
        <v>4042728.9558327957</v>
      </c>
      <c r="C145" s="148">
        <f>'4'!D29</f>
        <v>6946709.1146648554</v>
      </c>
      <c r="D145" s="148">
        <f>'4'!E29</f>
        <v>10015939.48733392</v>
      </c>
      <c r="E145" s="148">
        <f>'4'!F29</f>
        <v>13486926.315715812</v>
      </c>
      <c r="F145" s="148">
        <f>'4'!G29</f>
        <v>18329066.865970034</v>
      </c>
    </row>
    <row r="146" spans="1:6" ht="24.75">
      <c r="A146" s="162" t="str">
        <f>'4'!A30</f>
        <v>TOTAL PASIVO CORRIENTE</v>
      </c>
      <c r="B146" s="148">
        <f>'4'!C30</f>
        <v>4042728.9558327957</v>
      </c>
      <c r="C146" s="148">
        <f>'4'!D30</f>
        <v>6946709.1146648554</v>
      </c>
      <c r="D146" s="148">
        <f>'4'!E30</f>
        <v>10015939.48733392</v>
      </c>
      <c r="E146" s="148">
        <f>'4'!F30</f>
        <v>13486926.315715812</v>
      </c>
      <c r="F146" s="148">
        <f>'4'!G30</f>
        <v>18329066.865970034</v>
      </c>
    </row>
    <row r="147" spans="1:6" ht="25.5" thickBot="1">
      <c r="A147" s="179" t="str">
        <f>'4'!A31</f>
        <v>Obligaciones Financieras</v>
      </c>
      <c r="B147" s="153">
        <f>'4'!C31</f>
        <v>29643192.235698078</v>
      </c>
      <c r="C147" s="153">
        <f>'4'!D31</f>
        <v>21403567.539679918</v>
      </c>
      <c r="D147" s="153">
        <f>'4'!E31</f>
        <v>12175187.880139573</v>
      </c>
      <c r="E147" s="153">
        <f>'4'!F31</f>
        <v>1839402.6614543758</v>
      </c>
      <c r="F147" s="153">
        <f>'4'!G31</f>
        <v>0</v>
      </c>
    </row>
    <row r="148" spans="1:6" ht="15.75" thickTop="1">
      <c r="A148" s="165" t="str">
        <f>'4'!A32</f>
        <v>PASIVO</v>
      </c>
      <c r="B148" s="180">
        <f>'4'!C32</f>
        <v>33685921.191530876</v>
      </c>
      <c r="C148" s="180">
        <f>'4'!D32</f>
        <v>28350276.654344775</v>
      </c>
      <c r="D148" s="180">
        <f>'4'!E32</f>
        <v>22191127.367473491</v>
      </c>
      <c r="E148" s="180">
        <f>'4'!F32</f>
        <v>15326328.977170188</v>
      </c>
      <c r="F148" s="180">
        <f>'4'!G32</f>
        <v>18329066.865970034</v>
      </c>
    </row>
    <row r="149" spans="1:6">
      <c r="A149" s="272" t="str">
        <f>'4'!A33</f>
        <v>PATRIMONIO</v>
      </c>
      <c r="B149" s="272"/>
      <c r="C149" s="272"/>
      <c r="D149" s="272"/>
      <c r="E149" s="272"/>
      <c r="F149" s="272"/>
    </row>
    <row r="150" spans="1:6">
      <c r="A150" s="162" t="str">
        <f>'4'!A34</f>
        <v>Capital Social</v>
      </c>
      <c r="B150" s="148">
        <f>'4'!C34</f>
        <v>19000000</v>
      </c>
      <c r="C150" s="148">
        <f>'4'!D34</f>
        <v>19000000</v>
      </c>
      <c r="D150" s="148">
        <f>'4'!E34</f>
        <v>19000000</v>
      </c>
      <c r="E150" s="148">
        <f>'4'!F34</f>
        <v>19000000</v>
      </c>
      <c r="F150" s="148">
        <f>'4'!G34</f>
        <v>19000000</v>
      </c>
    </row>
    <row r="151" spans="1:6" ht="24.75">
      <c r="A151" s="162" t="str">
        <f>'4'!A35</f>
        <v>Utilidades del Ejercicio</v>
      </c>
      <c r="B151" s="148">
        <f>'4'!C35</f>
        <v>8998332.1920149326</v>
      </c>
      <c r="C151" s="148">
        <f>'4'!D35</f>
        <v>15462029.964899193</v>
      </c>
      <c r="D151" s="148">
        <f>'4'!E35</f>
        <v>22293542.729872271</v>
      </c>
      <c r="E151" s="148">
        <f>'4'!F35</f>
        <v>30019287.605948098</v>
      </c>
      <c r="F151" s="148">
        <f>'4'!G35</f>
        <v>40796955.282320395</v>
      </c>
    </row>
    <row r="152" spans="1:6" ht="24.75">
      <c r="A152" s="162" t="str">
        <f>'4'!A36</f>
        <v>TOTAL PATRIMONIO</v>
      </c>
      <c r="B152" s="148">
        <f>'4'!C36</f>
        <v>27998332.192014933</v>
      </c>
      <c r="C152" s="148">
        <f>'4'!D36</f>
        <v>34462029.964899197</v>
      </c>
      <c r="D152" s="148">
        <f>'4'!E36</f>
        <v>41293542.729872271</v>
      </c>
      <c r="E152" s="148">
        <f>'4'!F36</f>
        <v>49019287.605948098</v>
      </c>
      <c r="F152" s="148">
        <f>'4'!G36</f>
        <v>59796955.282320395</v>
      </c>
    </row>
    <row r="153" spans="1:6" ht="15.75" thickBot="1">
      <c r="A153" s="162"/>
      <c r="B153" s="153">
        <f>'4'!C37</f>
        <v>0</v>
      </c>
      <c r="C153" s="153">
        <f>'4'!D37</f>
        <v>0</v>
      </c>
      <c r="D153" s="153">
        <f>'4'!E37</f>
        <v>0</v>
      </c>
      <c r="E153" s="153">
        <f>'4'!F37</f>
        <v>0</v>
      </c>
      <c r="F153" s="153">
        <f>'4'!G37</f>
        <v>0</v>
      </c>
    </row>
    <row r="154" spans="1:6" ht="15.75" thickTop="1">
      <c r="A154" s="165" t="str">
        <f>'4'!A38</f>
        <v>TOTAL PAS + PAT</v>
      </c>
      <c r="B154" s="180">
        <f>'4'!C38</f>
        <v>61684253.383545808</v>
      </c>
      <c r="C154" s="180">
        <f>'4'!D38</f>
        <v>62812306.619243972</v>
      </c>
      <c r="D154" s="180">
        <f>'4'!E38</f>
        <v>63484670.097345762</v>
      </c>
      <c r="E154" s="180">
        <f>'4'!F38</f>
        <v>64345616.58311829</v>
      </c>
      <c r="F154" s="180">
        <f>'4'!G38</f>
        <v>78126022.148290426</v>
      </c>
    </row>
    <row r="155" spans="1:6">
      <c r="A155" s="144"/>
      <c r="B155" s="150"/>
      <c r="C155" s="150"/>
      <c r="D155" s="150"/>
      <c r="E155" s="150"/>
      <c r="F155" s="150"/>
    </row>
    <row r="156" spans="1:6">
      <c r="A156" s="160" t="s">
        <v>168</v>
      </c>
      <c r="C156" s="154" t="str">
        <f>B135</f>
        <v>GOALGESTOR</v>
      </c>
    </row>
    <row r="157" spans="1:6">
      <c r="B157" s="157">
        <f>'4'!C43</f>
        <v>2020</v>
      </c>
      <c r="C157" s="157">
        <f>'4'!D43</f>
        <v>2021</v>
      </c>
      <c r="D157" s="157">
        <f>'4'!E43</f>
        <v>2022</v>
      </c>
      <c r="E157" s="157">
        <f>'4'!F43</f>
        <v>2023</v>
      </c>
      <c r="F157" s="157">
        <f>'4'!G43</f>
        <v>2024</v>
      </c>
    </row>
    <row r="158" spans="1:6">
      <c r="A158" s="162" t="str">
        <f>'4'!A44</f>
        <v>Activos Corrientes</v>
      </c>
      <c r="B158" s="147">
        <f>'4'!C44</f>
        <v>25084253.383545808</v>
      </c>
      <c r="C158" s="147">
        <f>'4'!D44</f>
        <v>31612306.619243972</v>
      </c>
      <c r="D158" s="147">
        <f>'4'!E44</f>
        <v>37684670.097345762</v>
      </c>
      <c r="E158" s="147">
        <f>'4'!F44</f>
        <v>43945616.58311829</v>
      </c>
      <c r="F158" s="147">
        <f>'4'!G44</f>
        <v>63126022.148290426</v>
      </c>
    </row>
    <row r="159" spans="1:6" ht="15.75" thickBot="1">
      <c r="A159" s="162" t="str">
        <f>'4'!A45</f>
        <v>Pasivos Corrientes</v>
      </c>
      <c r="B159" s="181">
        <f>'4'!C45</f>
        <v>4042728.9558327957</v>
      </c>
      <c r="C159" s="181">
        <f>'4'!D45</f>
        <v>6946709.1146648554</v>
      </c>
      <c r="D159" s="181">
        <f>'4'!E45</f>
        <v>10015939.48733392</v>
      </c>
      <c r="E159" s="181">
        <f>'4'!F45</f>
        <v>13486926.315715812</v>
      </c>
      <c r="F159" s="181">
        <f>'4'!G45</f>
        <v>18329066.865970034</v>
      </c>
    </row>
    <row r="160" spans="1:6" ht="15.75" thickTop="1">
      <c r="A160" s="162" t="str">
        <f>'4'!A46</f>
        <v>KTNO</v>
      </c>
      <c r="B160" s="182">
        <f>'4'!C46</f>
        <v>21041524.427713014</v>
      </c>
      <c r="C160" s="182">
        <f>'4'!D46</f>
        <v>24665597.504579116</v>
      </c>
      <c r="D160" s="182">
        <f>'4'!E46</f>
        <v>27668730.610011842</v>
      </c>
      <c r="E160" s="182">
        <f>'4'!F46</f>
        <v>30458690.267402478</v>
      </c>
      <c r="F160" s="182">
        <f>'4'!G46</f>
        <v>44796955.282320395</v>
      </c>
    </row>
    <row r="161" spans="1:6">
      <c r="A161" s="162"/>
      <c r="B161" s="147"/>
      <c r="C161" s="147"/>
      <c r="D161" s="147"/>
      <c r="E161" s="147"/>
      <c r="F161" s="147"/>
    </row>
    <row r="162" spans="1:6">
      <c r="A162" s="162" t="str">
        <f>'4'!A48</f>
        <v>Activo Fijo Neto</v>
      </c>
      <c r="B162" s="147">
        <f>'4'!C48</f>
        <v>36600000</v>
      </c>
      <c r="C162" s="147">
        <f>'4'!D48</f>
        <v>31200000</v>
      </c>
      <c r="D162" s="147">
        <f>'4'!E48</f>
        <v>25800000</v>
      </c>
      <c r="E162" s="147">
        <f>'4'!F48</f>
        <v>20400000</v>
      </c>
      <c r="F162" s="147">
        <f>'4'!G48</f>
        <v>15000000</v>
      </c>
    </row>
    <row r="163" spans="1:6" ht="24.75">
      <c r="A163" s="162" t="str">
        <f>'4'!A49</f>
        <v>Depreciación Acumulada</v>
      </c>
      <c r="B163" s="147">
        <f>'4'!C49</f>
        <v>5400000</v>
      </c>
      <c r="C163" s="147">
        <f>'4'!D49</f>
        <v>10800000</v>
      </c>
      <c r="D163" s="147">
        <f>'4'!E49</f>
        <v>16200000</v>
      </c>
      <c r="E163" s="147">
        <f>'4'!F49</f>
        <v>21600000</v>
      </c>
      <c r="F163" s="147">
        <f>'4'!G49</f>
        <v>27000000</v>
      </c>
    </row>
    <row r="164" spans="1:6">
      <c r="A164" s="162" t="str">
        <f>'4'!A50</f>
        <v>Activo Fijo Bruto</v>
      </c>
      <c r="B164" s="147">
        <f>'4'!C50</f>
        <v>42000000</v>
      </c>
      <c r="C164" s="147">
        <f>'4'!D50</f>
        <v>42000000</v>
      </c>
      <c r="D164" s="147">
        <f>'4'!E50</f>
        <v>42000000</v>
      </c>
      <c r="E164" s="147">
        <f>'4'!F50</f>
        <v>42000000</v>
      </c>
      <c r="F164" s="147">
        <f>'4'!G50</f>
        <v>42000000</v>
      </c>
    </row>
    <row r="165" spans="1:6">
      <c r="A165" s="162"/>
      <c r="B165" s="147">
        <f>'4'!C51</f>
        <v>0</v>
      </c>
      <c r="C165" s="147">
        <f>'4'!D51</f>
        <v>0</v>
      </c>
      <c r="D165" s="147">
        <f>'4'!E51</f>
        <v>0</v>
      </c>
      <c r="E165" s="147">
        <f>'4'!F51</f>
        <v>0</v>
      </c>
      <c r="F165" s="147">
        <f>'4'!G51</f>
        <v>0</v>
      </c>
    </row>
    <row r="166" spans="1:6" ht="25.5" thickBot="1">
      <c r="A166" s="162" t="str">
        <f>'4'!A52</f>
        <v>Total Capital Operativo Neto</v>
      </c>
      <c r="B166" s="183">
        <f>'4'!C52</f>
        <v>57641524.427713014</v>
      </c>
      <c r="C166" s="183">
        <f>'4'!D52</f>
        <v>55865597.504579112</v>
      </c>
      <c r="D166" s="183">
        <f>'4'!E52</f>
        <v>53468730.610011846</v>
      </c>
      <c r="E166" s="183">
        <f>'4'!F52</f>
        <v>50858690.267402478</v>
      </c>
      <c r="F166" s="183">
        <f>'4'!G52</f>
        <v>59796955.282320395</v>
      </c>
    </row>
    <row r="167" spans="1:6" ht="15.75" thickTop="1">
      <c r="A167" s="162"/>
      <c r="B167" s="182" t="str">
        <f>B135</f>
        <v>GOALGESTOR</v>
      </c>
      <c r="C167" s="147"/>
      <c r="D167" s="147"/>
      <c r="E167" s="147"/>
      <c r="F167" s="147"/>
    </row>
    <row r="168" spans="1:6" ht="15" customHeight="1">
      <c r="A168" s="272" t="str">
        <f>'4'!A54</f>
        <v>CALCULO DEL FLUJO DE CAJA LIBRE</v>
      </c>
      <c r="B168" s="272"/>
      <c r="C168" s="272"/>
      <c r="D168" s="272"/>
      <c r="E168" s="272"/>
      <c r="F168" s="272"/>
    </row>
    <row r="169" spans="1:6">
      <c r="A169" s="162" t="str">
        <f>'4'!A55</f>
        <v>EBIT</v>
      </c>
      <c r="B169" s="147">
        <f>'4'!C55</f>
        <v>16878000</v>
      </c>
      <c r="C169" s="147">
        <f>'4'!D55</f>
        <v>25362861.000000086</v>
      </c>
      <c r="D169" s="147">
        <f>'4'!E55</f>
        <v>34274849.174120039</v>
      </c>
      <c r="E169" s="147">
        <f>'4'!F55</f>
        <v>44364175.319432907</v>
      </c>
      <c r="F169" s="147">
        <f>'4'!G55</f>
        <v>59152243.922911756</v>
      </c>
    </row>
    <row r="170" spans="1:6">
      <c r="A170" s="162" t="str">
        <f>'4'!A56</f>
        <v>Impuestos</v>
      </c>
      <c r="B170" s="147">
        <f>'4'!C56</f>
        <v>5232180</v>
      </c>
      <c r="C170" s="147">
        <f>'4'!D56</f>
        <v>7862486.9100000262</v>
      </c>
      <c r="D170" s="147">
        <f>'4'!E56</f>
        <v>10625203.243977211</v>
      </c>
      <c r="E170" s="147">
        <f>'4'!F56</f>
        <v>13752894.349024201</v>
      </c>
      <c r="F170" s="147">
        <f>'4'!G56</f>
        <v>18337195.616102643</v>
      </c>
    </row>
    <row r="171" spans="1:6">
      <c r="A171" s="162" t="str">
        <f>'4'!A57</f>
        <v>NOPLAT</v>
      </c>
      <c r="B171" s="147">
        <f>'4'!C57</f>
        <v>11645820</v>
      </c>
      <c r="C171" s="147">
        <f>'4'!D57</f>
        <v>17500374.090000059</v>
      </c>
      <c r="D171" s="147">
        <f>'4'!E57</f>
        <v>23649645.930142827</v>
      </c>
      <c r="E171" s="147">
        <f>'4'!F57</f>
        <v>30611280.970408708</v>
      </c>
      <c r="F171" s="147">
        <f>'4'!G57</f>
        <v>40815048.306809112</v>
      </c>
    </row>
    <row r="172" spans="1:6">
      <c r="A172" s="162" t="str">
        <f>'4'!A58</f>
        <v>Inversión Neta</v>
      </c>
      <c r="B172" s="147">
        <f>'4'!C58</f>
        <v>1641524.4277130142</v>
      </c>
      <c r="C172" s="147">
        <f>'4'!D58</f>
        <v>-1775926.9231339023</v>
      </c>
      <c r="D172" s="147">
        <f>'4'!E58</f>
        <v>-2396866.8945672661</v>
      </c>
      <c r="E172" s="147">
        <f>'4'!F58</f>
        <v>-2610040.3426093683</v>
      </c>
      <c r="F172" s="147">
        <f>'4'!G58</f>
        <v>8938265.0149179175</v>
      </c>
    </row>
    <row r="173" spans="1:6" ht="25.5" thickBot="1">
      <c r="A173" s="162" t="str">
        <f>'4'!A59</f>
        <v>Flujo de Caja Libre del periódo</v>
      </c>
      <c r="B173" s="184">
        <f>'4'!C59</f>
        <v>13287344.427713014</v>
      </c>
      <c r="C173" s="184">
        <f>'4'!D59</f>
        <v>15724447.166866157</v>
      </c>
      <c r="D173" s="184">
        <f>'4'!E59</f>
        <v>21252779.035575561</v>
      </c>
      <c r="E173" s="184">
        <f>'4'!F59</f>
        <v>28001240.62779934</v>
      </c>
      <c r="F173" s="184">
        <f>'4'!G59</f>
        <v>49753313.32172703</v>
      </c>
    </row>
    <row r="174" spans="1:6" ht="15.75" thickTop="1"/>
    <row r="178" spans="1:6">
      <c r="B178" s="200" t="str">
        <f>B167</f>
        <v>GOALGESTOR</v>
      </c>
    </row>
    <row r="179" spans="1:6">
      <c r="B179" s="200"/>
    </row>
    <row r="180" spans="1:6">
      <c r="A180" s="159" t="s">
        <v>169</v>
      </c>
    </row>
    <row r="181" spans="1:6">
      <c r="A181" s="157" t="str">
        <f>'5'!C6</f>
        <v>INVERSIÓN AÑO 0</v>
      </c>
      <c r="B181" s="157">
        <f>'5'!D6</f>
        <v>2020</v>
      </c>
      <c r="C181" s="157">
        <f>'5'!E6</f>
        <v>2021</v>
      </c>
      <c r="D181" s="157">
        <f>'5'!F6</f>
        <v>2022</v>
      </c>
      <c r="E181" s="157">
        <f>'5'!G6</f>
        <v>2023</v>
      </c>
      <c r="F181" s="157">
        <f>'5'!H6</f>
        <v>2024</v>
      </c>
    </row>
    <row r="182" spans="1:6">
      <c r="A182" s="147">
        <f>'5'!C7</f>
        <v>-56000000</v>
      </c>
      <c r="B182" s="147">
        <f>'5'!D7</f>
        <v>13287344.427713014</v>
      </c>
      <c r="C182" s="147">
        <f>'5'!E7</f>
        <v>15724447.166866157</v>
      </c>
      <c r="D182" s="147">
        <f>'5'!F7</f>
        <v>21252779.035575561</v>
      </c>
      <c r="E182" s="147">
        <f>'5'!G7</f>
        <v>28001240.62779934</v>
      </c>
      <c r="F182" s="147">
        <f>'5'!H7</f>
        <v>49753313.32172703</v>
      </c>
    </row>
    <row r="183" spans="1:6">
      <c r="A183" s="146"/>
      <c r="B183" s="146"/>
      <c r="C183" s="146"/>
      <c r="D183" s="146"/>
      <c r="E183" s="146"/>
      <c r="F183" s="146"/>
    </row>
    <row r="184" spans="1:6">
      <c r="A184" s="146"/>
      <c r="B184" s="146"/>
      <c r="C184" s="146"/>
      <c r="D184" s="146"/>
      <c r="E184" s="146"/>
      <c r="F184" s="146"/>
    </row>
    <row r="185" spans="1:6">
      <c r="A185" s="146" t="str">
        <f>'5'!B9</f>
        <v>VALOR PRESENTE NETO DEL PROYECTO =</v>
      </c>
      <c r="B185" s="146"/>
      <c r="C185" s="146"/>
      <c r="D185" s="187">
        <f>'5'!D9</f>
        <v>9825024.5131807365</v>
      </c>
      <c r="E185" s="146"/>
      <c r="F185" s="146"/>
    </row>
    <row r="186" spans="1:6">
      <c r="A186" s="146"/>
      <c r="B186" s="146"/>
      <c r="C186" s="146"/>
      <c r="D186" s="146"/>
      <c r="E186" s="146"/>
      <c r="F186" s="146"/>
    </row>
    <row r="187" spans="1:6">
      <c r="A187" s="146" t="str">
        <f>'5'!B10</f>
        <v>TASA INTERNA DE RETORNO =</v>
      </c>
      <c r="B187" s="146"/>
      <c r="C187" s="146"/>
      <c r="D187" s="188">
        <f>'5'!D10</f>
        <v>0.27291815894002558</v>
      </c>
      <c r="E187" s="146"/>
      <c r="F187" s="146"/>
    </row>
    <row r="189" spans="1:6" ht="45.75">
      <c r="A189" s="189" t="str">
        <f>'5'!B13</f>
        <v>NOMBRE DEL PRODUCTO O SERVICIO</v>
      </c>
      <c r="B189" s="189" t="str">
        <f>'5'!C13</f>
        <v>MARGEN DE CONTRIBUCIÓN UNITARIO</v>
      </c>
      <c r="C189" s="189" t="str">
        <f>'5'!D13</f>
        <v>PARTICIPACIÓN % EN VENTAS TOTALES</v>
      </c>
      <c r="D189" s="189" t="str">
        <f>'5'!E13</f>
        <v>MARGEN DE CONTRIBUCIÓN PONDERADO</v>
      </c>
      <c r="E189" s="189" t="str">
        <f>'5'!F13</f>
        <v>PTO EQUILIBRIO POR REFERENCIA DE PDTO O SERVICIO</v>
      </c>
      <c r="F189" s="140"/>
    </row>
    <row r="190" spans="1:6" ht="90">
      <c r="A190" s="140" t="str">
        <f>'5'!B14</f>
        <v xml:space="preserve">	Venta de paquetes virtuales de asesoría en sistemas de gestión</v>
      </c>
      <c r="B190" s="190">
        <f>'5'!C14</f>
        <v>1100000</v>
      </c>
      <c r="C190">
        <f>'5'!D14</f>
        <v>0.28436018957345971</v>
      </c>
      <c r="D190" s="190">
        <f>'5'!E14</f>
        <v>312796.20853080566</v>
      </c>
      <c r="E190" s="191">
        <f>'5'!F14</f>
        <v>36.865052691540882</v>
      </c>
    </row>
    <row r="191" spans="1:6" ht="60">
      <c r="A191" s="140" t="str">
        <f>'5'!B15</f>
        <v>Venta de documentación de sistemas de gestión</v>
      </c>
      <c r="B191" s="190">
        <f>'5'!C15</f>
        <v>2100000</v>
      </c>
      <c r="C191">
        <f>'5'!D15</f>
        <v>0.56872037914691942</v>
      </c>
      <c r="D191" s="190">
        <f>'5'!E15</f>
        <v>1194312.7962085307</v>
      </c>
      <c r="E191" s="191">
        <f>'5'!F15</f>
        <v>73.730105383081764</v>
      </c>
    </row>
    <row r="192" spans="1:6" ht="60">
      <c r="A192" s="140" t="str">
        <f>'5'!B16</f>
        <v>Alquiler de plataforma de sistemas de gestión</v>
      </c>
      <c r="B192" s="190">
        <f>'5'!C16</f>
        <v>600000</v>
      </c>
      <c r="C192">
        <f>'5'!D16</f>
        <v>0.12322274881516587</v>
      </c>
      <c r="D192" s="190">
        <f>'5'!E16</f>
        <v>73933.649289099529</v>
      </c>
      <c r="E192" s="191">
        <f>'5'!F16</f>
        <v>15.97485616633438</v>
      </c>
    </row>
    <row r="193" spans="1:6">
      <c r="A193" s="140" t="str">
        <f>'5'!B17</f>
        <v>Franquicia</v>
      </c>
      <c r="B193" s="190">
        <f>'5'!C17</f>
        <v>3500000</v>
      </c>
      <c r="C193">
        <f>'5'!D17</f>
        <v>2.3696682464454975E-2</v>
      </c>
      <c r="D193" s="190">
        <f>'5'!E17</f>
        <v>82938.388625592415</v>
      </c>
      <c r="E193" s="191">
        <f>'5'!F17</f>
        <v>3.072087724295073</v>
      </c>
    </row>
    <row r="194" spans="1:6">
      <c r="A194" s="140">
        <f>'5'!B18</f>
        <v>0</v>
      </c>
      <c r="B194" s="190">
        <f>'5'!C18</f>
        <v>0</v>
      </c>
      <c r="C194">
        <f>'5'!D18</f>
        <v>0</v>
      </c>
      <c r="D194" s="190">
        <f>'5'!E18</f>
        <v>0</v>
      </c>
      <c r="E194" s="191">
        <f>'5'!F18</f>
        <v>0</v>
      </c>
    </row>
    <row r="195" spans="1:6">
      <c r="A195" s="140">
        <f>'5'!B19</f>
        <v>0</v>
      </c>
      <c r="B195" s="190">
        <f>'5'!C19</f>
        <v>0</v>
      </c>
      <c r="C195">
        <f>'5'!D19</f>
        <v>0</v>
      </c>
      <c r="D195" s="190">
        <f>'5'!E19</f>
        <v>0</v>
      </c>
      <c r="E195" s="191">
        <f>'5'!F19</f>
        <v>0</v>
      </c>
    </row>
    <row r="196" spans="1:6">
      <c r="A196" s="140">
        <f>'5'!B20</f>
        <v>0</v>
      </c>
      <c r="B196" s="190">
        <f>'5'!C20</f>
        <v>0</v>
      </c>
      <c r="C196">
        <f>'5'!D20</f>
        <v>0</v>
      </c>
      <c r="D196" s="190">
        <f>'5'!E20</f>
        <v>0</v>
      </c>
      <c r="E196" s="191">
        <f>'5'!F20</f>
        <v>0</v>
      </c>
    </row>
    <row r="197" spans="1:6">
      <c r="A197" s="140">
        <f>'5'!B21</f>
        <v>0</v>
      </c>
      <c r="B197" s="190">
        <f>'5'!C21</f>
        <v>0</v>
      </c>
      <c r="C197">
        <f>'5'!D21</f>
        <v>0</v>
      </c>
      <c r="D197" s="190">
        <f>'5'!E21</f>
        <v>0</v>
      </c>
      <c r="E197" s="191">
        <f>'5'!F21</f>
        <v>0</v>
      </c>
    </row>
    <row r="198" spans="1:6">
      <c r="A198" s="140">
        <f>'5'!B22</f>
        <v>0</v>
      </c>
      <c r="B198" s="190">
        <f>'5'!C22</f>
        <v>0</v>
      </c>
      <c r="C198">
        <f>'5'!D22</f>
        <v>0</v>
      </c>
      <c r="D198" s="190">
        <f>'5'!E22</f>
        <v>0</v>
      </c>
      <c r="E198" s="191">
        <f>'5'!F22</f>
        <v>0</v>
      </c>
    </row>
    <row r="199" spans="1:6">
      <c r="A199" s="140">
        <f>'5'!B23</f>
        <v>0</v>
      </c>
      <c r="B199" s="190">
        <f>'5'!C23</f>
        <v>0</v>
      </c>
      <c r="C199">
        <f>'5'!D23</f>
        <v>0</v>
      </c>
      <c r="D199" s="190">
        <f>'5'!E23</f>
        <v>0</v>
      </c>
      <c r="E199" s="191">
        <f>'5'!F23</f>
        <v>0</v>
      </c>
    </row>
    <row r="200" spans="1:6">
      <c r="A200" s="140"/>
      <c r="B200" s="190"/>
      <c r="D200" s="190"/>
      <c r="E200" s="192">
        <f>'5'!F24</f>
        <v>129.6421019652521</v>
      </c>
    </row>
    <row r="201" spans="1:6">
      <c r="A201" s="140"/>
      <c r="B201" s="190"/>
      <c r="D201" s="190"/>
      <c r="E201" s="191"/>
    </row>
    <row r="202" spans="1:6">
      <c r="A202" s="274" t="str">
        <f>'5'!B26</f>
        <v>TOTAL MARGEN DE CONTRIBUCIÓN PROMEDIO PONDERADO  =</v>
      </c>
      <c r="B202" s="274"/>
      <c r="C202" s="274"/>
      <c r="D202" s="190">
        <f>'5'!E26</f>
        <v>1663981.0426540282</v>
      </c>
    </row>
    <row r="203" spans="1:6">
      <c r="A203" s="275" t="str">
        <f>'5'!B27</f>
        <v>PUNTO DE EQULIBRIO = COSTOS Y GTOS FIJO/MCPP    =</v>
      </c>
      <c r="B203" s="275"/>
      <c r="C203" s="275"/>
      <c r="D203" s="192">
        <f>'5'!E27</f>
        <v>129.6421019652521</v>
      </c>
      <c r="E203" t="str">
        <f>'5'!F27</f>
        <v>UNIDADES</v>
      </c>
    </row>
    <row r="204" spans="1:6">
      <c r="A204" s="195">
        <f>'5'!B31</f>
        <v>0</v>
      </c>
      <c r="B204" s="195" t="str">
        <f>'5'!C31</f>
        <v>COSTOS FIJO</v>
      </c>
      <c r="C204" s="195" t="str">
        <f>'5'!D31</f>
        <v>INGRESOS</v>
      </c>
      <c r="D204" s="195" t="str">
        <f>'5'!E31</f>
        <v>COSTO VAR</v>
      </c>
      <c r="E204" s="195" t="str">
        <f>'5'!F31</f>
        <v>COSTO TOTAL</v>
      </c>
      <c r="F204" s="195"/>
    </row>
    <row r="205" spans="1:6">
      <c r="A205" s="196">
        <f>'5'!B32</f>
        <v>0</v>
      </c>
      <c r="B205" s="197">
        <f>'5'!C32</f>
        <v>215722000</v>
      </c>
      <c r="C205" s="197">
        <f>'5'!D32</f>
        <v>0</v>
      </c>
      <c r="D205" s="197">
        <f>'5'!E32</f>
        <v>0</v>
      </c>
      <c r="E205" s="197">
        <f>'5'!F32</f>
        <v>215722000</v>
      </c>
      <c r="F205" s="195"/>
    </row>
    <row r="206" spans="1:6">
      <c r="A206" s="196">
        <f>'5'!B33</f>
        <v>129.6421019652521</v>
      </c>
      <c r="B206" s="197">
        <f>'5'!C33</f>
        <v>215722000</v>
      </c>
      <c r="C206" s="197">
        <f>'5'!D33</f>
        <v>396790850.46995169</v>
      </c>
      <c r="D206" s="197">
        <f>'5'!E33</f>
        <v>181068850.46995166</v>
      </c>
      <c r="E206" s="197">
        <f>'5'!F33</f>
        <v>396790850.46995163</v>
      </c>
      <c r="F206" s="195"/>
    </row>
    <row r="207" spans="1:6">
      <c r="A207" s="196">
        <f>'5'!B34</f>
        <v>259.28420393050419</v>
      </c>
      <c r="B207" s="197">
        <f>'5'!C34</f>
        <v>215722000</v>
      </c>
      <c r="C207" s="197">
        <f>'5'!D34</f>
        <v>793581700.93990338</v>
      </c>
      <c r="D207" s="197">
        <f>'5'!E34</f>
        <v>362137700.93990332</v>
      </c>
      <c r="E207" s="197">
        <f>'5'!F34</f>
        <v>577859700.93990326</v>
      </c>
      <c r="F207" s="195"/>
    </row>
  </sheetData>
  <sheetProtection algorithmName="SHA-512" hashValue="ui1M8PY89hC1Lp1x6A5eDrS/JpBcdknO8Mxv7iiC+peoKwX53I5D7OMeNQrM5foaR11Mcu7koUbfME6uOJkX/g==" saltValue="GXxjWJVvp6JdvR+ephae0g==" spinCount="100000" sheet="1" objects="1" scenarios="1" formatCells="0" formatColumns="0" formatRows="0" insertColumns="0" insertRows="0" deleteColumns="0" deleteRows="0"/>
  <customSheetViews>
    <customSheetView guid="{D031F759-B892-43F4-943A-9CD4A624A3F4}" showPageBreaks="1" view="pageLayout">
      <selection activeCell="B1" sqref="B1:B3"/>
    </customSheetView>
  </customSheetViews>
  <mergeCells count="19">
    <mergeCell ref="A144:F144"/>
    <mergeCell ref="A149:F149"/>
    <mergeCell ref="A168:F168"/>
    <mergeCell ref="A202:C202"/>
    <mergeCell ref="A203:C203"/>
    <mergeCell ref="A104:B104"/>
    <mergeCell ref="A114:E114"/>
    <mergeCell ref="A137:F137"/>
    <mergeCell ref="A94:B94"/>
    <mergeCell ref="A95:B95"/>
    <mergeCell ref="A97:B97"/>
    <mergeCell ref="A98:B98"/>
    <mergeCell ref="A99:B99"/>
    <mergeCell ref="A6:C6"/>
    <mergeCell ref="A92:B92"/>
    <mergeCell ref="D93:F94"/>
    <mergeCell ref="A36:F36"/>
    <mergeCell ref="A38:E38"/>
    <mergeCell ref="A20:D21"/>
  </mergeCells>
  <pageMargins left="0.39370078740157483" right="0.39370078740157483" top="0.57999999999999996" bottom="0.78740157480314965" header="0.31496062992125984" footer="0.31496062992125984"/>
  <pageSetup paperSize="9" orientation="portrait" r:id="rId1"/>
  <headerFooter>
    <oddHeader>&amp;C&amp;"Aharoni,Normal"&amp;12INFORMES DE LA SIMULACIÓN FINANCIERA.</oddHeader>
    <oddFooter xml:space="preserve">&amp;C&amp;"Aharoni,Normal"&amp;9Simulador creado por: Magíster. Mauricio Reyes Giraldo.
Docente de Tiempo completo Universidad EAN - FEAV
E-mail: dmreyes@ean.edu.co </oddFooter>
  </headerFooter>
  <drawing r:id="rId2"/>
</worksheet>
</file>

<file path=xl/worksheets/sheet8.xml><?xml version="1.0" encoding="utf-8"?>
<worksheet xmlns="http://schemas.openxmlformats.org/spreadsheetml/2006/main" xmlns:r="http://schemas.openxmlformats.org/officeDocument/2006/relationships">
  <dimension ref="A1:G37"/>
  <sheetViews>
    <sheetView topLeftCell="A13" workbookViewId="0">
      <selection activeCell="A15" sqref="A15:G15"/>
    </sheetView>
  </sheetViews>
  <sheetFormatPr baseColWidth="10" defaultRowHeight="15"/>
  <cols>
    <col min="1" max="16384" width="11.42578125" style="277"/>
  </cols>
  <sheetData>
    <row r="1" spans="1:7">
      <c r="A1" s="276" t="s">
        <v>188</v>
      </c>
      <c r="B1" s="276"/>
      <c r="C1" s="276"/>
      <c r="D1" s="276"/>
      <c r="E1" s="276"/>
      <c r="F1" s="276"/>
      <c r="G1" s="276"/>
    </row>
    <row r="2" spans="1:7">
      <c r="A2" s="278" t="s">
        <v>189</v>
      </c>
      <c r="B2" s="279">
        <v>2019</v>
      </c>
      <c r="C2" s="278"/>
      <c r="D2" s="278" t="s">
        <v>190</v>
      </c>
      <c r="E2" s="280" t="s">
        <v>191</v>
      </c>
      <c r="F2" s="280"/>
      <c r="G2" s="280"/>
    </row>
    <row r="3" spans="1:7">
      <c r="A3" s="281"/>
      <c r="B3" s="281"/>
      <c r="C3" s="281"/>
      <c r="D3" s="281"/>
      <c r="E3" s="281"/>
      <c r="F3" s="281"/>
      <c r="G3" s="281"/>
    </row>
    <row r="4" spans="1:7">
      <c r="A4" s="282" t="s">
        <v>192</v>
      </c>
      <c r="B4" s="282"/>
      <c r="C4" s="282"/>
      <c r="D4" s="282"/>
      <c r="E4" s="282"/>
      <c r="F4" s="282"/>
      <c r="G4" s="282"/>
    </row>
    <row r="5" spans="1:7">
      <c r="A5" s="282"/>
      <c r="B5" s="282"/>
      <c r="C5" s="282"/>
      <c r="D5" s="282"/>
      <c r="E5" s="282"/>
      <c r="F5" s="282"/>
      <c r="G5" s="282"/>
    </row>
    <row r="6" spans="1:7">
      <c r="A6" s="282"/>
      <c r="B6" s="282"/>
      <c r="C6" s="282"/>
      <c r="D6" s="282"/>
      <c r="E6" s="282"/>
      <c r="F6" s="282"/>
      <c r="G6" s="282"/>
    </row>
    <row r="7" spans="1:7">
      <c r="A7" s="281"/>
      <c r="B7" s="281"/>
      <c r="C7" s="281"/>
      <c r="D7" s="281"/>
      <c r="E7" s="281"/>
      <c r="F7" s="281"/>
      <c r="G7" s="281"/>
    </row>
    <row r="8" spans="1:7">
      <c r="A8" s="283" t="s">
        <v>193</v>
      </c>
      <c r="B8" s="283"/>
      <c r="C8" s="283"/>
      <c r="D8" s="283"/>
      <c r="E8" s="283"/>
      <c r="F8" s="284" t="s">
        <v>194</v>
      </c>
      <c r="G8" s="284" t="s">
        <v>195</v>
      </c>
    </row>
    <row r="9" spans="1:7">
      <c r="A9" s="282" t="s">
        <v>196</v>
      </c>
      <c r="B9" s="282"/>
      <c r="C9" s="282"/>
      <c r="D9" s="282"/>
      <c r="E9" s="282"/>
      <c r="F9" s="285"/>
      <c r="G9" s="281"/>
    </row>
    <row r="10" spans="1:7">
      <c r="A10" s="282"/>
      <c r="B10" s="282"/>
      <c r="C10" s="282"/>
      <c r="D10" s="282"/>
      <c r="E10" s="282"/>
      <c r="F10" s="285"/>
      <c r="G10" s="281"/>
    </row>
    <row r="11" spans="1:7">
      <c r="A11" s="281"/>
      <c r="B11" s="281"/>
      <c r="C11" s="281"/>
      <c r="D11" s="281"/>
      <c r="E11" s="281"/>
      <c r="F11" s="281"/>
      <c r="G11" s="281"/>
    </row>
    <row r="12" spans="1:7">
      <c r="A12" s="283" t="s">
        <v>197</v>
      </c>
      <c r="B12" s="283"/>
      <c r="C12" s="283"/>
      <c r="D12" s="283"/>
      <c r="E12" s="283"/>
      <c r="F12" s="284" t="s">
        <v>194</v>
      </c>
      <c r="G12" s="284" t="s">
        <v>195</v>
      </c>
    </row>
    <row r="13" spans="1:7">
      <c r="A13" s="282" t="s">
        <v>198</v>
      </c>
      <c r="B13" s="282"/>
      <c r="C13" s="282"/>
      <c r="D13" s="282"/>
      <c r="E13" s="282"/>
      <c r="F13" s="285"/>
      <c r="G13" s="281"/>
    </row>
    <row r="14" spans="1:7">
      <c r="A14" s="282"/>
      <c r="B14" s="282"/>
      <c r="C14" s="282"/>
      <c r="D14" s="282"/>
      <c r="E14" s="282"/>
      <c r="F14" s="285"/>
      <c r="G14" s="281"/>
    </row>
    <row r="15" spans="1:7">
      <c r="A15" s="281"/>
      <c r="B15" s="281"/>
      <c r="C15" s="281"/>
      <c r="D15" s="281"/>
      <c r="E15" s="281"/>
      <c r="F15" s="281"/>
      <c r="G15" s="281"/>
    </row>
    <row r="16" spans="1:7">
      <c r="A16" s="283" t="s">
        <v>199</v>
      </c>
      <c r="B16" s="283"/>
      <c r="C16" s="283"/>
      <c r="D16" s="283"/>
      <c r="E16" s="283"/>
      <c r="F16" s="284" t="s">
        <v>194</v>
      </c>
      <c r="G16" s="284" t="s">
        <v>195</v>
      </c>
    </row>
    <row r="17" spans="1:7">
      <c r="A17" s="282" t="s">
        <v>200</v>
      </c>
      <c r="B17" s="282"/>
      <c r="C17" s="282"/>
      <c r="D17" s="282"/>
      <c r="E17" s="282"/>
      <c r="F17" s="285"/>
      <c r="G17" s="281"/>
    </row>
    <row r="18" spans="1:7">
      <c r="A18" s="282"/>
      <c r="B18" s="282"/>
      <c r="C18" s="282"/>
      <c r="D18" s="282"/>
      <c r="E18" s="282"/>
      <c r="F18" s="285"/>
      <c r="G18" s="281"/>
    </row>
    <row r="19" spans="1:7">
      <c r="A19" s="281"/>
      <c r="B19" s="281"/>
      <c r="C19" s="281"/>
      <c r="D19" s="281"/>
      <c r="E19" s="281"/>
      <c r="F19" s="281"/>
      <c r="G19" s="281"/>
    </row>
    <row r="20" spans="1:7">
      <c r="A20" s="283" t="s">
        <v>201</v>
      </c>
      <c r="B20" s="283"/>
      <c r="C20" s="283"/>
      <c r="D20" s="283"/>
      <c r="E20" s="283"/>
      <c r="F20" s="284" t="s">
        <v>194</v>
      </c>
      <c r="G20" s="284" t="s">
        <v>195</v>
      </c>
    </row>
    <row r="21" spans="1:7">
      <c r="A21" s="282" t="s">
        <v>202</v>
      </c>
      <c r="B21" s="282"/>
      <c r="C21" s="282"/>
      <c r="D21" s="282"/>
      <c r="E21" s="282"/>
      <c r="F21" s="285"/>
      <c r="G21" s="281"/>
    </row>
    <row r="22" spans="1:7">
      <c r="A22" s="282"/>
      <c r="B22" s="282"/>
      <c r="C22" s="282"/>
      <c r="D22" s="282"/>
      <c r="E22" s="282"/>
      <c r="F22" s="285"/>
      <c r="G22" s="281"/>
    </row>
    <row r="23" spans="1:7">
      <c r="A23" s="281"/>
      <c r="B23" s="281"/>
      <c r="C23" s="281"/>
      <c r="D23" s="281"/>
      <c r="E23" s="281"/>
      <c r="F23" s="281"/>
      <c r="G23" s="281"/>
    </row>
    <row r="24" spans="1:7">
      <c r="A24" s="283" t="s">
        <v>203</v>
      </c>
      <c r="B24" s="283"/>
      <c r="C24" s="283"/>
      <c r="D24" s="283"/>
      <c r="E24" s="283"/>
      <c r="F24" s="281" t="s">
        <v>204</v>
      </c>
      <c r="G24" s="281"/>
    </row>
    <row r="25" spans="1:7" ht="15" customHeight="1">
      <c r="A25" s="282" t="s">
        <v>205</v>
      </c>
      <c r="B25" s="282"/>
      <c r="C25" s="282"/>
      <c r="D25" s="282"/>
      <c r="E25" s="282"/>
      <c r="F25" s="285" t="s">
        <v>206</v>
      </c>
      <c r="G25" s="285"/>
    </row>
    <row r="26" spans="1:7">
      <c r="A26" s="282"/>
      <c r="B26" s="282"/>
      <c r="C26" s="282"/>
      <c r="D26" s="282"/>
      <c r="E26" s="282"/>
      <c r="F26" s="285" t="s">
        <v>207</v>
      </c>
      <c r="G26" s="285"/>
    </row>
    <row r="27" spans="1:7" ht="15" customHeight="1">
      <c r="A27" s="282"/>
      <c r="B27" s="282"/>
      <c r="C27" s="282"/>
      <c r="D27" s="282"/>
      <c r="E27" s="282"/>
      <c r="F27" s="285" t="s">
        <v>208</v>
      </c>
      <c r="G27" s="285"/>
    </row>
    <row r="28" spans="1:7">
      <c r="A28" s="282"/>
      <c r="B28" s="282"/>
      <c r="C28" s="282"/>
      <c r="D28" s="282"/>
      <c r="E28" s="282"/>
      <c r="F28" s="285" t="s">
        <v>209</v>
      </c>
      <c r="G28" s="285"/>
    </row>
    <row r="29" spans="1:7">
      <c r="A29" s="282"/>
      <c r="B29" s="282"/>
      <c r="C29" s="282"/>
      <c r="D29" s="282"/>
      <c r="E29" s="282"/>
      <c r="F29" s="285" t="s">
        <v>210</v>
      </c>
      <c r="G29" s="285"/>
    </row>
    <row r="30" spans="1:7">
      <c r="A30" s="281"/>
      <c r="B30" s="281"/>
      <c r="C30" s="281"/>
      <c r="D30" s="281"/>
      <c r="E30" s="281"/>
      <c r="F30" s="281"/>
      <c r="G30" s="281"/>
    </row>
    <row r="31" spans="1:7">
      <c r="A31" s="283" t="s">
        <v>211</v>
      </c>
      <c r="B31" s="283"/>
      <c r="C31" s="283"/>
      <c r="D31" s="283"/>
      <c r="E31" s="283"/>
      <c r="F31" s="281" t="s">
        <v>212</v>
      </c>
      <c r="G31" s="281"/>
    </row>
    <row r="32" spans="1:7">
      <c r="A32" s="282" t="s">
        <v>213</v>
      </c>
      <c r="B32" s="282"/>
      <c r="C32" s="282"/>
      <c r="D32" s="282"/>
      <c r="E32" s="282"/>
      <c r="F32" s="286" t="s">
        <v>214</v>
      </c>
      <c r="G32" s="286"/>
    </row>
    <row r="33" spans="1:7">
      <c r="A33" s="282"/>
      <c r="B33" s="282"/>
      <c r="C33" s="282"/>
      <c r="D33" s="282"/>
      <c r="E33" s="282"/>
      <c r="F33" s="286" t="s">
        <v>215</v>
      </c>
      <c r="G33" s="286"/>
    </row>
    <row r="34" spans="1:7">
      <c r="A34" s="282"/>
      <c r="B34" s="282"/>
      <c r="C34" s="282"/>
      <c r="D34" s="282"/>
      <c r="E34" s="282"/>
      <c r="F34" s="286" t="s">
        <v>216</v>
      </c>
      <c r="G34" s="286"/>
    </row>
    <row r="35" spans="1:7">
      <c r="A35" s="282"/>
      <c r="B35" s="282"/>
      <c r="C35" s="282"/>
      <c r="D35" s="282"/>
      <c r="E35" s="282"/>
      <c r="F35" s="286" t="s">
        <v>217</v>
      </c>
      <c r="G35" s="286"/>
    </row>
    <row r="36" spans="1:7">
      <c r="A36" s="282"/>
      <c r="B36" s="282"/>
      <c r="C36" s="282"/>
      <c r="D36" s="282"/>
      <c r="E36" s="282"/>
      <c r="F36" s="286" t="s">
        <v>218</v>
      </c>
      <c r="G36" s="286"/>
    </row>
    <row r="37" spans="1:7">
      <c r="A37" s="281"/>
      <c r="B37" s="281"/>
      <c r="C37" s="281"/>
      <c r="D37" s="281"/>
      <c r="E37" s="281"/>
      <c r="F37" s="281"/>
      <c r="G37" s="281"/>
    </row>
  </sheetData>
  <mergeCells count="43">
    <mergeCell ref="A37:G37"/>
    <mergeCell ref="A30:G30"/>
    <mergeCell ref="A31:E31"/>
    <mergeCell ref="F31:G31"/>
    <mergeCell ref="A32:E36"/>
    <mergeCell ref="F32:G32"/>
    <mergeCell ref="F33:G33"/>
    <mergeCell ref="F34:G34"/>
    <mergeCell ref="F35:G35"/>
    <mergeCell ref="F36:G36"/>
    <mergeCell ref="A25:E29"/>
    <mergeCell ref="F25:G25"/>
    <mergeCell ref="F26:G26"/>
    <mergeCell ref="F27:G27"/>
    <mergeCell ref="F28:G28"/>
    <mergeCell ref="F29:G29"/>
    <mergeCell ref="A20:E20"/>
    <mergeCell ref="A21:E22"/>
    <mergeCell ref="F21:F22"/>
    <mergeCell ref="G21:G22"/>
    <mergeCell ref="A23:G23"/>
    <mergeCell ref="A24:E24"/>
    <mergeCell ref="F24:G24"/>
    <mergeCell ref="A15:G15"/>
    <mergeCell ref="A16:E16"/>
    <mergeCell ref="A17:E18"/>
    <mergeCell ref="F17:F18"/>
    <mergeCell ref="G17:G18"/>
    <mergeCell ref="A19:G19"/>
    <mergeCell ref="A9:E10"/>
    <mergeCell ref="F9:F10"/>
    <mergeCell ref="G9:G10"/>
    <mergeCell ref="A11:G11"/>
    <mergeCell ref="A12:E12"/>
    <mergeCell ref="A13:E14"/>
    <mergeCell ref="F13:F14"/>
    <mergeCell ref="G13:G14"/>
    <mergeCell ref="A1:G1"/>
    <mergeCell ref="E2:G2"/>
    <mergeCell ref="A3:G3"/>
    <mergeCell ref="A4:G6"/>
    <mergeCell ref="A7:G7"/>
    <mergeCell ref="A8:E8"/>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S38"/>
  <sheetViews>
    <sheetView tabSelected="1" topLeftCell="I1" workbookViewId="0">
      <selection activeCell="B35" sqref="B35:S35"/>
    </sheetView>
  </sheetViews>
  <sheetFormatPr baseColWidth="10" defaultRowHeight="15"/>
  <cols>
    <col min="1" max="1" width="11.42578125" style="287"/>
    <col min="2" max="9" width="9.7109375" customWidth="1"/>
    <col min="10" max="10" width="17.7109375" bestFit="1" customWidth="1"/>
    <col min="11" max="13" width="21.28515625" bestFit="1" customWidth="1"/>
    <col min="14" max="14" width="14.42578125" bestFit="1" customWidth="1"/>
    <col min="15" max="15" width="17.7109375" bestFit="1" customWidth="1"/>
    <col min="16" max="16" width="18.85546875" bestFit="1" customWidth="1"/>
    <col min="17" max="17" width="13.85546875" bestFit="1" customWidth="1"/>
    <col min="18" max="18" width="11.5703125" bestFit="1" customWidth="1"/>
    <col min="19" max="19" width="17.7109375" bestFit="1" customWidth="1"/>
  </cols>
  <sheetData>
    <row r="1" spans="1:19">
      <c r="B1" s="288" t="s">
        <v>193</v>
      </c>
      <c r="C1" s="288"/>
      <c r="D1" s="288" t="s">
        <v>197</v>
      </c>
      <c r="E1" s="288"/>
      <c r="F1" s="288" t="s">
        <v>199</v>
      </c>
      <c r="G1" s="288"/>
      <c r="H1" s="288" t="s">
        <v>201</v>
      </c>
      <c r="I1" s="288"/>
      <c r="J1" s="288" t="s">
        <v>203</v>
      </c>
      <c r="K1" s="288"/>
      <c r="L1" s="288"/>
      <c r="M1" s="288"/>
      <c r="N1" s="288"/>
      <c r="O1" s="288" t="s">
        <v>211</v>
      </c>
      <c r="P1" s="288"/>
      <c r="Q1" s="288"/>
      <c r="R1" s="288"/>
      <c r="S1" s="288"/>
    </row>
    <row r="2" spans="1:19" ht="15" customHeight="1">
      <c r="B2" s="289" t="s">
        <v>194</v>
      </c>
      <c r="C2" s="289" t="s">
        <v>195</v>
      </c>
      <c r="D2" s="289" t="s">
        <v>194</v>
      </c>
      <c r="E2" s="289" t="s">
        <v>195</v>
      </c>
      <c r="F2" s="289" t="s">
        <v>194</v>
      </c>
      <c r="G2" s="289" t="s">
        <v>195</v>
      </c>
      <c r="H2" s="289" t="s">
        <v>194</v>
      </c>
      <c r="I2" s="289" t="s">
        <v>195</v>
      </c>
      <c r="J2" s="290" t="s">
        <v>206</v>
      </c>
      <c r="K2" s="290" t="s">
        <v>207</v>
      </c>
      <c r="L2" s="290" t="s">
        <v>208</v>
      </c>
      <c r="M2" s="290" t="s">
        <v>209</v>
      </c>
      <c r="N2" s="290" t="s">
        <v>210</v>
      </c>
      <c r="O2" s="290" t="s">
        <v>214</v>
      </c>
      <c r="P2" s="290" t="s">
        <v>215</v>
      </c>
      <c r="Q2" s="290" t="s">
        <v>216</v>
      </c>
      <c r="R2" s="290" t="s">
        <v>217</v>
      </c>
      <c r="S2" s="290" t="s">
        <v>218</v>
      </c>
    </row>
    <row r="3" spans="1:19">
      <c r="A3" s="289" t="s">
        <v>219</v>
      </c>
      <c r="B3" s="289" t="s">
        <v>220</v>
      </c>
      <c r="C3" s="289"/>
      <c r="D3" s="289" t="s">
        <v>220</v>
      </c>
      <c r="E3" s="289"/>
      <c r="F3" s="289" t="s">
        <v>220</v>
      </c>
      <c r="G3" s="289"/>
      <c r="H3" s="289" t="s">
        <v>220</v>
      </c>
      <c r="I3" s="289"/>
      <c r="J3" s="289"/>
      <c r="K3" s="289" t="s">
        <v>220</v>
      </c>
      <c r="L3" s="289"/>
      <c r="M3" s="289"/>
      <c r="N3" s="289"/>
      <c r="O3" s="289" t="s">
        <v>220</v>
      </c>
      <c r="P3" s="289" t="s">
        <v>220</v>
      </c>
      <c r="Q3" s="289" t="s">
        <v>220</v>
      </c>
      <c r="R3" s="289" t="s">
        <v>220</v>
      </c>
      <c r="S3" s="289" t="s">
        <v>220</v>
      </c>
    </row>
    <row r="4" spans="1:19">
      <c r="A4" s="289" t="s">
        <v>221</v>
      </c>
      <c r="B4" s="289" t="s">
        <v>220</v>
      </c>
      <c r="C4" s="289"/>
      <c r="D4" s="289" t="s">
        <v>220</v>
      </c>
      <c r="E4" s="289"/>
      <c r="F4" s="289" t="s">
        <v>220</v>
      </c>
      <c r="G4" s="289"/>
      <c r="H4" s="289" t="s">
        <v>220</v>
      </c>
      <c r="I4" s="289"/>
      <c r="J4" s="289" t="s">
        <v>220</v>
      </c>
      <c r="K4" s="289"/>
      <c r="L4" s="289"/>
      <c r="M4" s="289"/>
      <c r="N4" s="289"/>
      <c r="O4" s="289" t="s">
        <v>220</v>
      </c>
      <c r="P4" s="289" t="s">
        <v>220</v>
      </c>
      <c r="Q4" s="289"/>
      <c r="R4" s="289" t="s">
        <v>220</v>
      </c>
      <c r="S4" s="289" t="s">
        <v>220</v>
      </c>
    </row>
    <row r="5" spans="1:19">
      <c r="A5" s="289" t="s">
        <v>222</v>
      </c>
      <c r="B5" s="289" t="s">
        <v>220</v>
      </c>
      <c r="C5" s="289"/>
      <c r="D5" s="289" t="s">
        <v>220</v>
      </c>
      <c r="E5" s="289"/>
      <c r="F5" s="289" t="s">
        <v>220</v>
      </c>
      <c r="G5" s="289"/>
      <c r="H5" s="289" t="s">
        <v>220</v>
      </c>
      <c r="I5" s="289"/>
      <c r="J5" s="289" t="s">
        <v>220</v>
      </c>
      <c r="K5" s="289"/>
      <c r="L5" s="289"/>
      <c r="M5" s="289"/>
      <c r="N5" s="289"/>
      <c r="O5" s="289" t="s">
        <v>220</v>
      </c>
      <c r="P5" s="289"/>
      <c r="Q5" s="289" t="s">
        <v>220</v>
      </c>
      <c r="R5" s="289" t="s">
        <v>220</v>
      </c>
      <c r="S5" s="289" t="s">
        <v>220</v>
      </c>
    </row>
    <row r="6" spans="1:19">
      <c r="A6" s="289" t="s">
        <v>223</v>
      </c>
      <c r="B6" s="289" t="s">
        <v>220</v>
      </c>
      <c r="C6" s="289"/>
      <c r="D6" s="289" t="s">
        <v>220</v>
      </c>
      <c r="E6" s="289"/>
      <c r="F6" s="289" t="s">
        <v>220</v>
      </c>
      <c r="G6" s="289"/>
      <c r="H6" s="289" t="s">
        <v>220</v>
      </c>
      <c r="I6" s="289"/>
      <c r="J6" s="289" t="s">
        <v>220</v>
      </c>
      <c r="K6" s="289"/>
      <c r="L6" s="289"/>
      <c r="M6" s="289"/>
      <c r="N6" s="289"/>
      <c r="O6" s="289" t="s">
        <v>220</v>
      </c>
      <c r="P6" s="289"/>
      <c r="Q6" s="289" t="s">
        <v>220</v>
      </c>
      <c r="R6" s="289" t="s">
        <v>220</v>
      </c>
      <c r="S6" s="289" t="s">
        <v>220</v>
      </c>
    </row>
    <row r="7" spans="1:19">
      <c r="A7" s="289" t="s">
        <v>224</v>
      </c>
      <c r="B7" s="289" t="s">
        <v>220</v>
      </c>
      <c r="C7" s="289"/>
      <c r="D7" s="289" t="s">
        <v>220</v>
      </c>
      <c r="E7" s="289"/>
      <c r="F7" s="289" t="s">
        <v>220</v>
      </c>
      <c r="G7" s="289"/>
      <c r="H7" s="289" t="s">
        <v>220</v>
      </c>
      <c r="I7" s="289"/>
      <c r="J7" s="289"/>
      <c r="K7" s="289" t="s">
        <v>220</v>
      </c>
      <c r="L7" s="289"/>
      <c r="M7" s="289"/>
      <c r="N7" s="289"/>
      <c r="O7" s="289" t="s">
        <v>220</v>
      </c>
      <c r="P7" s="289" t="s">
        <v>220</v>
      </c>
      <c r="Q7" s="289" t="s">
        <v>220</v>
      </c>
      <c r="R7" s="289" t="s">
        <v>220</v>
      </c>
      <c r="S7" s="289" t="s">
        <v>220</v>
      </c>
    </row>
    <row r="8" spans="1:19">
      <c r="A8" s="289" t="s">
        <v>225</v>
      </c>
      <c r="B8" s="289" t="s">
        <v>220</v>
      </c>
      <c r="C8" s="289"/>
      <c r="D8" s="289" t="s">
        <v>220</v>
      </c>
      <c r="E8" s="289"/>
      <c r="F8" s="289" t="s">
        <v>220</v>
      </c>
      <c r="G8" s="289"/>
      <c r="H8" s="289" t="s">
        <v>220</v>
      </c>
      <c r="I8" s="289"/>
      <c r="J8" s="289"/>
      <c r="K8" s="289" t="s">
        <v>220</v>
      </c>
      <c r="L8" s="289"/>
      <c r="M8" s="289"/>
      <c r="N8" s="289"/>
      <c r="O8" s="289" t="s">
        <v>220</v>
      </c>
      <c r="P8" s="289" t="s">
        <v>220</v>
      </c>
      <c r="Q8" s="289" t="s">
        <v>220</v>
      </c>
      <c r="R8" s="289" t="s">
        <v>220</v>
      </c>
      <c r="S8" s="289" t="s">
        <v>220</v>
      </c>
    </row>
    <row r="9" spans="1:19">
      <c r="A9" s="289" t="s">
        <v>226</v>
      </c>
      <c r="B9" s="289" t="s">
        <v>220</v>
      </c>
      <c r="C9" s="289"/>
      <c r="D9" s="289" t="s">
        <v>220</v>
      </c>
      <c r="E9" s="289"/>
      <c r="F9" s="289" t="s">
        <v>220</v>
      </c>
      <c r="G9" s="289"/>
      <c r="H9" s="289" t="s">
        <v>220</v>
      </c>
      <c r="I9" s="289"/>
      <c r="J9" s="289"/>
      <c r="K9" s="289" t="s">
        <v>220</v>
      </c>
      <c r="L9" s="289"/>
      <c r="M9" s="289"/>
      <c r="N9" s="289"/>
      <c r="O9" s="289"/>
      <c r="P9" s="289" t="s">
        <v>220</v>
      </c>
      <c r="Q9" s="289" t="s">
        <v>220</v>
      </c>
      <c r="R9" s="289" t="s">
        <v>220</v>
      </c>
      <c r="S9" s="289" t="s">
        <v>220</v>
      </c>
    </row>
    <row r="10" spans="1:19">
      <c r="A10" s="289" t="s">
        <v>227</v>
      </c>
      <c r="B10" s="289" t="s">
        <v>220</v>
      </c>
      <c r="C10" s="289"/>
      <c r="D10" s="289" t="s">
        <v>220</v>
      </c>
      <c r="E10" s="289"/>
      <c r="F10" s="289" t="s">
        <v>220</v>
      </c>
      <c r="G10" s="289"/>
      <c r="H10" s="289" t="s">
        <v>220</v>
      </c>
      <c r="I10" s="289"/>
      <c r="J10" s="289"/>
      <c r="K10" s="289" t="s">
        <v>220</v>
      </c>
      <c r="L10" s="289"/>
      <c r="M10" s="289"/>
      <c r="N10" s="289"/>
      <c r="O10" s="289" t="s">
        <v>220</v>
      </c>
      <c r="P10" s="289" t="s">
        <v>220</v>
      </c>
      <c r="Q10" s="289" t="s">
        <v>220</v>
      </c>
      <c r="R10" s="289" t="s">
        <v>220</v>
      </c>
      <c r="S10" s="289" t="s">
        <v>220</v>
      </c>
    </row>
    <row r="11" spans="1:19">
      <c r="A11" s="289" t="s">
        <v>228</v>
      </c>
      <c r="B11" s="289" t="s">
        <v>220</v>
      </c>
      <c r="C11" s="289"/>
      <c r="D11" s="289" t="s">
        <v>220</v>
      </c>
      <c r="E11" s="289"/>
      <c r="F11" s="289"/>
      <c r="G11" s="289" t="s">
        <v>220</v>
      </c>
      <c r="H11" s="289" t="s">
        <v>220</v>
      </c>
      <c r="I11" s="289"/>
      <c r="J11" s="289"/>
      <c r="K11" s="289" t="s">
        <v>220</v>
      </c>
      <c r="L11" s="289"/>
      <c r="M11" s="289"/>
      <c r="N11" s="289"/>
      <c r="O11" s="289" t="s">
        <v>220</v>
      </c>
      <c r="P11" s="289" t="s">
        <v>220</v>
      </c>
      <c r="Q11" s="289" t="s">
        <v>220</v>
      </c>
      <c r="R11" s="289" t="s">
        <v>220</v>
      </c>
      <c r="S11" s="289" t="s">
        <v>220</v>
      </c>
    </row>
    <row r="12" spans="1:19">
      <c r="A12" s="289" t="s">
        <v>229</v>
      </c>
      <c r="B12" s="289" t="s">
        <v>220</v>
      </c>
      <c r="C12" s="289"/>
      <c r="D12" s="289" t="s">
        <v>220</v>
      </c>
      <c r="E12" s="289"/>
      <c r="F12" s="289" t="s">
        <v>220</v>
      </c>
      <c r="G12" s="289"/>
      <c r="H12" s="289" t="s">
        <v>220</v>
      </c>
      <c r="I12" s="289"/>
      <c r="J12" s="289"/>
      <c r="K12" s="289" t="s">
        <v>220</v>
      </c>
      <c r="L12" s="289"/>
      <c r="M12" s="289"/>
      <c r="N12" s="289"/>
      <c r="O12" s="289" t="s">
        <v>220</v>
      </c>
      <c r="P12" s="289" t="s">
        <v>220</v>
      </c>
      <c r="Q12" s="289" t="s">
        <v>220</v>
      </c>
      <c r="R12" s="289" t="s">
        <v>220</v>
      </c>
      <c r="S12" s="289" t="s">
        <v>220</v>
      </c>
    </row>
    <row r="13" spans="1:19">
      <c r="A13" s="289" t="s">
        <v>230</v>
      </c>
      <c r="B13" s="289" t="s">
        <v>220</v>
      </c>
      <c r="C13" s="289"/>
      <c r="D13" s="289" t="s">
        <v>220</v>
      </c>
      <c r="E13" s="289"/>
      <c r="F13" s="289" t="s">
        <v>220</v>
      </c>
      <c r="G13" s="289"/>
      <c r="H13" s="289" t="s">
        <v>220</v>
      </c>
      <c r="I13" s="289"/>
      <c r="J13" s="289" t="s">
        <v>220</v>
      </c>
      <c r="K13" s="289"/>
      <c r="L13" s="289"/>
      <c r="M13" s="289"/>
      <c r="N13" s="289"/>
      <c r="O13" s="289" t="s">
        <v>220</v>
      </c>
      <c r="P13" s="289" t="s">
        <v>220</v>
      </c>
      <c r="Q13" s="289" t="s">
        <v>220</v>
      </c>
      <c r="R13" s="289" t="s">
        <v>220</v>
      </c>
      <c r="S13" s="289" t="s">
        <v>220</v>
      </c>
    </row>
    <row r="14" spans="1:19">
      <c r="A14" s="289" t="s">
        <v>231</v>
      </c>
      <c r="B14" s="289" t="s">
        <v>220</v>
      </c>
      <c r="C14" s="289"/>
      <c r="D14" s="289" t="s">
        <v>220</v>
      </c>
      <c r="E14" s="289"/>
      <c r="F14" s="289" t="s">
        <v>220</v>
      </c>
      <c r="G14" s="289"/>
      <c r="H14" s="289" t="s">
        <v>220</v>
      </c>
      <c r="I14" s="289"/>
      <c r="J14" s="289"/>
      <c r="K14" s="289" t="s">
        <v>220</v>
      </c>
      <c r="L14" s="289"/>
      <c r="M14" s="289"/>
      <c r="N14" s="289"/>
      <c r="O14" s="289" t="s">
        <v>220</v>
      </c>
      <c r="P14" s="289" t="s">
        <v>220</v>
      </c>
      <c r="Q14" s="289" t="s">
        <v>220</v>
      </c>
      <c r="R14" s="289" t="s">
        <v>220</v>
      </c>
      <c r="S14" s="289" t="s">
        <v>220</v>
      </c>
    </row>
    <row r="15" spans="1:19">
      <c r="A15" s="289" t="s">
        <v>232</v>
      </c>
      <c r="B15" s="289" t="s">
        <v>220</v>
      </c>
      <c r="C15" s="289"/>
      <c r="D15" s="289" t="s">
        <v>220</v>
      </c>
      <c r="E15" s="289"/>
      <c r="F15" s="289" t="s">
        <v>220</v>
      </c>
      <c r="G15" s="289"/>
      <c r="H15" s="289" t="s">
        <v>220</v>
      </c>
      <c r="I15" s="289"/>
      <c r="J15" s="289"/>
      <c r="K15" s="289" t="s">
        <v>220</v>
      </c>
      <c r="L15" s="289"/>
      <c r="M15" s="289"/>
      <c r="N15" s="289"/>
      <c r="O15" s="289" t="s">
        <v>220</v>
      </c>
      <c r="P15" s="289" t="s">
        <v>220</v>
      </c>
      <c r="Q15" s="289" t="s">
        <v>220</v>
      </c>
      <c r="R15" s="289" t="s">
        <v>220</v>
      </c>
      <c r="S15" s="289" t="s">
        <v>220</v>
      </c>
    </row>
    <row r="16" spans="1:19">
      <c r="A16" s="289" t="s">
        <v>233</v>
      </c>
      <c r="B16" s="289" t="s">
        <v>220</v>
      </c>
      <c r="C16" s="289"/>
      <c r="D16" s="289" t="s">
        <v>220</v>
      </c>
      <c r="E16" s="289"/>
      <c r="F16" s="289" t="s">
        <v>220</v>
      </c>
      <c r="G16" s="289"/>
      <c r="H16" s="289" t="s">
        <v>220</v>
      </c>
      <c r="I16" s="289"/>
      <c r="J16" s="289"/>
      <c r="K16" s="289" t="s">
        <v>220</v>
      </c>
      <c r="L16" s="289"/>
      <c r="M16" s="289"/>
      <c r="N16" s="289"/>
      <c r="O16" s="289" t="s">
        <v>220</v>
      </c>
      <c r="P16" s="289" t="s">
        <v>220</v>
      </c>
      <c r="Q16" s="289" t="s">
        <v>220</v>
      </c>
      <c r="R16" s="289" t="s">
        <v>220</v>
      </c>
      <c r="S16" s="289" t="s">
        <v>220</v>
      </c>
    </row>
    <row r="17" spans="1:19">
      <c r="A17" s="289" t="s">
        <v>234</v>
      </c>
      <c r="B17" s="289" t="s">
        <v>220</v>
      </c>
      <c r="C17" s="289"/>
      <c r="D17" s="289" t="s">
        <v>220</v>
      </c>
      <c r="E17" s="289"/>
      <c r="F17" s="289" t="s">
        <v>220</v>
      </c>
      <c r="G17" s="289"/>
      <c r="H17" s="289" t="s">
        <v>220</v>
      </c>
      <c r="I17" s="289"/>
      <c r="J17" s="289"/>
      <c r="K17" s="289" t="s">
        <v>220</v>
      </c>
      <c r="L17" s="289"/>
      <c r="M17" s="289"/>
      <c r="N17" s="289"/>
      <c r="O17" s="289" t="s">
        <v>220</v>
      </c>
      <c r="P17" s="289" t="s">
        <v>220</v>
      </c>
      <c r="Q17" s="289"/>
      <c r="R17" s="289" t="s">
        <v>220</v>
      </c>
      <c r="S17" s="289" t="s">
        <v>220</v>
      </c>
    </row>
    <row r="18" spans="1:19">
      <c r="A18" s="289" t="s">
        <v>235</v>
      </c>
      <c r="B18" s="289" t="s">
        <v>220</v>
      </c>
      <c r="C18" s="289"/>
      <c r="D18" s="289" t="s">
        <v>220</v>
      </c>
      <c r="E18" s="289"/>
      <c r="F18" s="289" t="s">
        <v>220</v>
      </c>
      <c r="G18" s="289"/>
      <c r="H18" s="289" t="s">
        <v>220</v>
      </c>
      <c r="I18" s="289"/>
      <c r="J18" s="289" t="s">
        <v>220</v>
      </c>
      <c r="K18" s="289"/>
      <c r="L18" s="289"/>
      <c r="M18" s="289"/>
      <c r="N18" s="289"/>
      <c r="O18" s="289" t="s">
        <v>220</v>
      </c>
      <c r="P18" s="289" t="s">
        <v>220</v>
      </c>
      <c r="Q18" s="289" t="s">
        <v>220</v>
      </c>
      <c r="R18" s="289" t="s">
        <v>220</v>
      </c>
      <c r="S18" s="289" t="s">
        <v>220</v>
      </c>
    </row>
    <row r="19" spans="1:19">
      <c r="A19" s="289" t="s">
        <v>236</v>
      </c>
      <c r="B19" s="289" t="s">
        <v>220</v>
      </c>
      <c r="C19" s="289"/>
      <c r="D19" s="289" t="s">
        <v>220</v>
      </c>
      <c r="E19" s="289"/>
      <c r="F19" s="289" t="s">
        <v>220</v>
      </c>
      <c r="G19" s="289"/>
      <c r="H19" s="289" t="s">
        <v>220</v>
      </c>
      <c r="I19" s="289"/>
      <c r="J19" s="289" t="s">
        <v>220</v>
      </c>
      <c r="K19" s="289"/>
      <c r="L19" s="289"/>
      <c r="M19" s="289"/>
      <c r="N19" s="289"/>
      <c r="O19" s="289" t="s">
        <v>220</v>
      </c>
      <c r="P19" s="289" t="s">
        <v>220</v>
      </c>
      <c r="Q19" s="289" t="s">
        <v>220</v>
      </c>
      <c r="R19" s="289" t="s">
        <v>220</v>
      </c>
      <c r="S19" s="289" t="s">
        <v>220</v>
      </c>
    </row>
    <row r="20" spans="1:19">
      <c r="A20" s="289" t="s">
        <v>237</v>
      </c>
      <c r="B20" s="289"/>
      <c r="C20" s="289" t="s">
        <v>220</v>
      </c>
      <c r="D20" s="289" t="s">
        <v>220</v>
      </c>
      <c r="E20" s="289"/>
      <c r="F20" s="289" t="s">
        <v>220</v>
      </c>
      <c r="G20" s="289"/>
      <c r="H20" s="289"/>
      <c r="I20" s="289" t="s">
        <v>220</v>
      </c>
      <c r="J20" s="291"/>
      <c r="K20" s="291"/>
      <c r="L20" s="291"/>
      <c r="M20" s="291"/>
      <c r="N20" s="291"/>
      <c r="O20" s="289" t="s">
        <v>220</v>
      </c>
      <c r="P20" s="289"/>
      <c r="Q20" s="289"/>
      <c r="R20" s="289"/>
      <c r="S20" s="289" t="s">
        <v>220</v>
      </c>
    </row>
    <row r="21" spans="1:19">
      <c r="A21" s="289" t="s">
        <v>238</v>
      </c>
      <c r="B21" s="289" t="s">
        <v>220</v>
      </c>
      <c r="C21" s="289"/>
      <c r="D21" s="289" t="s">
        <v>220</v>
      </c>
      <c r="E21" s="289"/>
      <c r="F21" s="289" t="s">
        <v>220</v>
      </c>
      <c r="G21" s="289"/>
      <c r="H21" s="289" t="s">
        <v>220</v>
      </c>
      <c r="I21" s="289"/>
      <c r="J21" s="289" t="s">
        <v>220</v>
      </c>
      <c r="K21" s="289"/>
      <c r="L21" s="289"/>
      <c r="M21" s="289"/>
      <c r="N21" s="289"/>
      <c r="O21" s="289" t="s">
        <v>220</v>
      </c>
      <c r="P21" s="289" t="s">
        <v>220</v>
      </c>
      <c r="Q21" s="289" t="s">
        <v>220</v>
      </c>
      <c r="R21" s="289" t="s">
        <v>220</v>
      </c>
      <c r="S21" s="289" t="s">
        <v>220</v>
      </c>
    </row>
    <row r="22" spans="1:19">
      <c r="A22" s="289" t="s">
        <v>239</v>
      </c>
      <c r="B22" s="289" t="s">
        <v>220</v>
      </c>
      <c r="C22" s="289"/>
      <c r="D22" s="289" t="s">
        <v>220</v>
      </c>
      <c r="E22" s="289"/>
      <c r="F22" s="289" t="s">
        <v>220</v>
      </c>
      <c r="G22" s="289"/>
      <c r="H22" s="289" t="s">
        <v>220</v>
      </c>
      <c r="I22" s="289"/>
      <c r="J22" s="289"/>
      <c r="K22" s="289"/>
      <c r="L22" s="289" t="s">
        <v>220</v>
      </c>
      <c r="M22" s="289"/>
      <c r="N22" s="289"/>
      <c r="O22" s="289" t="s">
        <v>220</v>
      </c>
      <c r="P22" s="289" t="s">
        <v>220</v>
      </c>
      <c r="Q22" s="289" t="s">
        <v>220</v>
      </c>
      <c r="R22" s="289" t="s">
        <v>220</v>
      </c>
      <c r="S22" s="289" t="s">
        <v>220</v>
      </c>
    </row>
    <row r="23" spans="1:19">
      <c r="A23" s="289" t="s">
        <v>240</v>
      </c>
      <c r="B23" s="289" t="s">
        <v>220</v>
      </c>
      <c r="C23" s="289"/>
      <c r="D23" s="289" t="s">
        <v>220</v>
      </c>
      <c r="E23" s="289"/>
      <c r="F23" s="289" t="s">
        <v>220</v>
      </c>
      <c r="G23" s="289"/>
      <c r="H23" s="289" t="s">
        <v>220</v>
      </c>
      <c r="I23" s="289"/>
      <c r="J23" s="289"/>
      <c r="K23" s="289" t="s">
        <v>220</v>
      </c>
      <c r="L23" s="289"/>
      <c r="M23" s="289"/>
      <c r="N23" s="289"/>
      <c r="O23" s="289" t="s">
        <v>220</v>
      </c>
      <c r="P23" s="289" t="s">
        <v>220</v>
      </c>
      <c r="Q23" s="289" t="s">
        <v>220</v>
      </c>
      <c r="R23" s="289" t="s">
        <v>220</v>
      </c>
      <c r="S23" s="289" t="s">
        <v>220</v>
      </c>
    </row>
    <row r="24" spans="1:19">
      <c r="A24" s="289" t="s">
        <v>241</v>
      </c>
      <c r="B24" s="289" t="s">
        <v>220</v>
      </c>
      <c r="C24" s="289"/>
      <c r="D24" s="289" t="s">
        <v>220</v>
      </c>
      <c r="E24" s="289"/>
      <c r="F24" s="289" t="s">
        <v>220</v>
      </c>
      <c r="G24" s="289"/>
      <c r="H24" s="289" t="s">
        <v>220</v>
      </c>
      <c r="I24" s="289"/>
      <c r="J24" s="289"/>
      <c r="K24" s="289" t="s">
        <v>220</v>
      </c>
      <c r="L24" s="289"/>
      <c r="M24" s="289"/>
      <c r="N24" s="289"/>
      <c r="O24" s="289" t="s">
        <v>220</v>
      </c>
      <c r="P24" s="289" t="s">
        <v>220</v>
      </c>
      <c r="Q24" s="289" t="s">
        <v>220</v>
      </c>
      <c r="R24" s="289" t="s">
        <v>220</v>
      </c>
      <c r="S24" s="289" t="s">
        <v>220</v>
      </c>
    </row>
    <row r="25" spans="1:19">
      <c r="A25" s="289" t="s">
        <v>242</v>
      </c>
      <c r="B25" s="289" t="s">
        <v>220</v>
      </c>
      <c r="C25" s="289"/>
      <c r="D25" s="289" t="s">
        <v>220</v>
      </c>
      <c r="E25" s="289"/>
      <c r="F25" s="289" t="s">
        <v>220</v>
      </c>
      <c r="G25" s="289"/>
      <c r="H25" s="289" t="s">
        <v>220</v>
      </c>
      <c r="I25" s="289"/>
      <c r="J25" s="289" t="s">
        <v>220</v>
      </c>
      <c r="K25" s="289"/>
      <c r="L25" s="289"/>
      <c r="M25" s="289"/>
      <c r="N25" s="289"/>
      <c r="O25" s="289" t="s">
        <v>220</v>
      </c>
      <c r="P25" s="289" t="s">
        <v>220</v>
      </c>
      <c r="Q25" s="289" t="s">
        <v>220</v>
      </c>
      <c r="R25" s="289" t="s">
        <v>220</v>
      </c>
      <c r="S25" s="289" t="s">
        <v>220</v>
      </c>
    </row>
    <row r="26" spans="1:19">
      <c r="A26" s="289" t="s">
        <v>243</v>
      </c>
      <c r="B26" s="289" t="s">
        <v>220</v>
      </c>
      <c r="C26" s="289"/>
      <c r="D26" s="289" t="s">
        <v>220</v>
      </c>
      <c r="E26" s="289"/>
      <c r="F26" s="289" t="s">
        <v>220</v>
      </c>
      <c r="G26" s="289"/>
      <c r="H26" s="289" t="s">
        <v>220</v>
      </c>
      <c r="I26" s="289"/>
      <c r="J26" s="289"/>
      <c r="K26" s="289" t="s">
        <v>220</v>
      </c>
      <c r="L26" s="289"/>
      <c r="M26" s="289"/>
      <c r="N26" s="289"/>
      <c r="O26" s="289" t="s">
        <v>220</v>
      </c>
      <c r="P26" s="289" t="s">
        <v>220</v>
      </c>
      <c r="Q26" s="289" t="s">
        <v>220</v>
      </c>
      <c r="R26" s="289" t="s">
        <v>220</v>
      </c>
      <c r="S26" s="289" t="s">
        <v>220</v>
      </c>
    </row>
    <row r="27" spans="1:19">
      <c r="A27" s="289" t="s">
        <v>244</v>
      </c>
      <c r="B27" s="289" t="s">
        <v>220</v>
      </c>
      <c r="C27" s="289"/>
      <c r="D27" s="289" t="s">
        <v>220</v>
      </c>
      <c r="E27" s="289"/>
      <c r="F27" s="289" t="s">
        <v>220</v>
      </c>
      <c r="G27" s="289"/>
      <c r="H27" s="289" t="s">
        <v>220</v>
      </c>
      <c r="I27" s="289"/>
      <c r="J27" s="289" t="s">
        <v>220</v>
      </c>
      <c r="K27" s="289"/>
      <c r="L27" s="289"/>
      <c r="M27" s="289"/>
      <c r="N27" s="289"/>
      <c r="O27" s="289" t="s">
        <v>220</v>
      </c>
      <c r="P27" s="289" t="s">
        <v>220</v>
      </c>
      <c r="Q27" s="289" t="s">
        <v>220</v>
      </c>
      <c r="R27" s="289" t="s">
        <v>220</v>
      </c>
      <c r="S27" s="289" t="s">
        <v>220</v>
      </c>
    </row>
    <row r="28" spans="1:19">
      <c r="A28" s="289" t="s">
        <v>245</v>
      </c>
      <c r="B28" s="289" t="s">
        <v>220</v>
      </c>
      <c r="C28" s="289"/>
      <c r="D28" s="289" t="s">
        <v>220</v>
      </c>
      <c r="E28" s="289"/>
      <c r="F28" s="289"/>
      <c r="G28" s="289" t="s">
        <v>220</v>
      </c>
      <c r="H28" s="289" t="s">
        <v>220</v>
      </c>
      <c r="I28" s="289"/>
      <c r="J28" s="289"/>
      <c r="K28" s="289" t="s">
        <v>220</v>
      </c>
      <c r="L28" s="289"/>
      <c r="M28" s="289"/>
      <c r="N28" s="289"/>
      <c r="O28" s="289" t="s">
        <v>220</v>
      </c>
      <c r="P28" s="289" t="s">
        <v>220</v>
      </c>
      <c r="Q28" s="289" t="s">
        <v>220</v>
      </c>
      <c r="R28" s="289" t="s">
        <v>220</v>
      </c>
      <c r="S28" s="289" t="s">
        <v>220</v>
      </c>
    </row>
    <row r="29" spans="1:19">
      <c r="A29" s="289" t="s">
        <v>246</v>
      </c>
      <c r="B29" s="289" t="s">
        <v>220</v>
      </c>
      <c r="C29" s="289"/>
      <c r="D29" s="289" t="s">
        <v>220</v>
      </c>
      <c r="E29" s="289"/>
      <c r="F29" s="289" t="s">
        <v>220</v>
      </c>
      <c r="G29" s="289"/>
      <c r="H29" s="289" t="s">
        <v>220</v>
      </c>
      <c r="I29" s="289"/>
      <c r="J29" s="289"/>
      <c r="K29" s="289" t="s">
        <v>220</v>
      </c>
      <c r="L29" s="289"/>
      <c r="M29" s="289"/>
      <c r="N29" s="289"/>
      <c r="O29" s="289" t="s">
        <v>220</v>
      </c>
      <c r="P29" s="289" t="s">
        <v>220</v>
      </c>
      <c r="Q29" s="289" t="s">
        <v>220</v>
      </c>
      <c r="R29" s="289" t="s">
        <v>220</v>
      </c>
      <c r="S29" s="289" t="s">
        <v>220</v>
      </c>
    </row>
    <row r="30" spans="1:19">
      <c r="A30" s="289" t="s">
        <v>247</v>
      </c>
      <c r="B30" s="289" t="s">
        <v>220</v>
      </c>
      <c r="C30" s="289"/>
      <c r="D30" s="289" t="s">
        <v>220</v>
      </c>
      <c r="E30" s="289"/>
      <c r="F30" s="289" t="s">
        <v>220</v>
      </c>
      <c r="G30" s="289"/>
      <c r="H30" s="289" t="s">
        <v>220</v>
      </c>
      <c r="I30" s="289"/>
      <c r="J30" s="289"/>
      <c r="K30" s="289" t="s">
        <v>220</v>
      </c>
      <c r="L30" s="289"/>
      <c r="M30" s="289"/>
      <c r="N30" s="289"/>
      <c r="O30" s="289" t="s">
        <v>220</v>
      </c>
      <c r="P30" s="289" t="s">
        <v>220</v>
      </c>
      <c r="Q30" s="289" t="s">
        <v>220</v>
      </c>
      <c r="R30" s="289" t="s">
        <v>220</v>
      </c>
      <c r="S30" s="289" t="s">
        <v>220</v>
      </c>
    </row>
    <row r="31" spans="1:19">
      <c r="A31" s="289" t="s">
        <v>248</v>
      </c>
      <c r="B31" s="289" t="s">
        <v>220</v>
      </c>
      <c r="C31" s="289"/>
      <c r="D31" s="289" t="s">
        <v>220</v>
      </c>
      <c r="E31" s="289"/>
      <c r="F31" s="289" t="s">
        <v>220</v>
      </c>
      <c r="G31" s="289"/>
      <c r="H31" s="289" t="s">
        <v>220</v>
      </c>
      <c r="I31" s="289"/>
      <c r="J31" s="289"/>
      <c r="K31" s="289" t="s">
        <v>220</v>
      </c>
      <c r="L31" s="289"/>
      <c r="M31" s="289"/>
      <c r="N31" s="289"/>
      <c r="O31" s="289" t="s">
        <v>220</v>
      </c>
      <c r="P31" s="289" t="s">
        <v>220</v>
      </c>
      <c r="Q31" s="289" t="s">
        <v>220</v>
      </c>
      <c r="R31" s="289" t="s">
        <v>220</v>
      </c>
      <c r="S31" s="289" t="s">
        <v>220</v>
      </c>
    </row>
    <row r="32" spans="1:19">
      <c r="A32" s="289" t="s">
        <v>249</v>
      </c>
      <c r="B32" s="289" t="s">
        <v>220</v>
      </c>
      <c r="C32" s="289"/>
      <c r="D32" s="289" t="s">
        <v>220</v>
      </c>
      <c r="E32" s="289"/>
      <c r="F32" s="289" t="s">
        <v>220</v>
      </c>
      <c r="G32" s="289"/>
      <c r="H32" s="289" t="s">
        <v>220</v>
      </c>
      <c r="I32" s="289"/>
      <c r="J32" s="289" t="s">
        <v>220</v>
      </c>
      <c r="K32" s="289"/>
      <c r="L32" s="289"/>
      <c r="M32" s="289"/>
      <c r="N32" s="289"/>
      <c r="O32" s="289" t="s">
        <v>220</v>
      </c>
      <c r="P32" s="289"/>
      <c r="Q32" s="289" t="s">
        <v>220</v>
      </c>
      <c r="R32" s="289" t="s">
        <v>220</v>
      </c>
      <c r="S32" s="289" t="s">
        <v>220</v>
      </c>
    </row>
    <row r="34" spans="1:19">
      <c r="A34" s="230" t="s">
        <v>9</v>
      </c>
      <c r="B34" s="230">
        <f>COUNTIF(B3:B32,$A$37)</f>
        <v>29</v>
      </c>
      <c r="C34" s="230">
        <f t="shared" ref="C34:S34" si="0">COUNTIF(C3:C32,$A$37)</f>
        <v>1</v>
      </c>
      <c r="D34" s="230">
        <f t="shared" si="0"/>
        <v>30</v>
      </c>
      <c r="E34" s="230">
        <f t="shared" si="0"/>
        <v>0</v>
      </c>
      <c r="F34" s="230">
        <f t="shared" si="0"/>
        <v>28</v>
      </c>
      <c r="G34" s="230">
        <f t="shared" si="0"/>
        <v>2</v>
      </c>
      <c r="H34" s="230">
        <f t="shared" si="0"/>
        <v>29</v>
      </c>
      <c r="I34" s="230">
        <f t="shared" si="0"/>
        <v>1</v>
      </c>
      <c r="J34" s="230">
        <f t="shared" si="0"/>
        <v>10</v>
      </c>
      <c r="K34" s="230">
        <f t="shared" si="0"/>
        <v>18</v>
      </c>
      <c r="L34" s="230">
        <f t="shared" si="0"/>
        <v>1</v>
      </c>
      <c r="M34" s="230">
        <f t="shared" si="0"/>
        <v>0</v>
      </c>
      <c r="N34" s="230">
        <f t="shared" si="0"/>
        <v>0</v>
      </c>
      <c r="O34" s="230">
        <f t="shared" si="0"/>
        <v>29</v>
      </c>
      <c r="P34" s="230">
        <f t="shared" si="0"/>
        <v>26</v>
      </c>
      <c r="Q34" s="230">
        <f t="shared" si="0"/>
        <v>27</v>
      </c>
      <c r="R34" s="230">
        <f t="shared" si="0"/>
        <v>29</v>
      </c>
      <c r="S34" s="230">
        <f t="shared" si="0"/>
        <v>30</v>
      </c>
    </row>
    <row r="35" spans="1:19">
      <c r="A35" s="230"/>
      <c r="B35" s="292">
        <f>B34/$A$38</f>
        <v>0.96666666666666667</v>
      </c>
      <c r="C35" s="292">
        <f t="shared" ref="C35:S35" si="1">C34/$A$38</f>
        <v>3.3333333333333333E-2</v>
      </c>
      <c r="D35" s="292">
        <f t="shared" si="1"/>
        <v>1</v>
      </c>
      <c r="E35" s="292">
        <f t="shared" si="1"/>
        <v>0</v>
      </c>
      <c r="F35" s="292">
        <f t="shared" si="1"/>
        <v>0.93333333333333335</v>
      </c>
      <c r="G35" s="292">
        <f t="shared" si="1"/>
        <v>6.6666666666666666E-2</v>
      </c>
      <c r="H35" s="292">
        <f t="shared" si="1"/>
        <v>0.96666666666666667</v>
      </c>
      <c r="I35" s="292">
        <f t="shared" si="1"/>
        <v>3.3333333333333333E-2</v>
      </c>
      <c r="J35" s="292">
        <f t="shared" si="1"/>
        <v>0.33333333333333331</v>
      </c>
      <c r="K35" s="292">
        <f t="shared" si="1"/>
        <v>0.6</v>
      </c>
      <c r="L35" s="292">
        <f t="shared" si="1"/>
        <v>3.3333333333333333E-2</v>
      </c>
      <c r="M35" s="292">
        <f t="shared" si="1"/>
        <v>0</v>
      </c>
      <c r="N35" s="292">
        <f t="shared" si="1"/>
        <v>0</v>
      </c>
      <c r="O35" s="292">
        <f t="shared" si="1"/>
        <v>0.96666666666666667</v>
      </c>
      <c r="P35" s="292">
        <f t="shared" si="1"/>
        <v>0.8666666666666667</v>
      </c>
      <c r="Q35" s="292">
        <f t="shared" si="1"/>
        <v>0.9</v>
      </c>
      <c r="R35" s="292">
        <f t="shared" si="1"/>
        <v>0.96666666666666667</v>
      </c>
      <c r="S35" s="292">
        <f t="shared" si="1"/>
        <v>1</v>
      </c>
    </row>
    <row r="36" spans="1:19">
      <c r="A36" s="230"/>
    </row>
    <row r="37" spans="1:19">
      <c r="A37" s="287" t="s">
        <v>220</v>
      </c>
    </row>
    <row r="38" spans="1:19">
      <c r="A38" s="287">
        <v>30</v>
      </c>
    </row>
  </sheetData>
  <mergeCells count="6">
    <mergeCell ref="B1:C1"/>
    <mergeCell ref="D1:E1"/>
    <mergeCell ref="F1:G1"/>
    <mergeCell ref="H1:I1"/>
    <mergeCell ref="J1:N1"/>
    <mergeCell ref="O1:S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Menú</vt:lpstr>
      <vt:lpstr>1</vt:lpstr>
      <vt:lpstr>2</vt:lpstr>
      <vt:lpstr>3</vt:lpstr>
      <vt:lpstr>4</vt:lpstr>
      <vt:lpstr>5</vt:lpstr>
      <vt:lpstr>6</vt:lpstr>
      <vt:lpstr>Formato encuesta</vt:lpstr>
      <vt:lpstr>Tabulación</vt:lpstr>
      <vt:lpstr>'6'!Área_de_impresión</vt:lpstr>
      <vt:lpstr>Menú!Área_de_impresión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DARIO MAURICIO REYES GIRALDO</dc:creator>
  <cp:lastModifiedBy>usuario</cp:lastModifiedBy>
  <cp:lastPrinted>2013-10-21T19:37:48Z</cp:lastPrinted>
  <dcterms:created xsi:type="dcterms:W3CDTF">2013-07-30T17:19:59Z</dcterms:created>
  <dcterms:modified xsi:type="dcterms:W3CDTF">2020-01-30T03:52:18Z</dcterms:modified>
</cp:coreProperties>
</file>