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580" windowHeight="6555" tabRatio="959" activeTab="3"/>
  </bookViews>
  <sheets>
    <sheet name="Información Est. de Resultados" sheetId="1" r:id="rId1"/>
    <sheet name="ESTADO RESULTADOS GENERAL" sheetId="2" r:id="rId2"/>
    <sheet name="Información Flujo de Caja" sheetId="3" r:id="rId3"/>
    <sheet name="FLUJO CAJA GENERAL" sheetId="4" r:id="rId4"/>
    <sheet name="Balance G" sheetId="5" state="hidden" r:id="rId5"/>
    <sheet name="Notas B G" sheetId="6" state="hidden" r:id="rId6"/>
    <sheet name="Activos Diferidos" sheetId="7" r:id="rId7"/>
    <sheet name="Activos Fijos Depreciables" sheetId="8" r:id="rId8"/>
    <sheet name="Proyeccion de Ventas" sheetId="9" r:id="rId9"/>
    <sheet name="Accesorios" sheetId="10" r:id="rId10"/>
    <sheet name="Tabla de Amortizacion" sheetId="11" r:id="rId11"/>
    <sheet name="Honorarios y Servicios" sheetId="12" r:id="rId12"/>
    <sheet name="Proyeccion de Costos Trufas" sheetId="13" r:id="rId13"/>
    <sheet name="Proyeccion de Costos Figuras" sheetId="14" r:id="rId14"/>
  </sheets>
  <definedNames/>
  <calcPr fullCalcOnLoad="1"/>
</workbook>
</file>

<file path=xl/sharedStrings.xml><?xml version="1.0" encoding="utf-8"?>
<sst xmlns="http://schemas.openxmlformats.org/spreadsheetml/2006/main" count="624" uniqueCount="329">
  <si>
    <t>INGRESOS</t>
  </si>
  <si>
    <t>Nota</t>
  </si>
  <si>
    <t>PASIVO</t>
  </si>
  <si>
    <t>Ingresos</t>
  </si>
  <si>
    <t>Gastos generales</t>
  </si>
  <si>
    <t>Notariales</t>
  </si>
  <si>
    <t>Equipo de Oficina</t>
  </si>
  <si>
    <t>Gastos de Viaje</t>
  </si>
  <si>
    <t>Alimentación</t>
  </si>
  <si>
    <t>Pasajes Aéreos</t>
  </si>
  <si>
    <t>Pasajes Terrestres</t>
  </si>
  <si>
    <t>Alojamiento</t>
  </si>
  <si>
    <t>Comisiones</t>
  </si>
  <si>
    <t>Libros suscripciones Periódicos y Revistas</t>
  </si>
  <si>
    <t>Combustibles y Lubricantes</t>
  </si>
  <si>
    <t>Resultado Operacional</t>
  </si>
  <si>
    <t>Ingresos no Operacionales</t>
  </si>
  <si>
    <t>Gastos financieros</t>
  </si>
  <si>
    <t xml:space="preserve">Contribución económica </t>
  </si>
  <si>
    <t>Resultado  no Operacional</t>
  </si>
  <si>
    <t>RESULTADOS DEL PERIODO</t>
  </si>
  <si>
    <t>Disponible</t>
  </si>
  <si>
    <t>Cajas menores</t>
  </si>
  <si>
    <t>Caja General</t>
  </si>
  <si>
    <t>Cuentas por cobrar</t>
  </si>
  <si>
    <t>Activos fijos</t>
  </si>
  <si>
    <t>Equipo de computo</t>
  </si>
  <si>
    <t>Menos Depreciación equipos de computo</t>
  </si>
  <si>
    <t>Neto Equipo de computo</t>
  </si>
  <si>
    <t>Muebles y enseres</t>
  </si>
  <si>
    <t>Depreciación muebles y enseres</t>
  </si>
  <si>
    <t>Neto muebles y enseres</t>
  </si>
  <si>
    <t>Impuestos por pagar</t>
  </si>
  <si>
    <t>Industria y Comercio</t>
  </si>
  <si>
    <t>PATRIMONIO</t>
  </si>
  <si>
    <t>Inventarios</t>
  </si>
  <si>
    <t>Equipo de Computación</t>
  </si>
  <si>
    <t>CUENTAS POR COBRAR</t>
  </si>
  <si>
    <t>OTROS ACTIVOS</t>
  </si>
  <si>
    <t>TOTAL PASIVO</t>
  </si>
  <si>
    <t>TOTAL PATRIMONIO</t>
  </si>
  <si>
    <t>TOTAL PASIVO Y PATRIMONIO</t>
  </si>
  <si>
    <t>ACTIVO</t>
  </si>
  <si>
    <t>CORRIENTE</t>
  </si>
  <si>
    <t>CUENTAS POR PAGAR</t>
  </si>
  <si>
    <t>DISPONIBLE</t>
  </si>
  <si>
    <t>Proveedores</t>
  </si>
  <si>
    <t>Bancos</t>
  </si>
  <si>
    <t>Clientes</t>
  </si>
  <si>
    <t>INVENTARIO</t>
  </si>
  <si>
    <t>CAPITAL SOCIAL</t>
  </si>
  <si>
    <t>PROPIEDADES, PLANTA Y EQUIPO</t>
  </si>
  <si>
    <t>RESULTADOS DEL EJERCICIO</t>
  </si>
  <si>
    <t>Resultado del Ejercicio</t>
  </si>
  <si>
    <t>TOTAL ACTIVO</t>
  </si>
  <si>
    <t>Clientes Nacionales</t>
  </si>
  <si>
    <t>Clientes del Exterior</t>
  </si>
  <si>
    <t>A Particulares</t>
  </si>
  <si>
    <t>Anticipos y Avances</t>
  </si>
  <si>
    <t xml:space="preserve">Servicios  y honorarios por Pagar    </t>
  </si>
  <si>
    <t>Anticipos</t>
  </si>
  <si>
    <t>Servicios y Honorarios</t>
  </si>
  <si>
    <t>Gastos Administrativos</t>
  </si>
  <si>
    <t>Arrendamientos</t>
  </si>
  <si>
    <t>Servicios</t>
  </si>
  <si>
    <t>Taxis y Buses</t>
  </si>
  <si>
    <t>Estampillas</t>
  </si>
  <si>
    <t>Casino y Restaurante</t>
  </si>
  <si>
    <t>Parqueaderos</t>
  </si>
  <si>
    <t>Peajes</t>
  </si>
  <si>
    <t>Costos de Ventas</t>
  </si>
  <si>
    <t>Gastos de Representación</t>
  </si>
  <si>
    <t>Elementos de Aseo y Cafetería</t>
  </si>
  <si>
    <t>Útiles Papelería y Fotocopias</t>
  </si>
  <si>
    <t>Cámara de Comercio</t>
  </si>
  <si>
    <t>Particulares</t>
  </si>
  <si>
    <t>IMPUESTOS GRAVÁMENES Y TASAS</t>
  </si>
  <si>
    <t>Impuestos Gravámenes y Tasas</t>
  </si>
  <si>
    <t>Depreciación Acumulada</t>
  </si>
  <si>
    <t>IVA Retenido</t>
  </si>
  <si>
    <t>Rete fuente</t>
  </si>
  <si>
    <t>IVA Generado y por Pagar</t>
  </si>
  <si>
    <t>Servicios Administrativos</t>
  </si>
  <si>
    <t>Seguros</t>
  </si>
  <si>
    <t>Depreciaciones</t>
  </si>
  <si>
    <t>Gastos Financieros</t>
  </si>
  <si>
    <t>Aporte Social</t>
  </si>
  <si>
    <t>NOTAS  AL BALANCE GENERAL A JUNIO DE 2012</t>
  </si>
  <si>
    <t>ESTADO DE RESULTADOS DE ENERO A JUNIO DE 2012</t>
  </si>
  <si>
    <t>Hola Eduardito, ya abrigue es un balance inicial, adjunto el rut, me cuentas que mas necesitas...</t>
  </si>
  <si>
    <t>2 portátil</t>
  </si>
  <si>
    <t>1 computador de mesa</t>
  </si>
  <si>
    <t>1 plotter de corte</t>
  </si>
  <si>
    <t>6 escritorios</t>
  </si>
  <si>
    <t>6 sillas</t>
  </si>
  <si>
    <t>1 televisor</t>
  </si>
  <si>
    <t>1 microondas</t>
  </si>
  <si>
    <t>no se que mas iría...me ayudas...</t>
  </si>
  <si>
    <t>Cuando seria lo mas pronto que lo podría tener?</t>
  </si>
  <si>
    <t xml:space="preserve">Cuenta Corriente </t>
  </si>
  <si>
    <t>Renta 2012</t>
  </si>
  <si>
    <t>CIOCCOLATO AMBER</t>
  </si>
  <si>
    <t>Trufas</t>
  </si>
  <si>
    <t>Bombones</t>
  </si>
  <si>
    <t>Chocolate Negro</t>
  </si>
  <si>
    <t>Cobertura de Chocolate</t>
  </si>
  <si>
    <t>Chocolate a la Taza</t>
  </si>
  <si>
    <t>Chocolate Blanco</t>
  </si>
  <si>
    <t>Pera Williams</t>
  </si>
  <si>
    <t>Amareto</t>
  </si>
  <si>
    <t>Mandarino</t>
  </si>
  <si>
    <t>Avellana</t>
  </si>
  <si>
    <t>Pistacho</t>
  </si>
  <si>
    <t>Cointreau</t>
  </si>
  <si>
    <t>Tiramisu</t>
  </si>
  <si>
    <t>Fresa</t>
  </si>
  <si>
    <t>Almendra Tostada</t>
  </si>
  <si>
    <t>Champagne</t>
  </si>
  <si>
    <t>Café Tostad{e oro</t>
  </si>
  <si>
    <t>Malaga (Uvas rubias en ron)</t>
  </si>
  <si>
    <t>Menta</t>
  </si>
  <si>
    <t>Albaricoque</t>
  </si>
  <si>
    <t>Kiwi</t>
  </si>
  <si>
    <t>Agras</t>
  </si>
  <si>
    <t>Limon</t>
  </si>
  <si>
    <t>Naranja</t>
  </si>
  <si>
    <t>Vainilla</t>
  </si>
  <si>
    <t>Duchesse de Orange</t>
  </si>
  <si>
    <t>Marashino</t>
  </si>
  <si>
    <t>La Zagara (Azahares del Mediterráneo)</t>
  </si>
  <si>
    <t>Marashino Zara</t>
  </si>
  <si>
    <t>Papel aluminio de envolturas</t>
  </si>
  <si>
    <t>Bolsas para trufas</t>
  </si>
  <si>
    <t>Papel colores</t>
  </si>
  <si>
    <t>Nidos de 4 puestos</t>
  </si>
  <si>
    <t>Nidos de 8 puestos</t>
  </si>
  <si>
    <t>Caja transparente 5 alveolos</t>
  </si>
  <si>
    <t>Caja transparente 12 alveolos</t>
  </si>
  <si>
    <t>Caja satinada 5 alveolos</t>
  </si>
  <si>
    <t>Caja satinada 12 alveolos</t>
  </si>
  <si>
    <t>Insumos Directos</t>
  </si>
  <si>
    <t>Insumos Indirectos</t>
  </si>
  <si>
    <t>Estanterías</t>
  </si>
  <si>
    <t>Maquina fundición de chocolate</t>
  </si>
  <si>
    <t>Montacargas</t>
  </si>
  <si>
    <t>Neveras adaptadas a los chocolates</t>
  </si>
  <si>
    <t>Pallet</t>
  </si>
  <si>
    <t>Máquina para hacer moldes de chocolate</t>
  </si>
  <si>
    <t>Maquina atemporadora con placa de colado</t>
  </si>
  <si>
    <t>Computadores</t>
  </si>
  <si>
    <t>Sistema de inventarios</t>
  </si>
  <si>
    <t>Menaje</t>
  </si>
  <si>
    <t>Otros</t>
  </si>
  <si>
    <t>INVENTARIO DE ACTIVOS FIJOS</t>
  </si>
  <si>
    <t>Año 2012</t>
  </si>
  <si>
    <t>Año 2013</t>
  </si>
  <si>
    <t>Año 2014</t>
  </si>
  <si>
    <t>Año 2015</t>
  </si>
  <si>
    <t>CONCEPTO</t>
  </si>
  <si>
    <t>CANTIDAD</t>
  </si>
  <si>
    <t>COSTO</t>
  </si>
  <si>
    <t>Cernidor</t>
  </si>
  <si>
    <t>1 unidad</t>
  </si>
  <si>
    <t>Colador y dosificador Funnel</t>
  </si>
  <si>
    <t>Derretidor de chocolate</t>
  </si>
  <si>
    <t>Batidor de mano</t>
  </si>
  <si>
    <t>Brocha c Natur y ma pla</t>
  </si>
  <si>
    <t>Raspador ino</t>
  </si>
  <si>
    <t>Espatula plana</t>
  </si>
  <si>
    <t>Espatula angular</t>
  </si>
  <si>
    <t>Portamangas y boquillas</t>
  </si>
  <si>
    <t>Termoformado esferas</t>
  </si>
  <si>
    <t>Termoformado rectangulo cuadriculado</t>
  </si>
  <si>
    <t>Chocogames herramientas</t>
  </si>
  <si>
    <t>Cerigrafia para navidad</t>
  </si>
  <si>
    <t>Termoformado arbol de navidad</t>
  </si>
  <si>
    <t>Termoformado oso navideño</t>
  </si>
  <si>
    <t>Termoformado de huevo</t>
  </si>
  <si>
    <t>Tarjetas de nombre</t>
  </si>
  <si>
    <t>Colorante metalizado</t>
  </si>
  <si>
    <t xml:space="preserve">TOTAL ACCESORIOS  </t>
  </si>
  <si>
    <t>ACCESORIOS</t>
  </si>
  <si>
    <t>Inversion en Equipos y Accesorios</t>
  </si>
  <si>
    <t>Accesorios</t>
  </si>
  <si>
    <t>Total Ingresos</t>
  </si>
  <si>
    <t>EGRESOS</t>
  </si>
  <si>
    <t xml:space="preserve">Total Egresos </t>
  </si>
  <si>
    <t>Licencias de Funcionamiento</t>
  </si>
  <si>
    <t>Gastos Legales Constitucion)</t>
  </si>
  <si>
    <t>Publicidad y Propaganda</t>
  </si>
  <si>
    <t>Mantenimiento o mejoras a Bienes Ajenos</t>
  </si>
  <si>
    <t>Dep Mensual</t>
  </si>
  <si>
    <t>Meses Dep</t>
  </si>
  <si>
    <t>Año 2016</t>
  </si>
  <si>
    <t xml:space="preserve">BALANCE GENERAL </t>
  </si>
  <si>
    <t>Caja y Bancos</t>
  </si>
  <si>
    <t>Inventarios de Mercancia</t>
  </si>
  <si>
    <t>Maquinaria</t>
  </si>
  <si>
    <t>Menos Depreciación Maquinaria</t>
  </si>
  <si>
    <t>Neto Maquinaria</t>
  </si>
  <si>
    <t>Cargos Diferidos</t>
  </si>
  <si>
    <t>Gastos pagados por Anticipado</t>
  </si>
  <si>
    <t>Cargoss Diferidos</t>
  </si>
  <si>
    <t>Cuentas por Pagar</t>
  </si>
  <si>
    <t>Obligaciones Financieras</t>
  </si>
  <si>
    <t>Servicios Publicos</t>
  </si>
  <si>
    <t>PROYECCION DE VENTAS</t>
  </si>
  <si>
    <t>Precio Unitario</t>
  </si>
  <si>
    <t>Cantidad Vendida</t>
  </si>
  <si>
    <t>VENTAS</t>
  </si>
  <si>
    <t>DESCUENTOS</t>
  </si>
  <si>
    <t>Descuentos enTrufas</t>
  </si>
  <si>
    <t>Descuentos en Bombones</t>
  </si>
  <si>
    <t>Descuentos en Trufas</t>
  </si>
  <si>
    <t>Figuras</t>
  </si>
  <si>
    <t>Descuentos en Figuras</t>
  </si>
  <si>
    <t>Descuentos Trufas</t>
  </si>
  <si>
    <t>Descuentos Figuras</t>
  </si>
  <si>
    <t>Insumos Indirectos Trufas</t>
  </si>
  <si>
    <t>Costos unitarios de Ventas Trufas</t>
  </si>
  <si>
    <t>Costos totales de Ventas Trufas</t>
  </si>
  <si>
    <t>PRECIO UNITARIO DE VENTA</t>
  </si>
  <si>
    <t>CANTIDAD VENDIDA</t>
  </si>
  <si>
    <t>Prestamo</t>
  </si>
  <si>
    <t>Cuota</t>
  </si>
  <si>
    <t>Plazo</t>
  </si>
  <si>
    <t>Tasa</t>
  </si>
  <si>
    <t>cuota 1</t>
  </si>
  <si>
    <t>cuota 2</t>
  </si>
  <si>
    <t>Deuda</t>
  </si>
  <si>
    <t>Abono Capital</t>
  </si>
  <si>
    <t>Saldo</t>
  </si>
  <si>
    <t>interes mes 1</t>
  </si>
  <si>
    <t>cuota 3</t>
  </si>
  <si>
    <t>cuota 4</t>
  </si>
  <si>
    <t>cuota 5</t>
  </si>
  <si>
    <t>cuota 6</t>
  </si>
  <si>
    <t>cuota 7</t>
  </si>
  <si>
    <t>cuota 8</t>
  </si>
  <si>
    <t>cuota 9</t>
  </si>
  <si>
    <t>cuota 10</t>
  </si>
  <si>
    <t>cuota 11</t>
  </si>
  <si>
    <t>cuota 12</t>
  </si>
  <si>
    <t>cuota 13</t>
  </si>
  <si>
    <t>cuota 14</t>
  </si>
  <si>
    <t>cuota 15</t>
  </si>
  <si>
    <t>cuota 16</t>
  </si>
  <si>
    <t>cuota 17</t>
  </si>
  <si>
    <t>cuota 18</t>
  </si>
  <si>
    <t>cuota 19</t>
  </si>
  <si>
    <t>cuota 20</t>
  </si>
  <si>
    <t>cuota 21</t>
  </si>
  <si>
    <t>cuota 22</t>
  </si>
  <si>
    <t>cuota 23</t>
  </si>
  <si>
    <t>cuota 24</t>
  </si>
  <si>
    <t>cuota 25</t>
  </si>
  <si>
    <t>cuota 26</t>
  </si>
  <si>
    <t>cuota 27</t>
  </si>
  <si>
    <t>cuota 28</t>
  </si>
  <si>
    <t>cuota 29</t>
  </si>
  <si>
    <t>cuota 30</t>
  </si>
  <si>
    <t>cuota 31</t>
  </si>
  <si>
    <t>cuota 32</t>
  </si>
  <si>
    <t>cuota 33</t>
  </si>
  <si>
    <t>cuota 34</t>
  </si>
  <si>
    <t>cuota 35</t>
  </si>
  <si>
    <t>cuota 36</t>
  </si>
  <si>
    <t>Egresos Financieros</t>
  </si>
  <si>
    <t>Abono a Capital</t>
  </si>
  <si>
    <t>Gastos Financieros intereses</t>
  </si>
  <si>
    <t>Aprovechamientos Sobrantes</t>
  </si>
  <si>
    <t>Egresos  Administrativos</t>
  </si>
  <si>
    <t>Honorarios y Servicios</t>
  </si>
  <si>
    <t>HONORARIOS Y SERVICIOS</t>
  </si>
  <si>
    <t>Chef</t>
  </si>
  <si>
    <t>Auxiliar del Chef</t>
  </si>
  <si>
    <t>Gerente</t>
  </si>
  <si>
    <t>Mensajero-Distribuidor</t>
  </si>
  <si>
    <t>Vendedor</t>
  </si>
  <si>
    <t>Contador</t>
  </si>
  <si>
    <t>Resultado Acumulado</t>
  </si>
  <si>
    <t>Flujo de Caja Acumulado</t>
  </si>
  <si>
    <t>Resultado Ejercicios Anteriores</t>
  </si>
  <si>
    <t>Servicios Profesionales administrativos</t>
  </si>
  <si>
    <t>Gasto</t>
  </si>
  <si>
    <t>Costo</t>
  </si>
  <si>
    <t>Total Costos</t>
  </si>
  <si>
    <t xml:space="preserve">GASTOS  </t>
  </si>
  <si>
    <t>UTILIDAD OPERACIONAL</t>
  </si>
  <si>
    <t>Otros CI_ Arrendamiento</t>
  </si>
  <si>
    <t>Otros CI_ Servicios pub</t>
  </si>
  <si>
    <t>Costos de Producción</t>
  </si>
  <si>
    <t>Otros CI_ Depreciación</t>
  </si>
  <si>
    <t>Gastos Legales Constitución)</t>
  </si>
  <si>
    <t>Costos de Produccion</t>
  </si>
  <si>
    <t>Total Gasto  Financiero</t>
  </si>
  <si>
    <t>Servicios de Producción y (Honorarios)</t>
  </si>
  <si>
    <t>Ventas</t>
  </si>
  <si>
    <t>Mobiliario oficina</t>
  </si>
  <si>
    <t>Plazo diferido</t>
  </si>
  <si>
    <t>Valor diferido</t>
  </si>
  <si>
    <t>Amortización Mensual</t>
  </si>
  <si>
    <t>Total amortizaciones</t>
  </si>
  <si>
    <t>UTILIDAD BRUTA</t>
  </si>
  <si>
    <t>GASTOS FINANCIEROS</t>
  </si>
  <si>
    <t>Gastos Legales Constitucion</t>
  </si>
  <si>
    <t>COSTO DE VENTAS</t>
  </si>
  <si>
    <t>UTILIDAD NETA ANTES DE IMPUESTOS</t>
  </si>
  <si>
    <t>EGRESOS ADMINISTRATIVOS</t>
  </si>
  <si>
    <t>GASTOS GENERALES</t>
  </si>
  <si>
    <t>COSTOS DE PRODUCCIÓN</t>
  </si>
  <si>
    <t>INVERSIÓN EN EQUIPOS Y ACCESORIOS</t>
  </si>
  <si>
    <t>EGRESOS FINANCIEROS</t>
  </si>
  <si>
    <t>FLUJO DE CAJA ACUMULADO</t>
  </si>
  <si>
    <t>AÑO 2012</t>
  </si>
  <si>
    <t>AÑO 2013</t>
  </si>
  <si>
    <t>AÑO 2014</t>
  </si>
  <si>
    <t>AÑO 2015</t>
  </si>
  <si>
    <t>AÑO 2016</t>
  </si>
  <si>
    <t>FLUJO DE CAJA</t>
  </si>
  <si>
    <t>CIOCCOLATTO AMBER</t>
  </si>
  <si>
    <t>ESTADO DE RESULTADOS PRESUPUESTADO</t>
  </si>
  <si>
    <t>TOTAL INGRESOS OPERACIONALES DE EFECTIVO</t>
  </si>
  <si>
    <t>SALDO OPERACIONAL</t>
  </si>
  <si>
    <t>SALDO DEL PERIODO</t>
  </si>
  <si>
    <t>FLUJO DE CAJA DE JUNIO A DICIEMBRE DE 2012</t>
  </si>
  <si>
    <t>GASTOS OPERACIONALES</t>
  </si>
  <si>
    <t>TOTAL EGRESOS OPERACIONALES DE  EFECTIVO</t>
  </si>
  <si>
    <t>Aporte Inicial ($41.000.000) y Préstamo ($40.000.000)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</si>
</sst>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  <numFmt numFmtId="187" formatCode="#,##0;[Red]#,##0"/>
    <numFmt numFmtId="188" formatCode="_(* #,##0_);_(* \(#,##0\);_(* &quot;-&quot;??_);_(@_)"/>
    <numFmt numFmtId="189" formatCode="00"/>
    <numFmt numFmtId="190" formatCode="mmmm\-yy"/>
    <numFmt numFmtId="191" formatCode="&quot;$&quot;#,##0"/>
    <numFmt numFmtId="192" formatCode="0.0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_ ;[Red]\-#,##0\ "/>
    <numFmt numFmtId="198" formatCode="#,##0.000000"/>
    <numFmt numFmtId="199" formatCode="#,##0.0"/>
    <numFmt numFmtId="200" formatCode="[$-240A]dddd\,\ dd&quot; de &quot;mmmm&quot; de &quot;yyyy"/>
    <numFmt numFmtId="201" formatCode="d/m/yy;@"/>
    <numFmt numFmtId="202" formatCode="mmm\-yyyy"/>
    <numFmt numFmtId="203" formatCode="0.000"/>
    <numFmt numFmtId="204" formatCode="0.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b/>
      <sz val="12"/>
      <name val="Tahoma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1.5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b/>
      <sz val="11.5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 style="thick">
        <color rgb="FF9BBB59"/>
      </bottom>
    </border>
    <border>
      <left>
        <color indexed="63"/>
      </left>
      <right style="medium">
        <color rgb="FF9BBB59"/>
      </right>
      <top style="medium">
        <color rgb="FF9BBB59"/>
      </top>
      <bottom style="thick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>
        <color indexed="63"/>
      </left>
      <right style="medium">
        <color rgb="FF9BBB59"/>
      </right>
      <top>
        <color indexed="63"/>
      </top>
      <bottom style="medium">
        <color rgb="FF9BBB5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9BBB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90" fontId="3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90" fontId="3" fillId="0" borderId="22" xfId="0" applyNumberFormat="1" applyFont="1" applyBorder="1" applyAlignment="1">
      <alignment horizontal="center"/>
    </xf>
    <xf numFmtId="191" fontId="5" fillId="0" borderId="0" xfId="0" applyNumberFormat="1" applyFont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0" xfId="0" applyNumberFormat="1" applyFont="1" applyAlignment="1">
      <alignment/>
    </xf>
    <xf numFmtId="0" fontId="3" fillId="33" borderId="14" xfId="0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7" fontId="7" fillId="0" borderId="12" xfId="0" applyNumberFormat="1" applyFont="1" applyBorder="1" applyAlignment="1" applyProtection="1">
      <alignment horizontal="left"/>
      <protection hidden="1"/>
    </xf>
    <xf numFmtId="3" fontId="5" fillId="0" borderId="21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3" fontId="5" fillId="33" borderId="15" xfId="0" applyNumberFormat="1" applyFont="1" applyFill="1" applyBorder="1" applyAlignment="1">
      <alignment/>
    </xf>
    <xf numFmtId="37" fontId="6" fillId="0" borderId="13" xfId="0" applyNumberFormat="1" applyFont="1" applyBorder="1" applyAlignment="1" applyProtection="1">
      <alignment horizontal="left"/>
      <protection hidden="1"/>
    </xf>
    <xf numFmtId="0" fontId="3" fillId="0" borderId="13" xfId="0" applyFont="1" applyBorder="1" applyAlignment="1">
      <alignment/>
    </xf>
    <xf numFmtId="191" fontId="5" fillId="0" borderId="13" xfId="0" applyNumberFormat="1" applyFont="1" applyBorder="1" applyAlignment="1">
      <alignment/>
    </xf>
    <xf numFmtId="189" fontId="3" fillId="0" borderId="10" xfId="0" applyNumberFormat="1" applyFont="1" applyBorder="1" applyAlignment="1">
      <alignment/>
    </xf>
    <xf numFmtId="189" fontId="3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89" fontId="3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89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189" fontId="3" fillId="0" borderId="23" xfId="0" applyNumberFormat="1" applyFont="1" applyBorder="1" applyAlignment="1">
      <alignment/>
    </xf>
    <xf numFmtId="37" fontId="6" fillId="33" borderId="21" xfId="0" applyNumberFormat="1" applyFont="1" applyFill="1" applyBorder="1" applyAlignment="1" applyProtection="1">
      <alignment horizontal="left"/>
      <protection hidden="1"/>
    </xf>
    <xf numFmtId="37" fontId="6" fillId="0" borderId="0" xfId="0" applyNumberFormat="1" applyFont="1" applyAlignment="1" applyProtection="1">
      <alignment horizontal="left"/>
      <protection hidden="1"/>
    </xf>
    <xf numFmtId="3" fontId="3" fillId="33" borderId="24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5" fillId="0" borderId="23" xfId="0" applyFont="1" applyBorder="1" applyAlignment="1">
      <alignment/>
    </xf>
    <xf numFmtId="37" fontId="6" fillId="33" borderId="12" xfId="0" applyNumberFormat="1" applyFont="1" applyFill="1" applyBorder="1" applyAlignment="1" applyProtection="1">
      <alignment horizontal="left"/>
      <protection hidden="1"/>
    </xf>
    <xf numFmtId="3" fontId="3" fillId="0" borderId="11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7" fontId="6" fillId="0" borderId="23" xfId="0" applyNumberFormat="1" applyFont="1" applyBorder="1" applyAlignment="1" applyProtection="1">
      <alignment horizontal="center"/>
      <protection hidden="1"/>
    </xf>
    <xf numFmtId="0" fontId="3" fillId="33" borderId="15" xfId="0" applyFont="1" applyFill="1" applyBorder="1" applyAlignment="1">
      <alignment/>
    </xf>
    <xf numFmtId="37" fontId="6" fillId="0" borderId="23" xfId="0" applyNumberFormat="1" applyFont="1" applyBorder="1" applyAlignment="1" applyProtection="1">
      <alignment horizontal="left"/>
      <protection hidden="1"/>
    </xf>
    <xf numFmtId="37" fontId="6" fillId="0" borderId="0" xfId="0" applyNumberFormat="1" applyFont="1" applyAlignment="1" applyProtection="1">
      <alignment horizontal="center"/>
      <protection hidden="1"/>
    </xf>
    <xf numFmtId="3" fontId="3" fillId="33" borderId="12" xfId="0" applyNumberFormat="1" applyFont="1" applyFill="1" applyBorder="1" applyAlignment="1">
      <alignment horizontal="center" vertical="center"/>
    </xf>
    <xf numFmtId="189" fontId="3" fillId="0" borderId="18" xfId="0" applyNumberFormat="1" applyFont="1" applyBorder="1" applyAlignment="1">
      <alignment/>
    </xf>
    <xf numFmtId="37" fontId="6" fillId="0" borderId="13" xfId="0" applyNumberFormat="1" applyFont="1" applyBorder="1" applyAlignment="1" applyProtection="1">
      <alignment horizontal="center"/>
      <protection hidden="1"/>
    </xf>
    <xf numFmtId="3" fontId="3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55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56" fillId="0" borderId="25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 wrapText="1"/>
    </xf>
    <xf numFmtId="3" fontId="56" fillId="0" borderId="26" xfId="0" applyNumberFormat="1" applyFont="1" applyFill="1" applyBorder="1" applyAlignment="1">
      <alignment horizontal="center" vertical="center"/>
    </xf>
    <xf numFmtId="3" fontId="57" fillId="0" borderId="27" xfId="0" applyNumberFormat="1" applyFont="1" applyFill="1" applyBorder="1" applyAlignment="1">
      <alignment vertical="center"/>
    </xf>
    <xf numFmtId="3" fontId="57" fillId="0" borderId="28" xfId="0" applyNumberFormat="1" applyFont="1" applyFill="1" applyBorder="1" applyAlignment="1">
      <alignment horizontal="right" vertical="center" wrapText="1"/>
    </xf>
    <xf numFmtId="3" fontId="57" fillId="0" borderId="28" xfId="0" applyNumberFormat="1" applyFont="1" applyFill="1" applyBorder="1" applyAlignment="1">
      <alignment horizontal="right" vertical="center"/>
    </xf>
    <xf numFmtId="3" fontId="56" fillId="0" borderId="27" xfId="0" applyNumberFormat="1" applyFont="1" applyFill="1" applyBorder="1" applyAlignment="1">
      <alignment horizontal="right" vertical="center"/>
    </xf>
    <xf numFmtId="3" fontId="56" fillId="0" borderId="28" xfId="0" applyNumberFormat="1" applyFont="1" applyFill="1" applyBorder="1" applyAlignment="1">
      <alignment horizontal="right" vertical="center" wrapText="1"/>
    </xf>
    <xf numFmtId="3" fontId="56" fillId="0" borderId="28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190" fontId="3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/>
    </xf>
    <xf numFmtId="3" fontId="13" fillId="34" borderId="12" xfId="0" applyNumberFormat="1" applyFont="1" applyFill="1" applyBorder="1" applyAlignment="1">
      <alignment vertical="center" wrapText="1"/>
    </xf>
    <xf numFmtId="3" fontId="14" fillId="34" borderId="12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9" fontId="3" fillId="0" borderId="11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center"/>
      <protection hidden="1"/>
    </xf>
    <xf numFmtId="3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4" fillId="35" borderId="0" xfId="0" applyFont="1" applyFill="1" applyAlignment="1">
      <alignment/>
    </xf>
    <xf numFmtId="0" fontId="35" fillId="35" borderId="0" xfId="0" applyFont="1" applyFill="1" applyAlignment="1">
      <alignment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6" fillId="35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4:F18" totalsRowShown="0">
  <tableColumns count="6">
    <tableColumn id="1" name="CONCEPTO"/>
    <tableColumn id="2" name="AÑO 2012"/>
    <tableColumn id="3" name="AÑO 2013"/>
    <tableColumn id="4" name="AÑO 2014"/>
    <tableColumn id="5" name="AÑO 2015"/>
    <tableColumn id="6" name="AÑO 201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4:E26" totalsRowShown="0">
  <tableColumns count="5">
    <tableColumn id="1" name="CONCEPTO"/>
    <tableColumn id="2" name="AÑO 2012"/>
    <tableColumn id="3" name="AÑO 2013"/>
    <tableColumn id="4" name="AÑO 2014"/>
    <tableColumn id="5" name="AÑO 201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PageLayoutView="0" workbookViewId="0" topLeftCell="C12">
      <selection activeCell="E28" sqref="E28"/>
    </sheetView>
  </sheetViews>
  <sheetFormatPr defaultColWidth="10.421875" defaultRowHeight="12.75"/>
  <cols>
    <col min="1" max="1" width="1.7109375" style="2" customWidth="1"/>
    <col min="2" max="2" width="2.28125" style="18" customWidth="1"/>
    <col min="3" max="3" width="41.140625" style="58" bestFit="1" customWidth="1"/>
    <col min="4" max="4" width="3.28125" style="58" customWidth="1"/>
    <col min="5" max="5" width="11.140625" style="58" bestFit="1" customWidth="1"/>
    <col min="6" max="6" width="8.140625" style="58" bestFit="1" customWidth="1"/>
    <col min="7" max="8" width="10.140625" style="58" bestFit="1" customWidth="1"/>
    <col min="9" max="9" width="13.7109375" style="58" bestFit="1" customWidth="1"/>
    <col min="10" max="10" width="10.421875" style="58" bestFit="1" customWidth="1"/>
    <col min="11" max="11" width="13.28125" style="58" bestFit="1" customWidth="1"/>
    <col min="12" max="16" width="12.7109375" style="58" bestFit="1" customWidth="1"/>
    <col min="17" max="18" width="3.28125" style="58" customWidth="1"/>
    <col min="19" max="16384" width="10.421875" style="58" customWidth="1"/>
  </cols>
  <sheetData>
    <row r="1" spans="3:17" s="17" customFormat="1" ht="15">
      <c r="C1" s="145" t="str">
        <f>+'Notas B G'!C2:F2</f>
        <v>CIOCCOLATO AMBER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3:17" s="17" customFormat="1" ht="12.75">
      <c r="C2" s="147" t="s">
        <v>88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3:16" s="17" customFormat="1" ht="15">
      <c r="C3" s="8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8" ht="12.75">
      <c r="B4" s="55"/>
      <c r="C4" s="56"/>
      <c r="D4" s="57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19"/>
    </row>
    <row r="5" spans="1:17" s="17" customFormat="1" ht="12.75">
      <c r="A5" s="2"/>
      <c r="B5" s="59"/>
      <c r="E5" s="5" t="s">
        <v>154</v>
      </c>
      <c r="F5" s="5">
        <v>41090</v>
      </c>
      <c r="G5" s="5">
        <v>41121</v>
      </c>
      <c r="H5" s="5">
        <v>41152</v>
      </c>
      <c r="I5" s="5">
        <v>41182</v>
      </c>
      <c r="J5" s="5">
        <v>41213</v>
      </c>
      <c r="K5" s="5">
        <v>41243</v>
      </c>
      <c r="L5" s="5">
        <v>41274</v>
      </c>
      <c r="M5" s="5" t="s">
        <v>155</v>
      </c>
      <c r="N5" s="5" t="s">
        <v>156</v>
      </c>
      <c r="O5" s="5" t="s">
        <v>157</v>
      </c>
      <c r="P5" s="5" t="s">
        <v>193</v>
      </c>
      <c r="Q5" s="3"/>
    </row>
    <row r="6" spans="2:17" ht="12.75">
      <c r="B6" s="59"/>
      <c r="C6" s="60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</row>
    <row r="7" spans="2:17" s="2" customFormat="1" ht="12.75">
      <c r="B7" s="61"/>
      <c r="C7" s="62" t="s">
        <v>297</v>
      </c>
      <c r="D7" s="63"/>
      <c r="E7" s="64">
        <f>+E8+E9-E10-E11</f>
        <v>101250000</v>
      </c>
      <c r="F7" s="64">
        <f>+F8+F9-F10-F11</f>
        <v>0</v>
      </c>
      <c r="G7" s="64">
        <f>+G8+G9-G10-G11</f>
        <v>16000000</v>
      </c>
      <c r="H7" s="64">
        <f>+H8+H9-H10-H11</f>
        <v>16000000</v>
      </c>
      <c r="I7" s="64">
        <f aca="true" t="shared" si="0" ref="I7:P7">+I8+I9-I10-I11</f>
        <v>16000000</v>
      </c>
      <c r="J7" s="64">
        <f t="shared" si="0"/>
        <v>17750000</v>
      </c>
      <c r="K7" s="64">
        <f t="shared" si="0"/>
        <v>17750000</v>
      </c>
      <c r="L7" s="64">
        <f t="shared" si="0"/>
        <v>17750000</v>
      </c>
      <c r="M7" s="64">
        <f t="shared" si="0"/>
        <v>231000000</v>
      </c>
      <c r="N7" s="64">
        <f t="shared" si="0"/>
        <v>231000000</v>
      </c>
      <c r="O7" s="64">
        <f t="shared" si="0"/>
        <v>231000000</v>
      </c>
      <c r="P7" s="64">
        <f t="shared" si="0"/>
        <v>231000000</v>
      </c>
      <c r="Q7" s="65"/>
    </row>
    <row r="8" spans="2:17" ht="12.75">
      <c r="B8" s="66"/>
      <c r="C8" s="7" t="s">
        <v>102</v>
      </c>
      <c r="D8" s="67"/>
      <c r="E8" s="8">
        <f>SUM(F8:L8)</f>
        <v>78750000</v>
      </c>
      <c r="F8" s="8">
        <f>+'Información Flujo de Caja'!F8</f>
        <v>0</v>
      </c>
      <c r="G8" s="8">
        <f>+'Información Flujo de Caja'!G8</f>
        <v>12500000</v>
      </c>
      <c r="H8" s="8">
        <f>+'Información Flujo de Caja'!H8</f>
        <v>12500000</v>
      </c>
      <c r="I8" s="8">
        <f>+'Información Flujo de Caja'!I8</f>
        <v>12500000</v>
      </c>
      <c r="J8" s="8">
        <f>+'Información Flujo de Caja'!J8</f>
        <v>13750000</v>
      </c>
      <c r="K8" s="8">
        <f>+'Información Flujo de Caja'!K8</f>
        <v>13750000</v>
      </c>
      <c r="L8" s="8">
        <f>+'Información Flujo de Caja'!L8</f>
        <v>13750000</v>
      </c>
      <c r="M8" s="8">
        <f>+'Información Flujo de Caja'!M8</f>
        <v>180000000</v>
      </c>
      <c r="N8" s="8">
        <f>+'Información Flujo de Caja'!N8</f>
        <v>180000000</v>
      </c>
      <c r="O8" s="8">
        <f>+'Información Flujo de Caja'!O8</f>
        <v>180000000</v>
      </c>
      <c r="P8" s="8">
        <f>+'Información Flujo de Caja'!P8</f>
        <v>180000000</v>
      </c>
      <c r="Q8" s="3"/>
    </row>
    <row r="9" spans="2:17" ht="12.75">
      <c r="B9" s="66"/>
      <c r="C9" s="7" t="s">
        <v>214</v>
      </c>
      <c r="D9" s="67"/>
      <c r="E9" s="8">
        <f>SUM(F9:L9)</f>
        <v>22500000</v>
      </c>
      <c r="F9" s="8">
        <f>+'Información Flujo de Caja'!F9</f>
        <v>0</v>
      </c>
      <c r="G9" s="8">
        <f>+'Información Flujo de Caja'!G9</f>
        <v>3500000</v>
      </c>
      <c r="H9" s="8">
        <f>+'Información Flujo de Caja'!H9</f>
        <v>3500000</v>
      </c>
      <c r="I9" s="8">
        <f>+'Información Flujo de Caja'!I9</f>
        <v>3500000</v>
      </c>
      <c r="J9" s="8">
        <f>+'Información Flujo de Caja'!J9</f>
        <v>4000000</v>
      </c>
      <c r="K9" s="8">
        <f>+'Información Flujo de Caja'!K9</f>
        <v>4000000</v>
      </c>
      <c r="L9" s="8">
        <f>+'Información Flujo de Caja'!L9</f>
        <v>4000000</v>
      </c>
      <c r="M9" s="8">
        <f>+'Información Flujo de Caja'!M9</f>
        <v>51000000</v>
      </c>
      <c r="N9" s="8">
        <f>+'Información Flujo de Caja'!N9</f>
        <v>51000000</v>
      </c>
      <c r="O9" s="8">
        <f>+'Información Flujo de Caja'!O9</f>
        <v>51000000</v>
      </c>
      <c r="P9" s="8">
        <f>+'Información Flujo de Caja'!P9</f>
        <v>51000000</v>
      </c>
      <c r="Q9" s="3"/>
    </row>
    <row r="10" spans="2:17" ht="12.75" hidden="1">
      <c r="B10" s="66"/>
      <c r="C10" s="7" t="s">
        <v>216</v>
      </c>
      <c r="D10" s="67"/>
      <c r="E10" s="8">
        <v>0</v>
      </c>
      <c r="F10" s="8">
        <f>+'Información Flujo de Caja'!F11</f>
        <v>0</v>
      </c>
      <c r="G10" s="8">
        <f>+'Información Flujo de Caja'!G11</f>
        <v>0</v>
      </c>
      <c r="H10" s="8">
        <f>+'Información Flujo de Caja'!H11</f>
        <v>0</v>
      </c>
      <c r="I10" s="8">
        <f>+'Información Flujo de Caja'!I11</f>
        <v>0</v>
      </c>
      <c r="J10" s="8">
        <f>+'Información Flujo de Caja'!J11</f>
        <v>0</v>
      </c>
      <c r="K10" s="8">
        <f>+'Información Flujo de Caja'!K11</f>
        <v>0</v>
      </c>
      <c r="L10" s="8">
        <f>+'Información Flujo de Caja'!L11</f>
        <v>0</v>
      </c>
      <c r="M10" s="8">
        <f>+'Información Flujo de Caja'!M11</f>
        <v>0</v>
      </c>
      <c r="N10" s="8">
        <f>+'Información Flujo de Caja'!N11</f>
        <v>0</v>
      </c>
      <c r="O10" s="8">
        <f>+'Información Flujo de Caja'!O11</f>
        <v>0</v>
      </c>
      <c r="P10" s="8">
        <f>+'Información Flujo de Caja'!P11</f>
        <v>0</v>
      </c>
      <c r="Q10" s="3"/>
    </row>
    <row r="11" spans="2:17" ht="12.75" hidden="1">
      <c r="B11" s="66"/>
      <c r="C11" s="7" t="s">
        <v>217</v>
      </c>
      <c r="D11" s="67"/>
      <c r="E11" s="8">
        <v>0</v>
      </c>
      <c r="F11" s="8">
        <f>+'Información Flujo de Caja'!F12</f>
        <v>0</v>
      </c>
      <c r="G11" s="8">
        <f>+'Información Flujo de Caja'!G12</f>
        <v>0</v>
      </c>
      <c r="H11" s="8">
        <f>+'Información Flujo de Caja'!H12</f>
        <v>0</v>
      </c>
      <c r="I11" s="8">
        <f>+'Información Flujo de Caja'!I12</f>
        <v>0</v>
      </c>
      <c r="J11" s="8">
        <f>+'Información Flujo de Caja'!J12</f>
        <v>0</v>
      </c>
      <c r="K11" s="8">
        <f>+'Información Flujo de Caja'!K12</f>
        <v>0</v>
      </c>
      <c r="L11" s="8">
        <f>+'Información Flujo de Caja'!L12</f>
        <v>0</v>
      </c>
      <c r="M11" s="8">
        <f>+'Información Flujo de Caja'!M12</f>
        <v>0</v>
      </c>
      <c r="N11" s="8">
        <f>+'Información Flujo de Caja'!N12</f>
        <v>0</v>
      </c>
      <c r="O11" s="8">
        <f>+'Información Flujo de Caja'!O12</f>
        <v>0</v>
      </c>
      <c r="P11" s="8">
        <f>+'Información Flujo de Caja'!P12</f>
        <v>0</v>
      </c>
      <c r="Q11" s="3"/>
    </row>
    <row r="12" spans="2:17" s="2" customFormat="1" ht="12.75">
      <c r="B12" s="6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5"/>
    </row>
    <row r="13" spans="2:17" s="2" customFormat="1" ht="12.75">
      <c r="B13" s="66"/>
      <c r="C13" s="68" t="s">
        <v>184</v>
      </c>
      <c r="D13" s="69"/>
      <c r="E13" s="70">
        <f aca="true" t="shared" si="1" ref="E13:P13">+E7</f>
        <v>101250000</v>
      </c>
      <c r="F13" s="70">
        <f t="shared" si="1"/>
        <v>0</v>
      </c>
      <c r="G13" s="70">
        <f t="shared" si="1"/>
        <v>16000000</v>
      </c>
      <c r="H13" s="70">
        <f t="shared" si="1"/>
        <v>16000000</v>
      </c>
      <c r="I13" s="70">
        <f t="shared" si="1"/>
        <v>16000000</v>
      </c>
      <c r="J13" s="70">
        <f t="shared" si="1"/>
        <v>17750000</v>
      </c>
      <c r="K13" s="70">
        <f t="shared" si="1"/>
        <v>17750000</v>
      </c>
      <c r="L13" s="70">
        <f t="shared" si="1"/>
        <v>17750000</v>
      </c>
      <c r="M13" s="70">
        <f t="shared" si="1"/>
        <v>231000000</v>
      </c>
      <c r="N13" s="70">
        <f t="shared" si="1"/>
        <v>231000000</v>
      </c>
      <c r="O13" s="70">
        <f t="shared" si="1"/>
        <v>231000000</v>
      </c>
      <c r="P13" s="70">
        <f t="shared" si="1"/>
        <v>231000000</v>
      </c>
      <c r="Q13" s="65"/>
    </row>
    <row r="14" spans="2:17" s="2" customFormat="1" ht="12.75">
      <c r="B14" s="66"/>
      <c r="C14" s="9"/>
      <c r="D14" s="10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65"/>
    </row>
    <row r="15" spans="2:17" s="2" customFormat="1" ht="12.75">
      <c r="B15" s="66"/>
      <c r="C15" s="60" t="s">
        <v>185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65"/>
    </row>
    <row r="16" spans="2:17" ht="12.75">
      <c r="B16" s="59"/>
      <c r="C16" s="73" t="s">
        <v>291</v>
      </c>
      <c r="D16" s="74"/>
      <c r="E16" s="70">
        <f>SUM(E18:E20)</f>
        <v>49867230</v>
      </c>
      <c r="F16" s="70">
        <f aca="true" t="shared" si="2" ref="F16:P16">SUM(F18:F20)</f>
        <v>0</v>
      </c>
      <c r="G16" s="70">
        <f t="shared" si="2"/>
        <v>8020905</v>
      </c>
      <c r="H16" s="70">
        <f t="shared" si="2"/>
        <v>8020905</v>
      </c>
      <c r="I16" s="70">
        <f t="shared" si="2"/>
        <v>8020905</v>
      </c>
      <c r="J16" s="70">
        <f t="shared" si="2"/>
        <v>8601505</v>
      </c>
      <c r="K16" s="70">
        <f t="shared" si="2"/>
        <v>8601505</v>
      </c>
      <c r="L16" s="70">
        <f t="shared" si="2"/>
        <v>8601505</v>
      </c>
      <c r="M16" s="70">
        <f t="shared" si="2"/>
        <v>109764660</v>
      </c>
      <c r="N16" s="70">
        <f t="shared" si="2"/>
        <v>109764660</v>
      </c>
      <c r="O16" s="70">
        <f t="shared" si="2"/>
        <v>109764660</v>
      </c>
      <c r="P16" s="70">
        <f t="shared" si="2"/>
        <v>109764660</v>
      </c>
      <c r="Q16" s="3"/>
    </row>
    <row r="17" spans="1:17" s="1" customFormat="1" ht="12.75">
      <c r="A17" s="2"/>
      <c r="B17" s="59"/>
      <c r="C17" s="97"/>
      <c r="D17" s="83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65"/>
    </row>
    <row r="18" spans="1:17" s="1" customFormat="1" ht="12.75">
      <c r="A18" s="2"/>
      <c r="B18" s="59"/>
      <c r="C18" s="89" t="s">
        <v>140</v>
      </c>
      <c r="D18" s="65"/>
      <c r="E18" s="91">
        <f>SUM(F18:L18)</f>
        <v>33840000</v>
      </c>
      <c r="F18" s="91">
        <f>+'Información Flujo de Caja'!R51</f>
        <v>0</v>
      </c>
      <c r="G18" s="91">
        <f>+'Información Flujo de Caja'!G51</f>
        <v>5362200</v>
      </c>
      <c r="H18" s="91">
        <f>+'Información Flujo de Caja'!H51</f>
        <v>5362200</v>
      </c>
      <c r="I18" s="91">
        <f>+'Información Flujo de Caja'!I51</f>
        <v>5362200</v>
      </c>
      <c r="J18" s="91">
        <f>+'Información Flujo de Caja'!J51</f>
        <v>5917800</v>
      </c>
      <c r="K18" s="91">
        <f>+'Información Flujo de Caja'!K51</f>
        <v>5917800</v>
      </c>
      <c r="L18" s="91">
        <f>+'Información Flujo de Caja'!L51</f>
        <v>5917800</v>
      </c>
      <c r="M18" s="91">
        <f>+'Información Flujo de Caja'!M51</f>
        <v>77293200</v>
      </c>
      <c r="N18" s="91">
        <f>+'Información Flujo de Caja'!N51</f>
        <v>77293200</v>
      </c>
      <c r="O18" s="91">
        <f>+'Información Flujo de Caja'!O51</f>
        <v>77293200</v>
      </c>
      <c r="P18" s="91">
        <f>+'Información Flujo de Caja'!P51</f>
        <v>77293200</v>
      </c>
      <c r="Q18" s="65"/>
    </row>
    <row r="19" spans="1:17" s="1" customFormat="1" ht="12.75">
      <c r="A19" s="2"/>
      <c r="B19" s="59"/>
      <c r="C19" s="89" t="s">
        <v>141</v>
      </c>
      <c r="D19" s="65"/>
      <c r="E19" s="91">
        <f>SUM(F19:L19)</f>
        <v>1476000</v>
      </c>
      <c r="F19" s="91">
        <f>+'Información Flujo de Caja'!R52</f>
        <v>0</v>
      </c>
      <c r="G19" s="91">
        <f>+'Información Flujo de Caja'!G80</f>
        <v>233500</v>
      </c>
      <c r="H19" s="91">
        <f>+'Información Flujo de Caja'!H80</f>
        <v>233500</v>
      </c>
      <c r="I19" s="91">
        <f>+'Información Flujo de Caja'!I80</f>
        <v>233500</v>
      </c>
      <c r="J19" s="91">
        <f>+'Información Flujo de Caja'!J80</f>
        <v>258500</v>
      </c>
      <c r="K19" s="91">
        <f>+'Información Flujo de Caja'!K80</f>
        <v>258500</v>
      </c>
      <c r="L19" s="91">
        <f>+'Información Flujo de Caja'!L80</f>
        <v>258500</v>
      </c>
      <c r="M19" s="91">
        <f>+'Información Flujo de Caja'!M80</f>
        <v>3369000</v>
      </c>
      <c r="N19" s="91">
        <f>+'Información Flujo de Caja'!N80</f>
        <v>3369000</v>
      </c>
      <c r="O19" s="91">
        <f>+'Información Flujo de Caja'!O80</f>
        <v>3369000</v>
      </c>
      <c r="P19" s="91">
        <f>+'Información Flujo de Caja'!P80</f>
        <v>3369000</v>
      </c>
      <c r="Q19" s="65"/>
    </row>
    <row r="20" spans="1:17" s="1" customFormat="1" ht="12.75">
      <c r="A20" s="2"/>
      <c r="B20" s="59"/>
      <c r="C20" s="89" t="s">
        <v>296</v>
      </c>
      <c r="D20" s="83"/>
      <c r="E20" s="91">
        <f>SUM(F20:L20)</f>
        <v>14551230</v>
      </c>
      <c r="F20" s="91">
        <f>+'Información Flujo de Caja'!R53</f>
        <v>0</v>
      </c>
      <c r="G20" s="98">
        <f>+'Honorarios y Servicios'!D4+'Honorarios y Servicios'!D5</f>
        <v>2425205</v>
      </c>
      <c r="H20" s="98">
        <f>+'Honorarios y Servicios'!E4+'Honorarios y Servicios'!E5</f>
        <v>2425205</v>
      </c>
      <c r="I20" s="98">
        <f>+'Honorarios y Servicios'!F4+'Honorarios y Servicios'!F5</f>
        <v>2425205</v>
      </c>
      <c r="J20" s="98">
        <f>+'Honorarios y Servicios'!G4+'Honorarios y Servicios'!G5</f>
        <v>2425205</v>
      </c>
      <c r="K20" s="98">
        <f>+'Honorarios y Servicios'!H4+'Honorarios y Servicios'!H5</f>
        <v>2425205</v>
      </c>
      <c r="L20" s="98">
        <f>+'Honorarios y Servicios'!I4+'Honorarios y Servicios'!I5</f>
        <v>2425205</v>
      </c>
      <c r="M20" s="98">
        <f>+'Honorarios y Servicios'!J4+'Honorarios y Servicios'!J5</f>
        <v>29102460</v>
      </c>
      <c r="N20" s="98">
        <f>+'Honorarios y Servicios'!K4+'Honorarios y Servicios'!K5</f>
        <v>29102460</v>
      </c>
      <c r="O20" s="98">
        <f>+'Honorarios y Servicios'!L4+'Honorarios y Servicios'!L5</f>
        <v>29102460</v>
      </c>
      <c r="P20" s="98">
        <f>+'Honorarios y Servicios'!M4+'Honorarios y Servicios'!M5</f>
        <v>29102460</v>
      </c>
      <c r="Q20" s="65"/>
    </row>
    <row r="21" spans="2:17" ht="12.75">
      <c r="B21" s="59"/>
      <c r="C21" s="10"/>
      <c r="D21" s="7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"/>
    </row>
    <row r="22" spans="2:17" ht="12.75">
      <c r="B22" s="59"/>
      <c r="C22" s="73" t="s">
        <v>70</v>
      </c>
      <c r="D22" s="74"/>
      <c r="E22" s="70">
        <f>SUM(E24:E25)</f>
        <v>8883333.333333334</v>
      </c>
      <c r="F22" s="70">
        <f aca="true" t="shared" si="3" ref="F22:P22">SUM(F24:F25)</f>
        <v>0</v>
      </c>
      <c r="G22" s="70">
        <f t="shared" si="3"/>
        <v>1480555.5555555555</v>
      </c>
      <c r="H22" s="70">
        <f t="shared" si="3"/>
        <v>1480555.5555555555</v>
      </c>
      <c r="I22" s="70">
        <f t="shared" si="3"/>
        <v>1480555.5555555555</v>
      </c>
      <c r="J22" s="70">
        <f t="shared" si="3"/>
        <v>1480555.5555555555</v>
      </c>
      <c r="K22" s="70">
        <f t="shared" si="3"/>
        <v>1480555.5555555555</v>
      </c>
      <c r="L22" s="70">
        <f t="shared" si="3"/>
        <v>1480555.5555555555</v>
      </c>
      <c r="M22" s="70">
        <f t="shared" si="3"/>
        <v>14883333.333333334</v>
      </c>
      <c r="N22" s="70">
        <f t="shared" si="3"/>
        <v>17766666.666666668</v>
      </c>
      <c r="O22" s="70">
        <f t="shared" si="3"/>
        <v>17766666.666666668</v>
      </c>
      <c r="P22" s="70">
        <f t="shared" si="3"/>
        <v>17766666.666666668</v>
      </c>
      <c r="Q22" s="3"/>
    </row>
    <row r="23" spans="1:17" s="1" customFormat="1" ht="12.75">
      <c r="A23" s="2"/>
      <c r="B23" s="59"/>
      <c r="C23" s="97"/>
      <c r="D23" s="83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65"/>
    </row>
    <row r="24" spans="1:17" s="1" customFormat="1" ht="12.75">
      <c r="A24" s="2"/>
      <c r="B24" s="59"/>
      <c r="C24" s="89" t="s">
        <v>292</v>
      </c>
      <c r="D24" s="83"/>
      <c r="E24" s="91">
        <f>SUM(F24:L24)</f>
        <v>2883333.3333333335</v>
      </c>
      <c r="F24" s="98"/>
      <c r="G24" s="98">
        <f>SUM('Activos Fijos Depreciables'!E3:E8)</f>
        <v>480555.55555555556</v>
      </c>
      <c r="H24" s="98">
        <f>+G24</f>
        <v>480555.55555555556</v>
      </c>
      <c r="I24" s="98">
        <f>+H24</f>
        <v>480555.55555555556</v>
      </c>
      <c r="J24" s="98">
        <f>+I24</f>
        <v>480555.55555555556</v>
      </c>
      <c r="K24" s="98">
        <f>+J24</f>
        <v>480555.55555555556</v>
      </c>
      <c r="L24" s="98">
        <f>+K24</f>
        <v>480555.55555555556</v>
      </c>
      <c r="M24" s="98">
        <f>SUM(G24:L24)</f>
        <v>2883333.3333333335</v>
      </c>
      <c r="N24" s="98">
        <f>+L24*12</f>
        <v>5766666.666666667</v>
      </c>
      <c r="O24" s="98">
        <f>+N24</f>
        <v>5766666.666666667</v>
      </c>
      <c r="P24" s="98">
        <f>+O24</f>
        <v>5766666.666666667</v>
      </c>
      <c r="Q24" s="65"/>
    </row>
    <row r="25" spans="1:17" s="1" customFormat="1" ht="12.75">
      <c r="A25" s="2"/>
      <c r="B25" s="59"/>
      <c r="C25" s="89" t="s">
        <v>289</v>
      </c>
      <c r="D25" s="83"/>
      <c r="E25" s="91">
        <f>SUM(F25:L25)</f>
        <v>6000000</v>
      </c>
      <c r="F25" s="98"/>
      <c r="G25" s="98">
        <f>+'Información Flujo de Caja'!G20</f>
        <v>1000000</v>
      </c>
      <c r="H25" s="98">
        <f>+'Información Flujo de Caja'!H20</f>
        <v>1000000</v>
      </c>
      <c r="I25" s="98">
        <f>+'Información Flujo de Caja'!I20</f>
        <v>1000000</v>
      </c>
      <c r="J25" s="98">
        <f>+'Información Flujo de Caja'!J20</f>
        <v>1000000</v>
      </c>
      <c r="K25" s="98">
        <f>+'Información Flujo de Caja'!K20</f>
        <v>1000000</v>
      </c>
      <c r="L25" s="98">
        <f>+'Información Flujo de Caja'!L20</f>
        <v>1000000</v>
      </c>
      <c r="M25" s="98">
        <f>+'Información Flujo de Caja'!M20</f>
        <v>12000000</v>
      </c>
      <c r="N25" s="98">
        <f>+'Información Flujo de Caja'!N20</f>
        <v>12000000</v>
      </c>
      <c r="O25" s="98">
        <f>+'Información Flujo de Caja'!O20</f>
        <v>12000000</v>
      </c>
      <c r="P25" s="98">
        <f>+'Información Flujo de Caja'!P20</f>
        <v>12000000</v>
      </c>
      <c r="Q25" s="65"/>
    </row>
    <row r="26" spans="1:17" s="1" customFormat="1" ht="12.75">
      <c r="A26" s="2"/>
      <c r="B26" s="59"/>
      <c r="C26" s="89" t="s">
        <v>290</v>
      </c>
      <c r="D26" s="83"/>
      <c r="E26" s="91">
        <f>SUM(F26:L26)</f>
        <v>2400000</v>
      </c>
      <c r="F26" s="98"/>
      <c r="G26" s="98">
        <f>+'Información Flujo de Caja'!G21/2</f>
        <v>400000</v>
      </c>
      <c r="H26" s="98">
        <f>+'Información Flujo de Caja'!H21/2</f>
        <v>400000</v>
      </c>
      <c r="I26" s="98">
        <f>+'Información Flujo de Caja'!I21/2</f>
        <v>400000</v>
      </c>
      <c r="J26" s="98">
        <f>+'Información Flujo de Caja'!J21/2</f>
        <v>400000</v>
      </c>
      <c r="K26" s="98">
        <f>+'Información Flujo de Caja'!K21/2</f>
        <v>400000</v>
      </c>
      <c r="L26" s="98">
        <f>+'Información Flujo de Caja'!L21/2</f>
        <v>400000</v>
      </c>
      <c r="M26" s="98">
        <f>+'Información Flujo de Caja'!M21</f>
        <v>9600000</v>
      </c>
      <c r="N26" s="98">
        <f>+'Información Flujo de Caja'!N21</f>
        <v>9600000</v>
      </c>
      <c r="O26" s="98">
        <f>+'Información Flujo de Caja'!O21</f>
        <v>9600000</v>
      </c>
      <c r="P26" s="98">
        <f>+'Información Flujo de Caja'!P21</f>
        <v>9600000</v>
      </c>
      <c r="Q26" s="65"/>
    </row>
    <row r="27" spans="1:17" s="1" customFormat="1" ht="12.75">
      <c r="A27" s="2"/>
      <c r="B27" s="59"/>
      <c r="C27" s="97" t="s">
        <v>183</v>
      </c>
      <c r="D27" s="83"/>
      <c r="E27" s="98">
        <f>G27+H27+I27+J27+K27+L27</f>
        <v>1203999.9999999995</v>
      </c>
      <c r="F27" s="98"/>
      <c r="G27" s="98">
        <f>Accesorios!$E$21</f>
        <v>200666.6666666666</v>
      </c>
      <c r="H27" s="98">
        <f>Accesorios!$E$21</f>
        <v>200666.6666666666</v>
      </c>
      <c r="I27" s="98">
        <f>Accesorios!$E$21</f>
        <v>200666.6666666666</v>
      </c>
      <c r="J27" s="98">
        <f>Accesorios!$E$21</f>
        <v>200666.6666666666</v>
      </c>
      <c r="K27" s="98">
        <f>Accesorios!$E$21</f>
        <v>200666.6666666666</v>
      </c>
      <c r="L27" s="98">
        <f>Accesorios!$E$21</f>
        <v>200666.6666666666</v>
      </c>
      <c r="M27" s="98">
        <f>L27*6</f>
        <v>1203999.9999999995</v>
      </c>
      <c r="N27" s="98"/>
      <c r="O27" s="98"/>
      <c r="P27" s="98"/>
      <c r="Q27" s="65"/>
    </row>
    <row r="28" spans="2:17" ht="12.75">
      <c r="B28" s="59"/>
      <c r="C28" s="73" t="s">
        <v>286</v>
      </c>
      <c r="D28" s="74"/>
      <c r="E28" s="70">
        <f>+E22+E16</f>
        <v>58750563.333333336</v>
      </c>
      <c r="F28" s="70">
        <f aca="true" t="shared" si="4" ref="F28:P28">+F22+F16</f>
        <v>0</v>
      </c>
      <c r="G28" s="70">
        <f t="shared" si="4"/>
        <v>9501460.555555556</v>
      </c>
      <c r="H28" s="70">
        <f t="shared" si="4"/>
        <v>9501460.555555556</v>
      </c>
      <c r="I28" s="70">
        <f t="shared" si="4"/>
        <v>9501460.555555556</v>
      </c>
      <c r="J28" s="70">
        <f t="shared" si="4"/>
        <v>10082060.555555556</v>
      </c>
      <c r="K28" s="70">
        <f t="shared" si="4"/>
        <v>10082060.555555556</v>
      </c>
      <c r="L28" s="70">
        <f t="shared" si="4"/>
        <v>10082060.555555556</v>
      </c>
      <c r="M28" s="70">
        <f t="shared" si="4"/>
        <v>124647993.33333333</v>
      </c>
      <c r="N28" s="70">
        <f t="shared" si="4"/>
        <v>127531326.66666667</v>
      </c>
      <c r="O28" s="70">
        <f t="shared" si="4"/>
        <v>127531326.66666667</v>
      </c>
      <c r="P28" s="70">
        <f t="shared" si="4"/>
        <v>127531326.66666667</v>
      </c>
      <c r="Q28" s="3"/>
    </row>
    <row r="29" spans="2:17" ht="12.75">
      <c r="B29" s="59"/>
      <c r="C29" s="10"/>
      <c r="D29" s="7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"/>
    </row>
    <row r="30" spans="2:17" ht="12.75">
      <c r="B30" s="59"/>
      <c r="C30" s="73" t="s">
        <v>288</v>
      </c>
      <c r="D30" s="74"/>
      <c r="E30" s="70">
        <f>++E13-E28</f>
        <v>42499436.666666664</v>
      </c>
      <c r="F30" s="70">
        <f aca="true" t="shared" si="5" ref="F30:P30">++F13-F28</f>
        <v>0</v>
      </c>
      <c r="G30" s="70">
        <f t="shared" si="5"/>
        <v>6498539.444444444</v>
      </c>
      <c r="H30" s="70">
        <f t="shared" si="5"/>
        <v>6498539.444444444</v>
      </c>
      <c r="I30" s="70">
        <f t="shared" si="5"/>
        <v>6498539.444444444</v>
      </c>
      <c r="J30" s="70">
        <f t="shared" si="5"/>
        <v>7667939.444444444</v>
      </c>
      <c r="K30" s="70">
        <f t="shared" si="5"/>
        <v>7667939.444444444</v>
      </c>
      <c r="L30" s="70">
        <f t="shared" si="5"/>
        <v>7667939.444444444</v>
      </c>
      <c r="M30" s="70">
        <f t="shared" si="5"/>
        <v>106352006.66666667</v>
      </c>
      <c r="N30" s="70">
        <f t="shared" si="5"/>
        <v>103468673.33333333</v>
      </c>
      <c r="O30" s="70">
        <f t="shared" si="5"/>
        <v>103468673.33333333</v>
      </c>
      <c r="P30" s="70">
        <f t="shared" si="5"/>
        <v>103468673.33333333</v>
      </c>
      <c r="Q30" s="3"/>
    </row>
    <row r="31" spans="2:17" ht="12.75">
      <c r="B31" s="59"/>
      <c r="C31" s="10"/>
      <c r="D31" s="7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"/>
    </row>
    <row r="32" spans="2:17" s="130" customFormat="1" ht="12.75">
      <c r="B32" s="131"/>
      <c r="C32" s="135" t="s">
        <v>287</v>
      </c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2:17" s="2" customFormat="1" ht="12.75">
      <c r="B33" s="66"/>
      <c r="C33" s="68" t="s">
        <v>62</v>
      </c>
      <c r="D33" s="63"/>
      <c r="E33" s="70">
        <f>SUM(E34:E60)</f>
        <v>36112483.333333336</v>
      </c>
      <c r="F33" s="70">
        <f aca="true" t="shared" si="6" ref="F33:P33">SUM(F34:F60)</f>
        <v>0</v>
      </c>
      <c r="G33" s="70">
        <f t="shared" si="6"/>
        <v>6018747.222222223</v>
      </c>
      <c r="H33" s="70">
        <f t="shared" si="6"/>
        <v>6018747.222222223</v>
      </c>
      <c r="I33" s="70">
        <f t="shared" si="6"/>
        <v>6018747.222222223</v>
      </c>
      <c r="J33" s="70">
        <f t="shared" si="6"/>
        <v>6018747.222222223</v>
      </c>
      <c r="K33" s="70">
        <f t="shared" si="6"/>
        <v>6018747.222222223</v>
      </c>
      <c r="L33" s="70">
        <f t="shared" si="6"/>
        <v>6018747.222222223</v>
      </c>
      <c r="M33" s="70">
        <f t="shared" si="6"/>
        <v>77024966.66666667</v>
      </c>
      <c r="N33" s="70">
        <f t="shared" si="6"/>
        <v>77024966.66666667</v>
      </c>
      <c r="O33" s="70">
        <f t="shared" si="6"/>
        <v>77024966.66666667</v>
      </c>
      <c r="P33" s="70">
        <f t="shared" si="6"/>
        <v>77024966.66666667</v>
      </c>
      <c r="Q33" s="65"/>
    </row>
    <row r="34" spans="2:17" s="2" customFormat="1" ht="12.75">
      <c r="B34" s="66"/>
      <c r="C34" s="7" t="s">
        <v>283</v>
      </c>
      <c r="D34" s="67"/>
      <c r="E34" s="8">
        <f>SUM(F34:L34)</f>
        <v>28966650</v>
      </c>
      <c r="F34" s="8"/>
      <c r="G34" s="8">
        <f>+'Honorarios y Servicios'!D6+'Honorarios y Servicios'!D7+'Honorarios y Servicios'!D8+'Honorarios y Servicios'!D9</f>
        <v>4827775</v>
      </c>
      <c r="H34" s="8">
        <f>+'Honorarios y Servicios'!E6+'Honorarios y Servicios'!E7+'Honorarios y Servicios'!E8+'Honorarios y Servicios'!E9</f>
        <v>4827775</v>
      </c>
      <c r="I34" s="8">
        <f>+'Honorarios y Servicios'!F6+'Honorarios y Servicios'!F7+'Honorarios y Servicios'!F8+'Honorarios y Servicios'!F9</f>
        <v>4827775</v>
      </c>
      <c r="J34" s="8">
        <f>+'Honorarios y Servicios'!G6+'Honorarios y Servicios'!G7+'Honorarios y Servicios'!G8+'Honorarios y Servicios'!G9</f>
        <v>4827775</v>
      </c>
      <c r="K34" s="8">
        <f>+'Honorarios y Servicios'!H6+'Honorarios y Servicios'!H7+'Honorarios y Servicios'!H8+'Honorarios y Servicios'!H9</f>
        <v>4827775</v>
      </c>
      <c r="L34" s="8">
        <f>+'Honorarios y Servicios'!I6+'Honorarios y Servicios'!I7+'Honorarios y Servicios'!I8+'Honorarios y Servicios'!I9</f>
        <v>4827775</v>
      </c>
      <c r="M34" s="8">
        <f>+'Honorarios y Servicios'!J6+'Honorarios y Servicios'!J7+'Honorarios y Servicios'!J8+'Honorarios y Servicios'!J9</f>
        <v>57933300</v>
      </c>
      <c r="N34" s="8">
        <f>+'Honorarios y Servicios'!K6+'Honorarios y Servicios'!K7+'Honorarios y Servicios'!K8+'Honorarios y Servicios'!K9</f>
        <v>57933300</v>
      </c>
      <c r="O34" s="8">
        <f>+'Honorarios y Servicios'!L6+'Honorarios y Servicios'!L7+'Honorarios y Servicios'!L8+'Honorarios y Servicios'!L9</f>
        <v>57933300</v>
      </c>
      <c r="P34" s="8">
        <f>+'Honorarios y Servicios'!M6+'Honorarios y Servicios'!M7+'Honorarios y Servicios'!M8+'Honorarios y Servicios'!M9</f>
        <v>57933300</v>
      </c>
      <c r="Q34" s="65"/>
    </row>
    <row r="35" spans="2:17" s="2" customFormat="1" ht="12.75">
      <c r="B35" s="66"/>
      <c r="C35" s="7" t="s">
        <v>64</v>
      </c>
      <c r="D35" s="67"/>
      <c r="E35" s="8">
        <f>SUM(F35:L35)</f>
        <v>2400000</v>
      </c>
      <c r="F35" s="8"/>
      <c r="G35" s="8">
        <f>+'Información Flujo de Caja'!G21/2</f>
        <v>400000</v>
      </c>
      <c r="H35" s="8">
        <f>+'Información Flujo de Caja'!H21/2</f>
        <v>400000</v>
      </c>
      <c r="I35" s="8">
        <f>+'Información Flujo de Caja'!I21/2</f>
        <v>400000</v>
      </c>
      <c r="J35" s="8">
        <f>+'Información Flujo de Caja'!J21/2</f>
        <v>400000</v>
      </c>
      <c r="K35" s="8">
        <f>+'Información Flujo de Caja'!K21/2</f>
        <v>400000</v>
      </c>
      <c r="L35" s="8">
        <f>+'Información Flujo de Caja'!L21/2</f>
        <v>400000</v>
      </c>
      <c r="M35" s="8">
        <f>+'Información Flujo de Caja'!M21</f>
        <v>9600000</v>
      </c>
      <c r="N35" s="8">
        <f>+'Información Flujo de Caja'!N21</f>
        <v>9600000</v>
      </c>
      <c r="O35" s="8">
        <f>+'Información Flujo de Caja'!O21</f>
        <v>9600000</v>
      </c>
      <c r="P35" s="8">
        <f aca="true" t="shared" si="7" ref="N35:P37">+O35</f>
        <v>9600000</v>
      </c>
      <c r="Q35" s="65"/>
    </row>
    <row r="36" spans="2:17" s="2" customFormat="1" ht="12.75" hidden="1">
      <c r="B36" s="66"/>
      <c r="C36" s="7" t="s">
        <v>83</v>
      </c>
      <c r="D36" s="67"/>
      <c r="E36" s="8">
        <f>SUM(F36:L36)</f>
        <v>0</v>
      </c>
      <c r="F36" s="8"/>
      <c r="G36" s="8">
        <f>+'Información Flujo de Caja'!G22</f>
        <v>0</v>
      </c>
      <c r="H36" s="8">
        <f>+'Información Flujo de Caja'!H22</f>
        <v>0</v>
      </c>
      <c r="I36" s="8">
        <f>+'Información Flujo de Caja'!I22</f>
        <v>0</v>
      </c>
      <c r="J36" s="8">
        <f>+'Información Flujo de Caja'!J22</f>
        <v>0</v>
      </c>
      <c r="K36" s="8">
        <f>+'Información Flujo de Caja'!K22</f>
        <v>0</v>
      </c>
      <c r="L36" s="8">
        <f>+'Información Flujo de Caja'!L22</f>
        <v>0</v>
      </c>
      <c r="M36" s="8">
        <f>+'Información Flujo de Caja'!M22</f>
        <v>0</v>
      </c>
      <c r="N36" s="8">
        <f>+'Información Flujo de Caja'!N22</f>
        <v>0</v>
      </c>
      <c r="O36" s="8">
        <f>+'Información Flujo de Caja'!O22</f>
        <v>0</v>
      </c>
      <c r="P36" s="8">
        <f t="shared" si="7"/>
        <v>0</v>
      </c>
      <c r="Q36" s="65"/>
    </row>
    <row r="37" spans="2:17" s="2" customFormat="1" ht="12.75">
      <c r="B37" s="66"/>
      <c r="C37" s="7" t="s">
        <v>84</v>
      </c>
      <c r="D37" s="67"/>
      <c r="E37" s="8">
        <f>SUM(F37:L37)</f>
        <v>2433333.3333333335</v>
      </c>
      <c r="F37" s="8"/>
      <c r="G37" s="8">
        <f>'Activos Fijos Depreciables'!E9+'Activos Fijos Depreciables'!E10+'Activos Fijos Depreciables'!E11+'Activos Fijos Depreciables'!E12+'Activos Fijos Depreciables'!E13+'Activos Fijos Depreciables'!E14</f>
        <v>405555.5555555556</v>
      </c>
      <c r="H37" s="8">
        <f>+G37</f>
        <v>405555.5555555556</v>
      </c>
      <c r="I37" s="8">
        <f>+H37</f>
        <v>405555.5555555556</v>
      </c>
      <c r="J37" s="8">
        <f>+I37</f>
        <v>405555.5555555556</v>
      </c>
      <c r="K37" s="8">
        <f>+J37</f>
        <v>405555.5555555556</v>
      </c>
      <c r="L37" s="8">
        <f>+K37</f>
        <v>405555.5555555556</v>
      </c>
      <c r="M37" s="8">
        <f>+L37*12</f>
        <v>4866666.666666668</v>
      </c>
      <c r="N37" s="8">
        <f t="shared" si="7"/>
        <v>4866666.666666668</v>
      </c>
      <c r="O37" s="8">
        <f t="shared" si="7"/>
        <v>4866666.666666668</v>
      </c>
      <c r="P37" s="8">
        <f t="shared" si="7"/>
        <v>4866666.666666668</v>
      </c>
      <c r="Q37" s="65"/>
    </row>
    <row r="38" spans="2:17" ht="12.75" hidden="1">
      <c r="B38" s="59"/>
      <c r="C38" s="7" t="s">
        <v>82</v>
      </c>
      <c r="D38" s="67"/>
      <c r="E38" s="8">
        <f aca="true" t="shared" si="8" ref="E38:E59">SUM(F38:L38)</f>
        <v>0</v>
      </c>
      <c r="F38" s="8"/>
      <c r="G38" s="8">
        <f>+'Información Flujo de Caja'!G26</f>
        <v>0</v>
      </c>
      <c r="H38" s="8">
        <f>+'Información Flujo de Caja'!H26</f>
        <v>0</v>
      </c>
      <c r="I38" s="8">
        <f>+'Información Flujo de Caja'!I26</f>
        <v>0</v>
      </c>
      <c r="J38" s="8">
        <f>+'Información Flujo de Caja'!J26</f>
        <v>0</v>
      </c>
      <c r="K38" s="8">
        <f>+'Información Flujo de Caja'!K26</f>
        <v>0</v>
      </c>
      <c r="L38" s="8">
        <f>+'Información Flujo de Caja'!L26</f>
        <v>0</v>
      </c>
      <c r="M38" s="8">
        <f>+'Información Flujo de Caja'!M26</f>
        <v>0</v>
      </c>
      <c r="N38" s="8">
        <f>+'Información Flujo de Caja'!N26</f>
        <v>0</v>
      </c>
      <c r="O38" s="8">
        <f>+'Información Flujo de Caja'!O26</f>
        <v>0</v>
      </c>
      <c r="P38" s="8">
        <f>+'Información Flujo de Caja'!P26</f>
        <v>0</v>
      </c>
      <c r="Q38" s="3"/>
    </row>
    <row r="39" spans="2:17" ht="12.75">
      <c r="B39" s="59"/>
      <c r="C39" s="7" t="s">
        <v>189</v>
      </c>
      <c r="D39" s="67"/>
      <c r="E39" s="8">
        <f t="shared" si="8"/>
        <v>187500</v>
      </c>
      <c r="F39" s="8"/>
      <c r="G39" s="8">
        <f>'Activos Diferidos'!$D$3</f>
        <v>31250</v>
      </c>
      <c r="H39" s="8">
        <f>'Activos Diferidos'!$D$3</f>
        <v>31250</v>
      </c>
      <c r="I39" s="8">
        <f>'Activos Diferidos'!$D$3</f>
        <v>31250</v>
      </c>
      <c r="J39" s="8">
        <f>'Activos Diferidos'!$D$3</f>
        <v>31250</v>
      </c>
      <c r="K39" s="8">
        <f>'Activos Diferidos'!$D$3</f>
        <v>31250</v>
      </c>
      <c r="L39" s="8">
        <f>'Activos Diferidos'!$D$3</f>
        <v>31250</v>
      </c>
      <c r="M39" s="8">
        <f>$L$39*12</f>
        <v>375000</v>
      </c>
      <c r="N39" s="8">
        <f>$L$39*12</f>
        <v>375000</v>
      </c>
      <c r="O39" s="8">
        <f>$L$39*12</f>
        <v>375000</v>
      </c>
      <c r="P39" s="8">
        <f>$L$39*12</f>
        <v>375000</v>
      </c>
      <c r="Q39" s="3"/>
    </row>
    <row r="40" spans="2:17" ht="12.75" hidden="1">
      <c r="B40" s="59"/>
      <c r="C40" s="7" t="s">
        <v>71</v>
      </c>
      <c r="D40" s="67"/>
      <c r="E40" s="8">
        <f t="shared" si="8"/>
        <v>0</v>
      </c>
      <c r="F40" s="8"/>
      <c r="G40" s="8">
        <f>+'Información Flujo de Caja'!G28</f>
        <v>0</v>
      </c>
      <c r="H40" s="8">
        <f>+'Información Flujo de Caja'!H28</f>
        <v>0</v>
      </c>
      <c r="I40" s="8">
        <f>+'Información Flujo de Caja'!I28</f>
        <v>0</v>
      </c>
      <c r="J40" s="8">
        <f>+'Información Flujo de Caja'!J28</f>
        <v>0</v>
      </c>
      <c r="K40" s="8">
        <f>+'Información Flujo de Caja'!K28</f>
        <v>0</v>
      </c>
      <c r="L40" s="8">
        <f>+'Información Flujo de Caja'!L28</f>
        <v>0</v>
      </c>
      <c r="M40" s="8">
        <f>+'Información Flujo de Caja'!M28</f>
        <v>0</v>
      </c>
      <c r="N40" s="8">
        <f>+'Información Flujo de Caja'!N28</f>
        <v>0</v>
      </c>
      <c r="O40" s="8">
        <f>+'Información Flujo de Caja'!O28</f>
        <v>0</v>
      </c>
      <c r="P40" s="8">
        <f>+'Información Flujo de Caja'!P28</f>
        <v>0</v>
      </c>
      <c r="Q40" s="3"/>
    </row>
    <row r="41" spans="2:17" ht="12.75" hidden="1">
      <c r="B41" s="59"/>
      <c r="C41" s="7" t="s">
        <v>72</v>
      </c>
      <c r="D41" s="67"/>
      <c r="E41" s="8">
        <f t="shared" si="8"/>
        <v>0</v>
      </c>
      <c r="F41" s="8"/>
      <c r="G41" s="8">
        <f>+'Información Flujo de Caja'!G29</f>
        <v>0</v>
      </c>
      <c r="H41" s="8">
        <f>+'Información Flujo de Caja'!H29</f>
        <v>0</v>
      </c>
      <c r="I41" s="8">
        <f>+'Información Flujo de Caja'!I29</f>
        <v>0</v>
      </c>
      <c r="J41" s="8">
        <f>+'Información Flujo de Caja'!J29</f>
        <v>0</v>
      </c>
      <c r="K41" s="8">
        <f>+'Información Flujo de Caja'!K29</f>
        <v>0</v>
      </c>
      <c r="L41" s="8">
        <f>+'Información Flujo de Caja'!L29</f>
        <v>0</v>
      </c>
      <c r="M41" s="8">
        <f>+'Información Flujo de Caja'!M29</f>
        <v>0</v>
      </c>
      <c r="N41" s="8">
        <f>+'Información Flujo de Caja'!N29</f>
        <v>0</v>
      </c>
      <c r="O41" s="8">
        <f>+'Información Flujo de Caja'!O29</f>
        <v>0</v>
      </c>
      <c r="P41" s="8">
        <f>+'Información Flujo de Caja'!P29</f>
        <v>0</v>
      </c>
      <c r="Q41" s="3"/>
    </row>
    <row r="42" spans="1:17" ht="12.75">
      <c r="A42" s="58"/>
      <c r="B42" s="59"/>
      <c r="C42" s="7" t="s">
        <v>73</v>
      </c>
      <c r="D42" s="67"/>
      <c r="E42" s="8">
        <f t="shared" si="8"/>
        <v>249999.99999999997</v>
      </c>
      <c r="F42" s="8"/>
      <c r="G42" s="8">
        <f>'Activos Diferidos'!$D$4</f>
        <v>41666.666666666664</v>
      </c>
      <c r="H42" s="8">
        <f>'Activos Diferidos'!$D$4</f>
        <v>41666.666666666664</v>
      </c>
      <c r="I42" s="8">
        <f>'Activos Diferidos'!$D$4</f>
        <v>41666.666666666664</v>
      </c>
      <c r="J42" s="8">
        <f>'Activos Diferidos'!$D$4</f>
        <v>41666.666666666664</v>
      </c>
      <c r="K42" s="8">
        <f>'Activos Diferidos'!$D$4</f>
        <v>41666.666666666664</v>
      </c>
      <c r="L42" s="8">
        <f>'Activos Diferidos'!$D$4</f>
        <v>41666.666666666664</v>
      </c>
      <c r="M42" s="8">
        <f>$L$42*12</f>
        <v>500000</v>
      </c>
      <c r="N42" s="8">
        <f>$L$42*12</f>
        <v>500000</v>
      </c>
      <c r="O42" s="8">
        <f>$L$42*12</f>
        <v>500000</v>
      </c>
      <c r="P42" s="8">
        <f>$L$42*12</f>
        <v>500000</v>
      </c>
      <c r="Q42" s="3"/>
    </row>
    <row r="43" spans="1:17" ht="12.75" hidden="1">
      <c r="A43" s="58"/>
      <c r="B43" s="59"/>
      <c r="C43" s="7" t="s">
        <v>14</v>
      </c>
      <c r="D43" s="67"/>
      <c r="E43" s="8">
        <f t="shared" si="8"/>
        <v>0</v>
      </c>
      <c r="F43" s="8"/>
      <c r="G43" s="8">
        <f>+'Información Flujo de Caja'!G31</f>
        <v>0</v>
      </c>
      <c r="H43" s="8">
        <f>+'Información Flujo de Caja'!H31</f>
        <v>0</v>
      </c>
      <c r="I43" s="8">
        <f>+'Información Flujo de Caja'!I31</f>
        <v>0</v>
      </c>
      <c r="J43" s="8">
        <f>+'Información Flujo de Caja'!J31</f>
        <v>0</v>
      </c>
      <c r="K43" s="8">
        <f>+'Información Flujo de Caja'!K31</f>
        <v>0</v>
      </c>
      <c r="L43" s="8">
        <f>+'Información Flujo de Caja'!L31</f>
        <v>0</v>
      </c>
      <c r="M43" s="8">
        <f>+'Información Flujo de Caja'!M31</f>
        <v>0</v>
      </c>
      <c r="N43" s="8">
        <f>+'Información Flujo de Caja'!N31</f>
        <v>0</v>
      </c>
      <c r="O43" s="8">
        <f>+'Información Flujo de Caja'!O31</f>
        <v>0</v>
      </c>
      <c r="P43" s="8">
        <f>+'Información Flujo de Caja'!P31</f>
        <v>0</v>
      </c>
      <c r="Q43" s="3"/>
    </row>
    <row r="44" spans="1:17" ht="12.75">
      <c r="A44" s="58"/>
      <c r="B44" s="59"/>
      <c r="C44" s="7" t="s">
        <v>293</v>
      </c>
      <c r="D44" s="67"/>
      <c r="E44" s="8">
        <f t="shared" si="8"/>
        <v>62499.99999999999</v>
      </c>
      <c r="F44" s="8"/>
      <c r="G44" s="8">
        <f>'Activos Diferidos'!$D$5</f>
        <v>10416.666666666666</v>
      </c>
      <c r="H44" s="8">
        <f>'Activos Diferidos'!$D$5</f>
        <v>10416.666666666666</v>
      </c>
      <c r="I44" s="8">
        <f>'Activos Diferidos'!$D$5</f>
        <v>10416.666666666666</v>
      </c>
      <c r="J44" s="8">
        <f>'Activos Diferidos'!$D$5</f>
        <v>10416.666666666666</v>
      </c>
      <c r="K44" s="8">
        <f>'Activos Diferidos'!$D$5</f>
        <v>10416.666666666666</v>
      </c>
      <c r="L44" s="8">
        <f>'Activos Diferidos'!$D$5</f>
        <v>10416.666666666666</v>
      </c>
      <c r="M44" s="8">
        <f>$L$44*12</f>
        <v>125000</v>
      </c>
      <c r="N44" s="8">
        <f>$L$44*12</f>
        <v>125000</v>
      </c>
      <c r="O44" s="8">
        <f>$L$44*12</f>
        <v>125000</v>
      </c>
      <c r="P44" s="8">
        <f>$L$44*12</f>
        <v>125000</v>
      </c>
      <c r="Q44" s="3"/>
    </row>
    <row r="45" spans="2:17" ht="12.75" hidden="1">
      <c r="B45" s="59"/>
      <c r="C45" s="7" t="s">
        <v>5</v>
      </c>
      <c r="D45" s="67"/>
      <c r="E45" s="8">
        <f t="shared" si="8"/>
        <v>0</v>
      </c>
      <c r="F45" s="8"/>
      <c r="G45" s="8">
        <f>+'Información Flujo de Caja'!G33</f>
        <v>0</v>
      </c>
      <c r="H45" s="8">
        <f>+'Información Flujo de Caja'!H33</f>
        <v>0</v>
      </c>
      <c r="I45" s="8">
        <f>+'Información Flujo de Caja'!I33</f>
        <v>0</v>
      </c>
      <c r="J45" s="8">
        <f>+'Información Flujo de Caja'!J33</f>
        <v>0</v>
      </c>
      <c r="K45" s="8">
        <f>+'Información Flujo de Caja'!K33</f>
        <v>0</v>
      </c>
      <c r="L45" s="8">
        <f>+'Información Flujo de Caja'!L33</f>
        <v>0</v>
      </c>
      <c r="M45" s="8">
        <f>+'Información Flujo de Caja'!M33</f>
        <v>0</v>
      </c>
      <c r="N45" s="8">
        <f>+'Información Flujo de Caja'!N33</f>
        <v>0</v>
      </c>
      <c r="O45" s="8">
        <f>+'Información Flujo de Caja'!O33</f>
        <v>0</v>
      </c>
      <c r="P45" s="8">
        <f>+'Información Flujo de Caja'!P33</f>
        <v>0</v>
      </c>
      <c r="Q45" s="3"/>
    </row>
    <row r="46" spans="2:17" ht="12.75" hidden="1">
      <c r="B46" s="59"/>
      <c r="C46" s="7" t="s">
        <v>74</v>
      </c>
      <c r="D46" s="67"/>
      <c r="E46" s="8">
        <f t="shared" si="8"/>
        <v>0</v>
      </c>
      <c r="F46" s="8"/>
      <c r="G46" s="8">
        <f>+'Información Flujo de Caja'!G34</f>
        <v>0</v>
      </c>
      <c r="H46" s="8">
        <f>+'Información Flujo de Caja'!H34</f>
        <v>0</v>
      </c>
      <c r="I46" s="8">
        <f>+'Información Flujo de Caja'!I34</f>
        <v>0</v>
      </c>
      <c r="J46" s="8">
        <f>+'Información Flujo de Caja'!J34</f>
        <v>0</v>
      </c>
      <c r="K46" s="8">
        <f>+'Información Flujo de Caja'!K34</f>
        <v>0</v>
      </c>
      <c r="L46" s="8">
        <f>+'Información Flujo de Caja'!L34</f>
        <v>0</v>
      </c>
      <c r="M46" s="8">
        <f>+'Información Flujo de Caja'!M34</f>
        <v>0</v>
      </c>
      <c r="N46" s="8">
        <f>+'Información Flujo de Caja'!N34</f>
        <v>0</v>
      </c>
      <c r="O46" s="8">
        <f>+'Información Flujo de Caja'!O34</f>
        <v>0</v>
      </c>
      <c r="P46" s="8">
        <f>+'Información Flujo de Caja'!P34</f>
        <v>0</v>
      </c>
      <c r="Q46" s="3"/>
    </row>
    <row r="47" spans="2:17" ht="12.75">
      <c r="B47" s="59"/>
      <c r="C47" s="7" t="s">
        <v>65</v>
      </c>
      <c r="D47" s="67"/>
      <c r="E47" s="8">
        <f t="shared" si="8"/>
        <v>1500000</v>
      </c>
      <c r="F47" s="8"/>
      <c r="G47" s="8">
        <f>+'Información Flujo de Caja'!G35</f>
        <v>250000</v>
      </c>
      <c r="H47" s="8">
        <f>+'Información Flujo de Caja'!H35</f>
        <v>250000</v>
      </c>
      <c r="I47" s="8">
        <f>+'Información Flujo de Caja'!I35</f>
        <v>250000</v>
      </c>
      <c r="J47" s="8">
        <f>+'Información Flujo de Caja'!J35</f>
        <v>250000</v>
      </c>
      <c r="K47" s="8">
        <f>+'Información Flujo de Caja'!K35</f>
        <v>250000</v>
      </c>
      <c r="L47" s="8">
        <f>+'Información Flujo de Caja'!L35</f>
        <v>250000</v>
      </c>
      <c r="M47" s="8">
        <f>+'Información Flujo de Caja'!M35</f>
        <v>3000000</v>
      </c>
      <c r="N47" s="8">
        <f>+'Información Flujo de Caja'!N35</f>
        <v>3000000</v>
      </c>
      <c r="O47" s="8">
        <f>+'Información Flujo de Caja'!O35</f>
        <v>3000000</v>
      </c>
      <c r="P47" s="8">
        <f>+'Información Flujo de Caja'!P35</f>
        <v>3000000</v>
      </c>
      <c r="Q47" s="3"/>
    </row>
    <row r="48" spans="1:17" ht="12.75" hidden="1">
      <c r="A48" s="58"/>
      <c r="B48" s="59"/>
      <c r="C48" s="7" t="s">
        <v>66</v>
      </c>
      <c r="D48" s="67"/>
      <c r="E48" s="8">
        <f t="shared" si="8"/>
        <v>0</v>
      </c>
      <c r="F48" s="8"/>
      <c r="G48" s="8">
        <f>+'Información Flujo de Caja'!G36</f>
        <v>0</v>
      </c>
      <c r="H48" s="8">
        <f>+'Información Flujo de Caja'!H36</f>
        <v>0</v>
      </c>
      <c r="I48" s="8">
        <f>+'Información Flujo de Caja'!I36</f>
        <v>0</v>
      </c>
      <c r="J48" s="8">
        <f>+'Información Flujo de Caja'!J36</f>
        <v>0</v>
      </c>
      <c r="K48" s="8">
        <f>+'Información Flujo de Caja'!K36</f>
        <v>0</v>
      </c>
      <c r="L48" s="8">
        <f>+'Información Flujo de Caja'!L36</f>
        <v>0</v>
      </c>
      <c r="M48" s="8">
        <f>+'Información Flujo de Caja'!M36</f>
        <v>0</v>
      </c>
      <c r="N48" s="8">
        <f>+'Información Flujo de Caja'!N36</f>
        <v>0</v>
      </c>
      <c r="O48" s="8">
        <f>+'Información Flujo de Caja'!O36</f>
        <v>0</v>
      </c>
      <c r="P48" s="8">
        <f>+'Información Flujo de Caja'!P36</f>
        <v>0</v>
      </c>
      <c r="Q48" s="3"/>
    </row>
    <row r="49" spans="1:17" ht="12.75" hidden="1">
      <c r="A49" s="58"/>
      <c r="B49" s="59"/>
      <c r="C49" s="7" t="s">
        <v>67</v>
      </c>
      <c r="D49" s="67"/>
      <c r="E49" s="8">
        <f t="shared" si="8"/>
        <v>0</v>
      </c>
      <c r="F49" s="8"/>
      <c r="G49" s="8">
        <f>+'Información Flujo de Caja'!G37</f>
        <v>0</v>
      </c>
      <c r="H49" s="8">
        <f>+'Información Flujo de Caja'!H37</f>
        <v>0</v>
      </c>
      <c r="I49" s="8">
        <f>+'Información Flujo de Caja'!I37</f>
        <v>0</v>
      </c>
      <c r="J49" s="8">
        <f>+'Información Flujo de Caja'!J37</f>
        <v>0</v>
      </c>
      <c r="K49" s="8">
        <f>+'Información Flujo de Caja'!K37</f>
        <v>0</v>
      </c>
      <c r="L49" s="8">
        <f>+'Información Flujo de Caja'!L37</f>
        <v>0</v>
      </c>
      <c r="M49" s="8">
        <f>+'Información Flujo de Caja'!M37</f>
        <v>0</v>
      </c>
      <c r="N49" s="8">
        <f>+'Información Flujo de Caja'!N37</f>
        <v>0</v>
      </c>
      <c r="O49" s="8">
        <f>+'Información Flujo de Caja'!O37</f>
        <v>0</v>
      </c>
      <c r="P49" s="8">
        <f>+'Información Flujo de Caja'!P37</f>
        <v>0</v>
      </c>
      <c r="Q49" s="3"/>
    </row>
    <row r="50" spans="1:17" ht="12.75" hidden="1">
      <c r="A50" s="58"/>
      <c r="B50" s="59"/>
      <c r="C50" s="7" t="s">
        <v>7</v>
      </c>
      <c r="D50" s="67"/>
      <c r="E50" s="8">
        <f t="shared" si="8"/>
        <v>0</v>
      </c>
      <c r="F50" s="8"/>
      <c r="G50" s="8">
        <f>+'Información Flujo de Caja'!G38</f>
        <v>0</v>
      </c>
      <c r="H50" s="8">
        <f>+'Información Flujo de Caja'!H38</f>
        <v>0</v>
      </c>
      <c r="I50" s="8">
        <f>+'Información Flujo de Caja'!I38</f>
        <v>0</v>
      </c>
      <c r="J50" s="8">
        <f>+'Información Flujo de Caja'!J38</f>
        <v>0</v>
      </c>
      <c r="K50" s="8">
        <f>+'Información Flujo de Caja'!K38</f>
        <v>0</v>
      </c>
      <c r="L50" s="8">
        <f>+'Información Flujo de Caja'!L38</f>
        <v>0</v>
      </c>
      <c r="M50" s="8">
        <f>+'Información Flujo de Caja'!M38</f>
        <v>0</v>
      </c>
      <c r="N50" s="8">
        <f>+'Información Flujo de Caja'!N38</f>
        <v>0</v>
      </c>
      <c r="O50" s="8">
        <f>+'Información Flujo de Caja'!O38</f>
        <v>0</v>
      </c>
      <c r="P50" s="8">
        <f>+'Información Flujo de Caja'!P38</f>
        <v>0</v>
      </c>
      <c r="Q50" s="3"/>
    </row>
    <row r="51" spans="1:17" ht="12.75" hidden="1">
      <c r="A51" s="58"/>
      <c r="B51" s="59"/>
      <c r="C51" s="7" t="s">
        <v>8</v>
      </c>
      <c r="D51" s="67"/>
      <c r="E51" s="8">
        <f t="shared" si="8"/>
        <v>0</v>
      </c>
      <c r="F51" s="8"/>
      <c r="G51" s="8">
        <f>+'Información Flujo de Caja'!G39</f>
        <v>0</v>
      </c>
      <c r="H51" s="8">
        <f>+'Información Flujo de Caja'!H39</f>
        <v>0</v>
      </c>
      <c r="I51" s="8">
        <f>+'Información Flujo de Caja'!I39</f>
        <v>0</v>
      </c>
      <c r="J51" s="8">
        <f>+'Información Flujo de Caja'!J39</f>
        <v>0</v>
      </c>
      <c r="K51" s="8">
        <f>+'Información Flujo de Caja'!K39</f>
        <v>0</v>
      </c>
      <c r="L51" s="8">
        <f>+'Información Flujo de Caja'!L39</f>
        <v>0</v>
      </c>
      <c r="M51" s="8">
        <f>+'Información Flujo de Caja'!M39</f>
        <v>0</v>
      </c>
      <c r="N51" s="8">
        <f>+'Información Flujo de Caja'!N39</f>
        <v>0</v>
      </c>
      <c r="O51" s="8">
        <f>+'Información Flujo de Caja'!O39</f>
        <v>0</v>
      </c>
      <c r="P51" s="8">
        <f>+'Información Flujo de Caja'!P39</f>
        <v>0</v>
      </c>
      <c r="Q51" s="3"/>
    </row>
    <row r="52" spans="1:17" ht="12.75" hidden="1">
      <c r="A52" s="58"/>
      <c r="B52" s="59"/>
      <c r="C52" s="7" t="s">
        <v>9</v>
      </c>
      <c r="D52" s="67"/>
      <c r="E52" s="8">
        <f t="shared" si="8"/>
        <v>0</v>
      </c>
      <c r="F52" s="8"/>
      <c r="G52" s="8">
        <f>+'Información Flujo de Caja'!G40</f>
        <v>0</v>
      </c>
      <c r="H52" s="8">
        <f>+'Información Flujo de Caja'!H40</f>
        <v>0</v>
      </c>
      <c r="I52" s="8">
        <f>+'Información Flujo de Caja'!I40</f>
        <v>0</v>
      </c>
      <c r="J52" s="8">
        <f>+'Información Flujo de Caja'!J40</f>
        <v>0</v>
      </c>
      <c r="K52" s="8">
        <f>+'Información Flujo de Caja'!K40</f>
        <v>0</v>
      </c>
      <c r="L52" s="8">
        <f>+'Información Flujo de Caja'!L40</f>
        <v>0</v>
      </c>
      <c r="M52" s="8">
        <f>+'Información Flujo de Caja'!M40</f>
        <v>0</v>
      </c>
      <c r="N52" s="8">
        <f>+'Información Flujo de Caja'!N40</f>
        <v>0</v>
      </c>
      <c r="O52" s="8">
        <f>+'Información Flujo de Caja'!O40</f>
        <v>0</v>
      </c>
      <c r="P52" s="8">
        <f>+'Información Flujo de Caja'!P40</f>
        <v>0</v>
      </c>
      <c r="Q52" s="3"/>
    </row>
    <row r="53" spans="2:17" ht="12.75" hidden="1">
      <c r="B53" s="59"/>
      <c r="C53" s="7" t="s">
        <v>10</v>
      </c>
      <c r="D53" s="67"/>
      <c r="E53" s="8">
        <f t="shared" si="8"/>
        <v>0</v>
      </c>
      <c r="F53" s="8"/>
      <c r="G53" s="8">
        <f>+'Información Flujo de Caja'!G41</f>
        <v>0</v>
      </c>
      <c r="H53" s="8">
        <f>+'Información Flujo de Caja'!H41</f>
        <v>0</v>
      </c>
      <c r="I53" s="8">
        <f>+'Información Flujo de Caja'!I41</f>
        <v>0</v>
      </c>
      <c r="J53" s="8">
        <f>+'Información Flujo de Caja'!J41</f>
        <v>0</v>
      </c>
      <c r="K53" s="8">
        <f>+'Información Flujo de Caja'!K41</f>
        <v>0</v>
      </c>
      <c r="L53" s="8">
        <f>+'Información Flujo de Caja'!L41</f>
        <v>0</v>
      </c>
      <c r="M53" s="8">
        <f>+'Información Flujo de Caja'!M41</f>
        <v>0</v>
      </c>
      <c r="N53" s="8">
        <f>+'Información Flujo de Caja'!N41</f>
        <v>0</v>
      </c>
      <c r="O53" s="8">
        <f>+'Información Flujo de Caja'!O41</f>
        <v>0</v>
      </c>
      <c r="P53" s="8">
        <f>+'Información Flujo de Caja'!P41</f>
        <v>0</v>
      </c>
      <c r="Q53" s="3"/>
    </row>
    <row r="54" spans="1:17" ht="12.75" hidden="1">
      <c r="A54" s="58"/>
      <c r="B54" s="59"/>
      <c r="C54" s="7" t="s">
        <v>11</v>
      </c>
      <c r="D54" s="67"/>
      <c r="E54" s="8">
        <f t="shared" si="8"/>
        <v>0</v>
      </c>
      <c r="F54" s="8"/>
      <c r="G54" s="8">
        <f>+'Información Flujo de Caja'!G42</f>
        <v>0</v>
      </c>
      <c r="H54" s="8">
        <f>+'Información Flujo de Caja'!H42</f>
        <v>0</v>
      </c>
      <c r="I54" s="8">
        <f>+'Información Flujo de Caja'!I42</f>
        <v>0</v>
      </c>
      <c r="J54" s="8">
        <f>+'Información Flujo de Caja'!J42</f>
        <v>0</v>
      </c>
      <c r="K54" s="8">
        <f>+'Información Flujo de Caja'!K42</f>
        <v>0</v>
      </c>
      <c r="L54" s="8">
        <f>+'Información Flujo de Caja'!L42</f>
        <v>0</v>
      </c>
      <c r="M54" s="8">
        <f>+'Información Flujo de Caja'!M42</f>
        <v>0</v>
      </c>
      <c r="N54" s="8">
        <f>+'Información Flujo de Caja'!N42</f>
        <v>0</v>
      </c>
      <c r="O54" s="8">
        <f>+'Información Flujo de Caja'!O42</f>
        <v>0</v>
      </c>
      <c r="P54" s="8">
        <f>+'Información Flujo de Caja'!P42</f>
        <v>0</v>
      </c>
      <c r="Q54" s="3"/>
    </row>
    <row r="55" spans="1:17" ht="12.75" hidden="1">
      <c r="A55" s="58"/>
      <c r="B55" s="59"/>
      <c r="C55" s="7" t="s">
        <v>68</v>
      </c>
      <c r="D55" s="67"/>
      <c r="E55" s="8">
        <f t="shared" si="8"/>
        <v>0</v>
      </c>
      <c r="F55" s="8"/>
      <c r="G55" s="8">
        <f>+'Información Flujo de Caja'!G43</f>
        <v>0</v>
      </c>
      <c r="H55" s="8">
        <f>+'Información Flujo de Caja'!H43</f>
        <v>0</v>
      </c>
      <c r="I55" s="8">
        <f>+'Información Flujo de Caja'!I43</f>
        <v>0</v>
      </c>
      <c r="J55" s="8">
        <f>+'Información Flujo de Caja'!J43</f>
        <v>0</v>
      </c>
      <c r="K55" s="8">
        <f>+'Información Flujo de Caja'!K43</f>
        <v>0</v>
      </c>
      <c r="L55" s="8">
        <f>+'Información Flujo de Caja'!L43</f>
        <v>0</v>
      </c>
      <c r="M55" s="8">
        <f>+'Información Flujo de Caja'!M43</f>
        <v>0</v>
      </c>
      <c r="N55" s="8">
        <f>+'Información Flujo de Caja'!N43</f>
        <v>0</v>
      </c>
      <c r="O55" s="8">
        <f>+'Información Flujo de Caja'!O43</f>
        <v>0</v>
      </c>
      <c r="P55" s="8">
        <f>+'Información Flujo de Caja'!P43</f>
        <v>0</v>
      </c>
      <c r="Q55" s="3"/>
    </row>
    <row r="56" spans="2:17" ht="12.75" hidden="1">
      <c r="B56" s="59"/>
      <c r="C56" s="7" t="s">
        <v>12</v>
      </c>
      <c r="D56" s="67"/>
      <c r="E56" s="8">
        <f t="shared" si="8"/>
        <v>0</v>
      </c>
      <c r="F56" s="8"/>
      <c r="G56" s="8">
        <f>+'Información Flujo de Caja'!G44</f>
        <v>0</v>
      </c>
      <c r="H56" s="8">
        <f>+'Información Flujo de Caja'!H44</f>
        <v>0</v>
      </c>
      <c r="I56" s="8">
        <f>+'Información Flujo de Caja'!I44</f>
        <v>0</v>
      </c>
      <c r="J56" s="8">
        <f>+'Información Flujo de Caja'!J44</f>
        <v>0</v>
      </c>
      <c r="K56" s="8">
        <f>+'Información Flujo de Caja'!K44</f>
        <v>0</v>
      </c>
      <c r="L56" s="8">
        <f>+'Información Flujo de Caja'!L44</f>
        <v>0</v>
      </c>
      <c r="M56" s="8">
        <f>+'Información Flujo de Caja'!M44</f>
        <v>0</v>
      </c>
      <c r="N56" s="8">
        <f>+'Información Flujo de Caja'!N44</f>
        <v>0</v>
      </c>
      <c r="O56" s="8">
        <f>+'Información Flujo de Caja'!O44</f>
        <v>0</v>
      </c>
      <c r="P56" s="8">
        <f>+'Información Flujo de Caja'!P44</f>
        <v>0</v>
      </c>
      <c r="Q56" s="3"/>
    </row>
    <row r="57" spans="2:17" ht="12.75">
      <c r="B57" s="59"/>
      <c r="C57" s="7" t="s">
        <v>13</v>
      </c>
      <c r="D57" s="67"/>
      <c r="E57" s="8">
        <f t="shared" si="8"/>
        <v>312500</v>
      </c>
      <c r="F57" s="8"/>
      <c r="G57" s="8">
        <f>'Activos Diferidos'!$D$6</f>
        <v>52083.333333333336</v>
      </c>
      <c r="H57" s="8">
        <f>'Activos Diferidos'!$D$6</f>
        <v>52083.333333333336</v>
      </c>
      <c r="I57" s="8">
        <f>'Activos Diferidos'!$D$6</f>
        <v>52083.333333333336</v>
      </c>
      <c r="J57" s="8">
        <f>'Activos Diferidos'!$D$6</f>
        <v>52083.333333333336</v>
      </c>
      <c r="K57" s="8">
        <f>'Activos Diferidos'!$D$6</f>
        <v>52083.333333333336</v>
      </c>
      <c r="L57" s="8">
        <f>'Activos Diferidos'!$D$6</f>
        <v>52083.333333333336</v>
      </c>
      <c r="M57" s="8">
        <f>$L$57*12</f>
        <v>625000</v>
      </c>
      <c r="N57" s="8">
        <f>$L$57*12</f>
        <v>625000</v>
      </c>
      <c r="O57" s="8">
        <f>$L$57*12</f>
        <v>625000</v>
      </c>
      <c r="P57" s="8">
        <f>$L$57*12</f>
        <v>625000</v>
      </c>
      <c r="Q57" s="3"/>
    </row>
    <row r="58" spans="2:17" ht="12.75" hidden="1">
      <c r="B58" s="59"/>
      <c r="C58" s="7" t="s">
        <v>190</v>
      </c>
      <c r="D58" s="67"/>
      <c r="E58" s="8">
        <f t="shared" si="8"/>
        <v>0</v>
      </c>
      <c r="F58" s="8"/>
      <c r="G58" s="8">
        <f>+'Información Flujo de Caja'!G46</f>
        <v>0</v>
      </c>
      <c r="H58" s="8">
        <f>+'Información Flujo de Caja'!H46</f>
        <v>0</v>
      </c>
      <c r="I58" s="8">
        <f>+'Información Flujo de Caja'!I46</f>
        <v>0</v>
      </c>
      <c r="J58" s="8">
        <f>+'Información Flujo de Caja'!J46</f>
        <v>0</v>
      </c>
      <c r="K58" s="8">
        <f>+'Información Flujo de Caja'!K46</f>
        <v>0</v>
      </c>
      <c r="L58" s="8">
        <f>+'Información Flujo de Caja'!L46</f>
        <v>0</v>
      </c>
      <c r="M58" s="8">
        <f>+'Información Flujo de Caja'!M46</f>
        <v>0</v>
      </c>
      <c r="N58" s="8">
        <f>+'Información Flujo de Caja'!N46</f>
        <v>0</v>
      </c>
      <c r="O58" s="8">
        <f>+'Información Flujo de Caja'!O46</f>
        <v>0</v>
      </c>
      <c r="P58" s="8">
        <f>+'Información Flujo de Caja'!P46</f>
        <v>0</v>
      </c>
      <c r="Q58" s="3"/>
    </row>
    <row r="59" spans="1:17" ht="12.75" hidden="1">
      <c r="A59" s="58"/>
      <c r="B59" s="59"/>
      <c r="C59" s="7" t="s">
        <v>69</v>
      </c>
      <c r="D59" s="67"/>
      <c r="E59" s="8">
        <f t="shared" si="8"/>
        <v>0</v>
      </c>
      <c r="F59" s="8"/>
      <c r="G59" s="8">
        <f>+'Información Flujo de Caja'!G48</f>
        <v>0</v>
      </c>
      <c r="H59" s="8">
        <f>+'Información Flujo de Caja'!H48</f>
        <v>0</v>
      </c>
      <c r="I59" s="8">
        <f>+'Información Flujo de Caja'!I48</f>
        <v>0</v>
      </c>
      <c r="J59" s="8">
        <f>+'Información Flujo de Caja'!J48</f>
        <v>0</v>
      </c>
      <c r="K59" s="8">
        <f>+'Información Flujo de Caja'!K48</f>
        <v>0</v>
      </c>
      <c r="L59" s="8">
        <f>+'Información Flujo de Caja'!L48</f>
        <v>0</v>
      </c>
      <c r="M59" s="8">
        <f>+'Información Flujo de Caja'!M48</f>
        <v>0</v>
      </c>
      <c r="N59" s="8">
        <f>+'Información Flujo de Caja'!N48</f>
        <v>0</v>
      </c>
      <c r="O59" s="8">
        <f>+'Información Flujo de Caja'!O48</f>
        <v>0</v>
      </c>
      <c r="P59" s="8">
        <f>+'Información Flujo de Caja'!P48</f>
        <v>0</v>
      </c>
      <c r="Q59" s="3"/>
    </row>
    <row r="60" spans="2:17" s="2" customFormat="1" ht="12.75">
      <c r="B60" s="66"/>
      <c r="C60" s="7" t="s">
        <v>200</v>
      </c>
      <c r="D60" s="67"/>
      <c r="E60" s="8">
        <f>SUM(F60:L60)</f>
        <v>0</v>
      </c>
      <c r="F60" s="8"/>
      <c r="G60" s="8"/>
      <c r="H60" s="8">
        <f>+'Información Flujo de Caja'!G19/12</f>
        <v>0</v>
      </c>
      <c r="I60" s="8">
        <f>+H60</f>
        <v>0</v>
      </c>
      <c r="J60" s="8">
        <f>+I60</f>
        <v>0</v>
      </c>
      <c r="K60" s="8">
        <f>+J60</f>
        <v>0</v>
      </c>
      <c r="L60" s="8">
        <f>+K60</f>
        <v>0</v>
      </c>
      <c r="M60" s="8">
        <f>+L60*7</f>
        <v>0</v>
      </c>
      <c r="N60" s="8"/>
      <c r="O60" s="8"/>
      <c r="P60" s="8">
        <f>+O60</f>
        <v>0</v>
      </c>
      <c r="Q60" s="65"/>
    </row>
    <row r="61" spans="2:17" ht="12.75">
      <c r="B61" s="59"/>
      <c r="C61" s="56"/>
      <c r="Q61" s="3"/>
    </row>
    <row r="62" spans="2:17" ht="12.75">
      <c r="B62" s="59"/>
      <c r="C62" s="73" t="s">
        <v>15</v>
      </c>
      <c r="D62" s="74"/>
      <c r="E62" s="70">
        <f>+E30-E33</f>
        <v>6386953.333333328</v>
      </c>
      <c r="F62" s="70">
        <f aca="true" t="shared" si="9" ref="F62:P62">+F30-F33</f>
        <v>0</v>
      </c>
      <c r="G62" s="70">
        <f t="shared" si="9"/>
        <v>479792.2222222211</v>
      </c>
      <c r="H62" s="70">
        <f t="shared" si="9"/>
        <v>479792.2222222211</v>
      </c>
      <c r="I62" s="70">
        <f t="shared" si="9"/>
        <v>479792.2222222211</v>
      </c>
      <c r="J62" s="70">
        <f t="shared" si="9"/>
        <v>1649192.222222221</v>
      </c>
      <c r="K62" s="70">
        <f t="shared" si="9"/>
        <v>1649192.222222221</v>
      </c>
      <c r="L62" s="70">
        <f t="shared" si="9"/>
        <v>1649192.222222221</v>
      </c>
      <c r="M62" s="70">
        <f t="shared" si="9"/>
        <v>29327040</v>
      </c>
      <c r="N62" s="70">
        <f t="shared" si="9"/>
        <v>26443706.666666657</v>
      </c>
      <c r="O62" s="70">
        <f t="shared" si="9"/>
        <v>26443706.666666657</v>
      </c>
      <c r="P62" s="70">
        <f t="shared" si="9"/>
        <v>26443706.666666657</v>
      </c>
      <c r="Q62" s="3"/>
    </row>
    <row r="63" spans="2:17" ht="12.75">
      <c r="B63" s="59"/>
      <c r="Q63" s="3"/>
    </row>
    <row r="64" spans="2:17" s="2" customFormat="1" ht="12.75">
      <c r="B64" s="59"/>
      <c r="C64" s="71" t="s">
        <v>17</v>
      </c>
      <c r="E64" s="70">
        <f aca="true" t="shared" si="10" ref="E64:P64">SUM(E65:E66)</f>
        <v>2595376.0192870856</v>
      </c>
      <c r="F64" s="70">
        <f t="shared" si="10"/>
        <v>0</v>
      </c>
      <c r="G64" s="70">
        <f t="shared" si="10"/>
        <v>452000</v>
      </c>
      <c r="H64" s="70">
        <f t="shared" si="10"/>
        <v>442943.0598575677</v>
      </c>
      <c r="I64" s="70">
        <f t="shared" si="10"/>
        <v>433798.2673957539</v>
      </c>
      <c r="J64" s="70">
        <f t="shared" si="10"/>
        <v>431564.77044706047</v>
      </c>
      <c r="K64" s="70">
        <f t="shared" si="10"/>
        <v>422241.70857796463</v>
      </c>
      <c r="L64" s="70">
        <f t="shared" si="10"/>
        <v>412828.21300873865</v>
      </c>
      <c r="M64" s="70">
        <f t="shared" si="10"/>
        <v>4257544.676907105</v>
      </c>
      <c r="N64" s="70">
        <f t="shared" si="10"/>
        <v>2719049.079046641</v>
      </c>
      <c r="O64" s="70">
        <f t="shared" si="10"/>
        <v>1186416.3203842393</v>
      </c>
      <c r="P64" s="70">
        <f t="shared" si="10"/>
        <v>188038.51783737107</v>
      </c>
      <c r="Q64" s="65"/>
    </row>
    <row r="65" spans="1:17" s="17" customFormat="1" ht="12.75">
      <c r="A65" s="2"/>
      <c r="B65" s="59"/>
      <c r="C65" s="11" t="s">
        <v>18</v>
      </c>
      <c r="D65" s="4"/>
      <c r="E65" s="8">
        <f>SUM(F65:L65)</f>
        <v>405000</v>
      </c>
      <c r="F65" s="8"/>
      <c r="G65" s="8">
        <f aca="true" t="shared" si="11" ref="G65:O65">+G13*0.004</f>
        <v>64000</v>
      </c>
      <c r="H65" s="8">
        <f t="shared" si="11"/>
        <v>64000</v>
      </c>
      <c r="I65" s="8">
        <f t="shared" si="11"/>
        <v>64000</v>
      </c>
      <c r="J65" s="8">
        <f t="shared" si="11"/>
        <v>71000</v>
      </c>
      <c r="K65" s="8">
        <f t="shared" si="11"/>
        <v>71000</v>
      </c>
      <c r="L65" s="8">
        <f t="shared" si="11"/>
        <v>71000</v>
      </c>
      <c r="M65" s="8">
        <f t="shared" si="11"/>
        <v>924000</v>
      </c>
      <c r="N65" s="8">
        <f t="shared" si="11"/>
        <v>924000</v>
      </c>
      <c r="O65" s="8">
        <f t="shared" si="11"/>
        <v>924000</v>
      </c>
      <c r="P65" s="8">
        <v>0</v>
      </c>
      <c r="Q65" s="3"/>
    </row>
    <row r="66" spans="1:17" s="17" customFormat="1" ht="12.75">
      <c r="A66" s="2"/>
      <c r="B66" s="59"/>
      <c r="C66" s="11" t="s">
        <v>85</v>
      </c>
      <c r="D66" s="4"/>
      <c r="E66" s="8">
        <f>SUM(F66:L66)</f>
        <v>2190376.0192870856</v>
      </c>
      <c r="F66" s="8"/>
      <c r="G66" s="8">
        <f>+'Información Flujo de Caja'!G118</f>
        <v>388000</v>
      </c>
      <c r="H66" s="8">
        <f>+'Información Flujo de Caja'!H118</f>
        <v>378943.0598575677</v>
      </c>
      <c r="I66" s="8">
        <f>+'Información Flujo de Caja'!I118</f>
        <v>369798.2673957539</v>
      </c>
      <c r="J66" s="8">
        <f>+'Información Flujo de Caja'!J118</f>
        <v>360564.77044706047</v>
      </c>
      <c r="K66" s="8">
        <f>+'Información Flujo de Caja'!K118</f>
        <v>351241.70857796463</v>
      </c>
      <c r="L66" s="8">
        <f>+'Información Flujo de Caja'!L118</f>
        <v>341828.21300873865</v>
      </c>
      <c r="M66" s="8">
        <f>+'Información Flujo de Caja'!M118</f>
        <v>3333544.676907105</v>
      </c>
      <c r="N66" s="8">
        <f>+'Información Flujo de Caja'!N118</f>
        <v>1795049.079046641</v>
      </c>
      <c r="O66" s="8">
        <f>+'Información Flujo de Caja'!O118</f>
        <v>262416.32038423937</v>
      </c>
      <c r="P66" s="8">
        <f>+'Información Flujo de Caja'!P118</f>
        <v>188038.51783737107</v>
      </c>
      <c r="Q66" s="3"/>
    </row>
    <row r="67" spans="1:17" s="17" customFormat="1" ht="12.75">
      <c r="A67" s="2"/>
      <c r="B67" s="59"/>
      <c r="C67" s="10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</row>
    <row r="68" spans="2:17" ht="12.75">
      <c r="B68" s="59"/>
      <c r="C68" s="73" t="s">
        <v>295</v>
      </c>
      <c r="D68" s="74"/>
      <c r="E68" s="70">
        <f>-E64</f>
        <v>-2595376.0192870856</v>
      </c>
      <c r="F68" s="70">
        <f aca="true" t="shared" si="12" ref="F68:P68">-F64</f>
        <v>0</v>
      </c>
      <c r="G68" s="70">
        <f t="shared" si="12"/>
        <v>-452000</v>
      </c>
      <c r="H68" s="70">
        <f t="shared" si="12"/>
        <v>-442943.0598575677</v>
      </c>
      <c r="I68" s="70">
        <f t="shared" si="12"/>
        <v>-433798.2673957539</v>
      </c>
      <c r="J68" s="70">
        <f t="shared" si="12"/>
        <v>-431564.77044706047</v>
      </c>
      <c r="K68" s="70">
        <f t="shared" si="12"/>
        <v>-422241.70857796463</v>
      </c>
      <c r="L68" s="70">
        <f t="shared" si="12"/>
        <v>-412828.21300873865</v>
      </c>
      <c r="M68" s="70">
        <f t="shared" si="12"/>
        <v>-4257544.676907105</v>
      </c>
      <c r="N68" s="70">
        <f t="shared" si="12"/>
        <v>-2719049.079046641</v>
      </c>
      <c r="O68" s="70">
        <f t="shared" si="12"/>
        <v>-1186416.3203842393</v>
      </c>
      <c r="P68" s="70">
        <f t="shared" si="12"/>
        <v>-188038.51783737107</v>
      </c>
      <c r="Q68" s="3"/>
    </row>
    <row r="69" spans="2:17" ht="12.75">
      <c r="B69" s="59"/>
      <c r="C69" s="1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</row>
    <row r="70" spans="1:17" s="17" customFormat="1" ht="12.75">
      <c r="A70" s="2"/>
      <c r="B70" s="59"/>
      <c r="C70" s="73" t="s">
        <v>20</v>
      </c>
      <c r="D70" s="77"/>
      <c r="E70" s="78">
        <f aca="true" t="shared" si="13" ref="E70:P70">+E62+E68</f>
        <v>3791577.3140462427</v>
      </c>
      <c r="F70" s="78">
        <f t="shared" si="13"/>
        <v>0</v>
      </c>
      <c r="G70" s="78">
        <f t="shared" si="13"/>
        <v>27792.222222221084</v>
      </c>
      <c r="H70" s="78">
        <f t="shared" si="13"/>
        <v>36849.16236465337</v>
      </c>
      <c r="I70" s="78">
        <f t="shared" si="13"/>
        <v>45993.954826467205</v>
      </c>
      <c r="J70" s="78">
        <f t="shared" si="13"/>
        <v>1217627.4517751606</v>
      </c>
      <c r="K70" s="78">
        <f t="shared" si="13"/>
        <v>1226950.5136442564</v>
      </c>
      <c r="L70" s="78">
        <f t="shared" si="13"/>
        <v>1236364.0092134825</v>
      </c>
      <c r="M70" s="78">
        <f t="shared" si="13"/>
        <v>25069495.323092893</v>
      </c>
      <c r="N70" s="78">
        <f t="shared" si="13"/>
        <v>23724657.587620016</v>
      </c>
      <c r="O70" s="78">
        <f t="shared" si="13"/>
        <v>25257290.34628242</v>
      </c>
      <c r="P70" s="78">
        <f t="shared" si="13"/>
        <v>26255668.148829285</v>
      </c>
      <c r="Q70" s="3"/>
    </row>
    <row r="71" spans="1:17" s="17" customFormat="1" ht="12.75">
      <c r="A71" s="2"/>
      <c r="B71" s="59"/>
      <c r="C71" s="120" t="s">
        <v>280</v>
      </c>
      <c r="D71" s="77"/>
      <c r="E71" s="121"/>
      <c r="F71" s="121"/>
      <c r="G71" s="121">
        <f>+F71+G70</f>
        <v>27792.222222221084</v>
      </c>
      <c r="H71" s="121">
        <f aca="true" t="shared" si="14" ref="H71:P71">+G71+H70</f>
        <v>64641.384586874454</v>
      </c>
      <c r="I71" s="121">
        <f t="shared" si="14"/>
        <v>110635.33941334166</v>
      </c>
      <c r="J71" s="121">
        <f t="shared" si="14"/>
        <v>1328262.7911885022</v>
      </c>
      <c r="K71" s="121">
        <f t="shared" si="14"/>
        <v>2555213.3048327584</v>
      </c>
      <c r="L71" s="121">
        <f t="shared" si="14"/>
        <v>3791577.314046241</v>
      </c>
      <c r="M71" s="121">
        <f t="shared" si="14"/>
        <v>28861072.637139134</v>
      </c>
      <c r="N71" s="121">
        <f t="shared" si="14"/>
        <v>52585730.22475915</v>
      </c>
      <c r="O71" s="121">
        <f t="shared" si="14"/>
        <v>77843020.57104157</v>
      </c>
      <c r="P71" s="121">
        <f t="shared" si="14"/>
        <v>104098688.71987085</v>
      </c>
      <c r="Q71" s="3"/>
    </row>
    <row r="72" spans="2:17" ht="12.75">
      <c r="B72" s="79"/>
      <c r="C72" s="9"/>
      <c r="D72" s="80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14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s="17" customFormat="1" ht="12.75">
      <c r="A74" s="2"/>
      <c r="B74" s="18"/>
      <c r="C74" s="19"/>
      <c r="D74" s="19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s="17" customFormat="1" ht="12.75">
      <c r="A75" s="2"/>
      <c r="B75" s="18"/>
      <c r="C75" s="136"/>
      <c r="D75" s="19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82" ht="12.75">
      <c r="K82" s="114"/>
    </row>
  </sheetData>
  <sheetProtection/>
  <mergeCells count="2">
    <mergeCell ref="C1:Q1"/>
    <mergeCell ref="C2:Q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300" verticalDpi="3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36.421875" style="99" bestFit="1" customWidth="1"/>
    <col min="2" max="16384" width="11.421875" style="99" customWidth="1"/>
  </cols>
  <sheetData>
    <row r="1" spans="1:3" ht="13.5" thickBot="1">
      <c r="A1" s="156" t="s">
        <v>181</v>
      </c>
      <c r="B1" s="156"/>
      <c r="C1" s="156"/>
    </row>
    <row r="2" spans="1:4" ht="15.75" thickBot="1">
      <c r="A2" s="100" t="s">
        <v>158</v>
      </c>
      <c r="B2" s="101" t="s">
        <v>159</v>
      </c>
      <c r="C2" s="102" t="s">
        <v>160</v>
      </c>
      <c r="D2" s="99" t="s">
        <v>299</v>
      </c>
    </row>
    <row r="3" spans="1:5" ht="16.5" thickBot="1" thickTop="1">
      <c r="A3" s="103" t="s">
        <v>161</v>
      </c>
      <c r="B3" s="104" t="s">
        <v>162</v>
      </c>
      <c r="C3" s="105">
        <v>90000</v>
      </c>
      <c r="D3" s="99">
        <v>12</v>
      </c>
      <c r="E3" s="99">
        <f>C3/D3</f>
        <v>7500</v>
      </c>
    </row>
    <row r="4" spans="1:5" ht="15.75" thickBot="1">
      <c r="A4" s="103" t="s">
        <v>163</v>
      </c>
      <c r="B4" s="104" t="s">
        <v>162</v>
      </c>
      <c r="C4" s="105">
        <v>55000</v>
      </c>
      <c r="D4" s="99">
        <v>12</v>
      </c>
      <c r="E4" s="99">
        <f aca="true" t="shared" si="0" ref="E4:E20">C4/D4</f>
        <v>4583.333333333333</v>
      </c>
    </row>
    <row r="5" spans="1:5" ht="15.75" thickBot="1">
      <c r="A5" s="103" t="s">
        <v>164</v>
      </c>
      <c r="B5" s="104" t="s">
        <v>162</v>
      </c>
      <c r="C5" s="105">
        <v>1700000</v>
      </c>
      <c r="D5" s="99">
        <v>12</v>
      </c>
      <c r="E5" s="99">
        <f t="shared" si="0"/>
        <v>141666.66666666666</v>
      </c>
    </row>
    <row r="6" spans="1:5" ht="15.75" thickBot="1">
      <c r="A6" s="103" t="s">
        <v>165</v>
      </c>
      <c r="B6" s="104" t="s">
        <v>162</v>
      </c>
      <c r="C6" s="105">
        <v>30000</v>
      </c>
      <c r="D6" s="99">
        <v>12</v>
      </c>
      <c r="E6" s="99">
        <f t="shared" si="0"/>
        <v>2500</v>
      </c>
    </row>
    <row r="7" spans="1:5" ht="15.75" thickBot="1">
      <c r="A7" s="103" t="s">
        <v>166</v>
      </c>
      <c r="B7" s="104" t="s">
        <v>162</v>
      </c>
      <c r="C7" s="105">
        <v>20000</v>
      </c>
      <c r="D7" s="99">
        <v>12</v>
      </c>
      <c r="E7" s="99">
        <f t="shared" si="0"/>
        <v>1666.6666666666667</v>
      </c>
    </row>
    <row r="8" spans="1:5" ht="15.75" thickBot="1">
      <c r="A8" s="103" t="s">
        <v>167</v>
      </c>
      <c r="B8" s="104" t="s">
        <v>162</v>
      </c>
      <c r="C8" s="105">
        <v>20000</v>
      </c>
      <c r="D8" s="99">
        <v>12</v>
      </c>
      <c r="E8" s="99">
        <f t="shared" si="0"/>
        <v>1666.6666666666667</v>
      </c>
    </row>
    <row r="9" spans="1:5" ht="15.75" thickBot="1">
      <c r="A9" s="103" t="s">
        <v>168</v>
      </c>
      <c r="B9" s="104" t="s">
        <v>162</v>
      </c>
      <c r="C9" s="105">
        <v>85000</v>
      </c>
      <c r="D9" s="99">
        <v>12</v>
      </c>
      <c r="E9" s="99">
        <f t="shared" si="0"/>
        <v>7083.333333333333</v>
      </c>
    </row>
    <row r="10" spans="1:5" ht="15.75" thickBot="1">
      <c r="A10" s="103" t="s">
        <v>169</v>
      </c>
      <c r="B10" s="104" t="s">
        <v>162</v>
      </c>
      <c r="C10" s="105">
        <v>110000</v>
      </c>
      <c r="D10" s="99">
        <v>12</v>
      </c>
      <c r="E10" s="99">
        <f t="shared" si="0"/>
        <v>9166.666666666666</v>
      </c>
    </row>
    <row r="11" spans="1:5" ht="15.75" thickBot="1">
      <c r="A11" s="103" t="s">
        <v>170</v>
      </c>
      <c r="B11" s="104" t="s">
        <v>162</v>
      </c>
      <c r="C11" s="105">
        <v>38000</v>
      </c>
      <c r="D11" s="99">
        <v>12</v>
      </c>
      <c r="E11" s="99">
        <f t="shared" si="0"/>
        <v>3166.6666666666665</v>
      </c>
    </row>
    <row r="12" spans="1:5" ht="15.75" thickBot="1">
      <c r="A12" s="103" t="s">
        <v>171</v>
      </c>
      <c r="B12" s="104" t="s">
        <v>162</v>
      </c>
      <c r="C12" s="105">
        <v>26000</v>
      </c>
      <c r="D12" s="99">
        <v>12</v>
      </c>
      <c r="E12" s="99">
        <f t="shared" si="0"/>
        <v>2166.6666666666665</v>
      </c>
    </row>
    <row r="13" spans="1:5" ht="15.75" thickBot="1">
      <c r="A13" s="103" t="s">
        <v>172</v>
      </c>
      <c r="B13" s="104" t="s">
        <v>162</v>
      </c>
      <c r="C13" s="105">
        <v>17000</v>
      </c>
      <c r="D13" s="99">
        <v>12</v>
      </c>
      <c r="E13" s="99">
        <f t="shared" si="0"/>
        <v>1416.6666666666667</v>
      </c>
    </row>
    <row r="14" spans="1:5" ht="15.75" thickBot="1">
      <c r="A14" s="103" t="s">
        <v>173</v>
      </c>
      <c r="B14" s="104" t="s">
        <v>162</v>
      </c>
      <c r="C14" s="105">
        <v>22000</v>
      </c>
      <c r="D14" s="99">
        <v>12</v>
      </c>
      <c r="E14" s="99">
        <f t="shared" si="0"/>
        <v>1833.3333333333333</v>
      </c>
    </row>
    <row r="15" spans="1:5" ht="15.75" thickBot="1">
      <c r="A15" s="103" t="s">
        <v>174</v>
      </c>
      <c r="B15" s="104" t="s">
        <v>162</v>
      </c>
      <c r="C15" s="105">
        <v>8000</v>
      </c>
      <c r="D15" s="99">
        <v>12</v>
      </c>
      <c r="E15" s="99">
        <f t="shared" si="0"/>
        <v>666.6666666666666</v>
      </c>
    </row>
    <row r="16" spans="1:5" ht="15.75" thickBot="1">
      <c r="A16" s="103" t="s">
        <v>175</v>
      </c>
      <c r="B16" s="104" t="s">
        <v>162</v>
      </c>
      <c r="C16" s="105">
        <v>20000</v>
      </c>
      <c r="D16" s="99">
        <v>12</v>
      </c>
      <c r="E16" s="99">
        <f t="shared" si="0"/>
        <v>1666.6666666666667</v>
      </c>
    </row>
    <row r="17" spans="1:5" ht="15.75" thickBot="1">
      <c r="A17" s="103" t="s">
        <v>176</v>
      </c>
      <c r="B17" s="104" t="s">
        <v>162</v>
      </c>
      <c r="C17" s="105">
        <v>26000</v>
      </c>
      <c r="D17" s="99">
        <v>12</v>
      </c>
      <c r="E17" s="99">
        <f t="shared" si="0"/>
        <v>2166.6666666666665</v>
      </c>
    </row>
    <row r="18" spans="1:5" ht="15.75" thickBot="1">
      <c r="A18" s="103" t="s">
        <v>177</v>
      </c>
      <c r="B18" s="104" t="s">
        <v>162</v>
      </c>
      <c r="C18" s="105">
        <v>18000</v>
      </c>
      <c r="D18" s="99">
        <v>12</v>
      </c>
      <c r="E18" s="99">
        <f t="shared" si="0"/>
        <v>1500</v>
      </c>
    </row>
    <row r="19" spans="1:5" ht="15.75" thickBot="1">
      <c r="A19" s="103" t="s">
        <v>178</v>
      </c>
      <c r="B19" s="104" t="s">
        <v>162</v>
      </c>
      <c r="C19" s="105">
        <v>33000</v>
      </c>
      <c r="D19" s="99">
        <v>12</v>
      </c>
      <c r="E19" s="99">
        <f t="shared" si="0"/>
        <v>2750</v>
      </c>
    </row>
    <row r="20" spans="1:5" ht="15.75" thickBot="1">
      <c r="A20" s="103" t="s">
        <v>179</v>
      </c>
      <c r="B20" s="104" t="s">
        <v>162</v>
      </c>
      <c r="C20" s="105">
        <v>90000</v>
      </c>
      <c r="D20" s="99">
        <v>12</v>
      </c>
      <c r="E20" s="99">
        <f t="shared" si="0"/>
        <v>7500</v>
      </c>
    </row>
    <row r="21" spans="1:5" ht="15.75" thickBot="1">
      <c r="A21" s="106" t="s">
        <v>180</v>
      </c>
      <c r="B21" s="107"/>
      <c r="C21" s="108">
        <f>SUM(C3:C20)</f>
        <v>2408000</v>
      </c>
      <c r="E21" s="99">
        <f>SUM(E3:E20)</f>
        <v>200666.6666666666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10"/>
  <sheetViews>
    <sheetView zoomScalePageLayoutView="0" workbookViewId="0" topLeftCell="A1">
      <selection activeCell="C5" sqref="C5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  <col min="4" max="32" width="10.140625" style="0" bestFit="1" customWidth="1"/>
    <col min="33" max="39" width="9.140625" style="0" bestFit="1" customWidth="1"/>
  </cols>
  <sheetData>
    <row r="2" spans="4:39" ht="12.75">
      <c r="D2" s="114" t="s">
        <v>227</v>
      </c>
      <c r="E2" s="114" t="s">
        <v>228</v>
      </c>
      <c r="F2" s="114" t="s">
        <v>233</v>
      </c>
      <c r="G2" s="114" t="s">
        <v>234</v>
      </c>
      <c r="H2" s="114" t="s">
        <v>235</v>
      </c>
      <c r="I2" s="114" t="s">
        <v>236</v>
      </c>
      <c r="J2" s="114" t="s">
        <v>237</v>
      </c>
      <c r="K2" s="114" t="s">
        <v>238</v>
      </c>
      <c r="L2" s="114" t="s">
        <v>239</v>
      </c>
      <c r="M2" s="114" t="s">
        <v>240</v>
      </c>
      <c r="N2" s="114" t="s">
        <v>241</v>
      </c>
      <c r="O2" s="114" t="s">
        <v>242</v>
      </c>
      <c r="P2" s="114" t="s">
        <v>243</v>
      </c>
      <c r="Q2" s="114" t="s">
        <v>244</v>
      </c>
      <c r="R2" s="114" t="s">
        <v>245</v>
      </c>
      <c r="S2" s="114" t="s">
        <v>246</v>
      </c>
      <c r="T2" s="114" t="s">
        <v>247</v>
      </c>
      <c r="U2" s="114" t="s">
        <v>248</v>
      </c>
      <c r="V2" s="114" t="s">
        <v>249</v>
      </c>
      <c r="W2" s="114" t="s">
        <v>250</v>
      </c>
      <c r="X2" s="114" t="s">
        <v>251</v>
      </c>
      <c r="Y2" s="114" t="s">
        <v>252</v>
      </c>
      <c r="Z2" s="114" t="s">
        <v>253</v>
      </c>
      <c r="AA2" s="114" t="s">
        <v>254</v>
      </c>
      <c r="AB2" s="114" t="s">
        <v>255</v>
      </c>
      <c r="AC2" s="114" t="s">
        <v>256</v>
      </c>
      <c r="AD2" s="114" t="s">
        <v>257</v>
      </c>
      <c r="AE2" s="114" t="s">
        <v>258</v>
      </c>
      <c r="AF2" s="114" t="s">
        <v>259</v>
      </c>
      <c r="AG2" s="114" t="s">
        <v>260</v>
      </c>
      <c r="AH2" s="114" t="s">
        <v>261</v>
      </c>
      <c r="AI2" s="114" t="s">
        <v>262</v>
      </c>
      <c r="AJ2" s="114" t="s">
        <v>263</v>
      </c>
      <c r="AK2" s="114" t="s">
        <v>264</v>
      </c>
      <c r="AL2" s="114" t="s">
        <v>265</v>
      </c>
      <c r="AM2" s="114" t="s">
        <v>266</v>
      </c>
    </row>
    <row r="3" spans="1:39" ht="12.75">
      <c r="A3" s="114" t="s">
        <v>223</v>
      </c>
      <c r="B3" s="47">
        <f>+'Notas B G'!F40</f>
        <v>40000000</v>
      </c>
      <c r="C3" s="114" t="s">
        <v>229</v>
      </c>
      <c r="D3" s="47">
        <f>+B3</f>
        <v>40000000</v>
      </c>
      <c r="E3" s="47">
        <f>+D7</f>
        <v>39066294.830677085</v>
      </c>
      <c r="F3" s="47">
        <f>+E7</f>
        <v>38123532.72121174</v>
      </c>
      <c r="G3" s="47">
        <f aca="true" t="shared" si="0" ref="G3:AM3">+F7</f>
        <v>37171625.81928458</v>
      </c>
      <c r="H3" s="47">
        <f t="shared" si="0"/>
        <v>36210485.420408726</v>
      </c>
      <c r="I3" s="47">
        <f t="shared" si="0"/>
        <v>35240021.95966378</v>
      </c>
      <c r="J3" s="47">
        <f t="shared" si="0"/>
        <v>34260145.0033496</v>
      </c>
      <c r="K3" s="47">
        <f t="shared" si="0"/>
        <v>33270763.24055918</v>
      </c>
      <c r="L3" s="47">
        <f t="shared" si="0"/>
        <v>32271784.47466969</v>
      </c>
      <c r="M3" s="47">
        <f t="shared" si="0"/>
        <v>31263115.614751074</v>
      </c>
      <c r="N3" s="47">
        <f t="shared" si="0"/>
        <v>30244662.666891247</v>
      </c>
      <c r="O3" s="47">
        <f t="shared" si="0"/>
        <v>29216330.72543718</v>
      </c>
      <c r="P3" s="47">
        <f t="shared" si="0"/>
        <v>28178023.964151006</v>
      </c>
      <c r="Q3" s="47">
        <f t="shared" si="0"/>
        <v>27129645.62728036</v>
      </c>
      <c r="R3" s="47">
        <f t="shared" si="0"/>
        <v>26071098.020542063</v>
      </c>
      <c r="S3" s="47">
        <f t="shared" si="0"/>
        <v>25002282.502018407</v>
      </c>
      <c r="T3" s="47">
        <f t="shared" si="0"/>
        <v>23923099.472965073</v>
      </c>
      <c r="U3" s="47">
        <f t="shared" si="0"/>
        <v>22833448.36852992</v>
      </c>
      <c r="V3" s="47">
        <f t="shared" si="0"/>
        <v>21733227.648381747</v>
      </c>
      <c r="W3" s="47">
        <f t="shared" si="0"/>
        <v>20622334.78724814</v>
      </c>
      <c r="X3" s="47">
        <f t="shared" si="0"/>
        <v>19500666.265361533</v>
      </c>
      <c r="Y3" s="47">
        <f t="shared" si="0"/>
        <v>18368117.558812626</v>
      </c>
      <c r="Z3" s="47">
        <f t="shared" si="0"/>
        <v>17224583.129810195</v>
      </c>
      <c r="AA3" s="47">
        <f t="shared" si="0"/>
        <v>16069956.416846441</v>
      </c>
      <c r="AB3" s="47">
        <f t="shared" si="0"/>
        <v>14904129.824766938</v>
      </c>
      <c r="AC3" s="47">
        <f t="shared" si="0"/>
        <v>13726994.714744262</v>
      </c>
      <c r="AD3" s="47">
        <f t="shared" si="0"/>
        <v>12538441.394154368</v>
      </c>
      <c r="AE3" s="47">
        <f t="shared" si="0"/>
        <v>11338359.106354753</v>
      </c>
      <c r="AF3" s="47">
        <f t="shared" si="0"/>
        <v>10126636.02036348</v>
      </c>
      <c r="AG3" s="47">
        <f t="shared" si="0"/>
        <v>8903159.220438093</v>
      </c>
      <c r="AH3" s="47">
        <f t="shared" si="0"/>
        <v>7667814.695553429</v>
      </c>
      <c r="AI3" s="47">
        <f t="shared" si="0"/>
        <v>6420487.328777384</v>
      </c>
      <c r="AJ3" s="47">
        <f t="shared" si="0"/>
        <v>5161060.886543611</v>
      </c>
      <c r="AK3" s="47">
        <f t="shared" si="0"/>
        <v>3889418.0078201704</v>
      </c>
      <c r="AL3" s="47">
        <f t="shared" si="0"/>
        <v>2605440.1931731123</v>
      </c>
      <c r="AM3" s="47">
        <f t="shared" si="0"/>
        <v>1309007.793723978</v>
      </c>
    </row>
    <row r="4" spans="1:39" ht="12.75">
      <c r="A4" s="114" t="s">
        <v>225</v>
      </c>
      <c r="B4">
        <v>36</v>
      </c>
      <c r="C4" s="114" t="s">
        <v>224</v>
      </c>
      <c r="D4" s="47">
        <f>+$B$6</f>
        <v>1321705.1693229135</v>
      </c>
      <c r="E4" s="47">
        <f>+$B$6</f>
        <v>1321705.1693229135</v>
      </c>
      <c r="F4" s="47">
        <f>+$B$6</f>
        <v>1321705.1693229135</v>
      </c>
      <c r="G4" s="47">
        <f aca="true" t="shared" si="1" ref="G4:AM4">+$B$6</f>
        <v>1321705.1693229135</v>
      </c>
      <c r="H4" s="47">
        <f t="shared" si="1"/>
        <v>1321705.1693229135</v>
      </c>
      <c r="I4" s="47">
        <f t="shared" si="1"/>
        <v>1321705.1693229135</v>
      </c>
      <c r="J4" s="47">
        <f t="shared" si="1"/>
        <v>1321705.1693229135</v>
      </c>
      <c r="K4" s="47">
        <f t="shared" si="1"/>
        <v>1321705.1693229135</v>
      </c>
      <c r="L4" s="47">
        <f t="shared" si="1"/>
        <v>1321705.1693229135</v>
      </c>
      <c r="M4" s="47">
        <f t="shared" si="1"/>
        <v>1321705.1693229135</v>
      </c>
      <c r="N4" s="47">
        <f t="shared" si="1"/>
        <v>1321705.1693229135</v>
      </c>
      <c r="O4" s="47">
        <f t="shared" si="1"/>
        <v>1321705.1693229135</v>
      </c>
      <c r="P4" s="47">
        <f t="shared" si="1"/>
        <v>1321705.1693229135</v>
      </c>
      <c r="Q4" s="47">
        <f t="shared" si="1"/>
        <v>1321705.1693229135</v>
      </c>
      <c r="R4" s="47">
        <f t="shared" si="1"/>
        <v>1321705.1693229135</v>
      </c>
      <c r="S4" s="47">
        <f t="shared" si="1"/>
        <v>1321705.1693229135</v>
      </c>
      <c r="T4" s="47">
        <f t="shared" si="1"/>
        <v>1321705.1693229135</v>
      </c>
      <c r="U4" s="47">
        <f t="shared" si="1"/>
        <v>1321705.1693229135</v>
      </c>
      <c r="V4" s="47">
        <f t="shared" si="1"/>
        <v>1321705.1693229135</v>
      </c>
      <c r="W4" s="47">
        <f t="shared" si="1"/>
        <v>1321705.1693229135</v>
      </c>
      <c r="X4" s="47">
        <f t="shared" si="1"/>
        <v>1321705.1693229135</v>
      </c>
      <c r="Y4" s="47">
        <f t="shared" si="1"/>
        <v>1321705.1693229135</v>
      </c>
      <c r="Z4" s="47">
        <f t="shared" si="1"/>
        <v>1321705.1693229135</v>
      </c>
      <c r="AA4" s="47">
        <f t="shared" si="1"/>
        <v>1321705.1693229135</v>
      </c>
      <c r="AB4" s="47">
        <f t="shared" si="1"/>
        <v>1321705.1693229135</v>
      </c>
      <c r="AC4" s="47">
        <f t="shared" si="1"/>
        <v>1321705.1693229135</v>
      </c>
      <c r="AD4" s="47">
        <f t="shared" si="1"/>
        <v>1321705.1693229135</v>
      </c>
      <c r="AE4" s="47">
        <f t="shared" si="1"/>
        <v>1321705.1693229135</v>
      </c>
      <c r="AF4" s="47">
        <f t="shared" si="1"/>
        <v>1321705.1693229135</v>
      </c>
      <c r="AG4" s="47">
        <f t="shared" si="1"/>
        <v>1321705.1693229135</v>
      </c>
      <c r="AH4" s="47">
        <f t="shared" si="1"/>
        <v>1321705.1693229135</v>
      </c>
      <c r="AI4" s="47">
        <f t="shared" si="1"/>
        <v>1321705.1693229135</v>
      </c>
      <c r="AJ4" s="47">
        <f t="shared" si="1"/>
        <v>1321705.1693229135</v>
      </c>
      <c r="AK4" s="47">
        <f t="shared" si="1"/>
        <v>1321705.1693229135</v>
      </c>
      <c r="AL4" s="47">
        <f t="shared" si="1"/>
        <v>1321705.1693229135</v>
      </c>
      <c r="AM4" s="47">
        <f t="shared" si="1"/>
        <v>1321705.1693229135</v>
      </c>
    </row>
    <row r="5" spans="1:39" ht="12.75">
      <c r="A5" s="114" t="s">
        <v>226</v>
      </c>
      <c r="B5" s="115">
        <v>0.0097</v>
      </c>
      <c r="C5" s="114" t="s">
        <v>230</v>
      </c>
      <c r="D5" s="47">
        <f>+D4-D6</f>
        <v>933705.1693229135</v>
      </c>
      <c r="E5" s="47">
        <f>+E4-E6</f>
        <v>942762.1094653457</v>
      </c>
      <c r="F5" s="47">
        <f>+F4-F6</f>
        <v>951906.9019271596</v>
      </c>
      <c r="G5" s="47">
        <f aca="true" t="shared" si="2" ref="G5:AM5">+G4-G6</f>
        <v>961140.398875853</v>
      </c>
      <c r="H5" s="47">
        <f t="shared" si="2"/>
        <v>970463.4607449488</v>
      </c>
      <c r="I5" s="47">
        <f t="shared" si="2"/>
        <v>979876.9563141749</v>
      </c>
      <c r="J5" s="47">
        <f t="shared" si="2"/>
        <v>989381.7627904224</v>
      </c>
      <c r="K5" s="47">
        <f t="shared" si="2"/>
        <v>998978.7658894894</v>
      </c>
      <c r="L5" s="47">
        <f t="shared" si="2"/>
        <v>1008668.8599186175</v>
      </c>
      <c r="M5" s="47">
        <f t="shared" si="2"/>
        <v>1018452.9478598281</v>
      </c>
      <c r="N5" s="47">
        <f t="shared" si="2"/>
        <v>1028331.9414540684</v>
      </c>
      <c r="O5" s="47">
        <f t="shared" si="2"/>
        <v>1038306.7612861728</v>
      </c>
      <c r="P5" s="47">
        <f t="shared" si="2"/>
        <v>1048378.3368706487</v>
      </c>
      <c r="Q5" s="47">
        <f t="shared" si="2"/>
        <v>1058547.606738294</v>
      </c>
      <c r="R5" s="47">
        <f t="shared" si="2"/>
        <v>1068815.5185236554</v>
      </c>
      <c r="S5" s="47">
        <f t="shared" si="2"/>
        <v>1079183.029053335</v>
      </c>
      <c r="T5" s="47">
        <f t="shared" si="2"/>
        <v>1089651.1044351524</v>
      </c>
      <c r="U5" s="47">
        <f t="shared" si="2"/>
        <v>1100220.7201481732</v>
      </c>
      <c r="V5" s="47">
        <f t="shared" si="2"/>
        <v>1110892.8611336106</v>
      </c>
      <c r="W5" s="47">
        <f t="shared" si="2"/>
        <v>1121668.5218866065</v>
      </c>
      <c r="X5" s="47">
        <f t="shared" si="2"/>
        <v>1132548.7065489066</v>
      </c>
      <c r="Y5" s="47">
        <f t="shared" si="2"/>
        <v>1143534.429002431</v>
      </c>
      <c r="Z5" s="47">
        <f t="shared" si="2"/>
        <v>1154626.7129637545</v>
      </c>
      <c r="AA5" s="47">
        <f t="shared" si="2"/>
        <v>1165826.592079503</v>
      </c>
      <c r="AB5" s="47">
        <f t="shared" si="2"/>
        <v>1177135.1100226743</v>
      </c>
      <c r="AC5" s="47">
        <f t="shared" si="2"/>
        <v>1188553.3205898942</v>
      </c>
      <c r="AD5" s="47">
        <f t="shared" si="2"/>
        <v>1200082.287799616</v>
      </c>
      <c r="AE5" s="47">
        <f t="shared" si="2"/>
        <v>1211723.0859912725</v>
      </c>
      <c r="AF5" s="47">
        <f t="shared" si="2"/>
        <v>1223476.7999253878</v>
      </c>
      <c r="AG5" s="47">
        <f t="shared" si="2"/>
        <v>1235344.524884664</v>
      </c>
      <c r="AH5" s="47">
        <f t="shared" si="2"/>
        <v>1247327.3667760452</v>
      </c>
      <c r="AI5" s="47">
        <f t="shared" si="2"/>
        <v>1259426.442233773</v>
      </c>
      <c r="AJ5" s="47">
        <f t="shared" si="2"/>
        <v>1271642.8787234405</v>
      </c>
      <c r="AK5" s="47">
        <f t="shared" si="2"/>
        <v>1283977.8146470578</v>
      </c>
      <c r="AL5" s="47">
        <f t="shared" si="2"/>
        <v>1296432.3994491342</v>
      </c>
      <c r="AM5" s="47">
        <f t="shared" si="2"/>
        <v>1309007.793723791</v>
      </c>
    </row>
    <row r="6" spans="1:39" ht="12.75">
      <c r="A6" s="114" t="s">
        <v>224</v>
      </c>
      <c r="B6" s="116">
        <f>-PMT(B5,B4,B3)</f>
        <v>1321705.1693229135</v>
      </c>
      <c r="C6" s="114" t="s">
        <v>232</v>
      </c>
      <c r="D6" s="47">
        <f>+D3*$B$5</f>
        <v>388000</v>
      </c>
      <c r="E6" s="47">
        <f>+E3*$B$5</f>
        <v>378943.0598575677</v>
      </c>
      <c r="F6" s="47">
        <f>+F3*$B$5</f>
        <v>369798.2673957539</v>
      </c>
      <c r="G6" s="47">
        <f aca="true" t="shared" si="3" ref="G6:AM6">+G3*$B$5</f>
        <v>360564.77044706047</v>
      </c>
      <c r="H6" s="47">
        <f t="shared" si="3"/>
        <v>351241.70857796463</v>
      </c>
      <c r="I6" s="47">
        <f t="shared" si="3"/>
        <v>341828.21300873865</v>
      </c>
      <c r="J6" s="47">
        <f t="shared" si="3"/>
        <v>332323.40653249115</v>
      </c>
      <c r="K6" s="47">
        <f t="shared" si="3"/>
        <v>322726.4034334241</v>
      </c>
      <c r="L6" s="47">
        <f t="shared" si="3"/>
        <v>313036.309404296</v>
      </c>
      <c r="M6" s="47">
        <f t="shared" si="3"/>
        <v>303252.22146308544</v>
      </c>
      <c r="N6" s="47">
        <f t="shared" si="3"/>
        <v>293373.2278688451</v>
      </c>
      <c r="O6" s="47">
        <f t="shared" si="3"/>
        <v>283398.4080367407</v>
      </c>
      <c r="P6" s="47">
        <f t="shared" si="3"/>
        <v>273326.8324522648</v>
      </c>
      <c r="Q6" s="47">
        <f t="shared" si="3"/>
        <v>263157.5625846195</v>
      </c>
      <c r="R6" s="47">
        <f t="shared" si="3"/>
        <v>252889.65079925803</v>
      </c>
      <c r="S6" s="47">
        <f t="shared" si="3"/>
        <v>242522.14026957855</v>
      </c>
      <c r="T6" s="47">
        <f t="shared" si="3"/>
        <v>232054.06488776123</v>
      </c>
      <c r="U6" s="47">
        <f t="shared" si="3"/>
        <v>221484.44917474024</v>
      </c>
      <c r="V6" s="47">
        <f t="shared" si="3"/>
        <v>210812.30818930294</v>
      </c>
      <c r="W6" s="47">
        <f t="shared" si="3"/>
        <v>200036.64743630696</v>
      </c>
      <c r="X6" s="47">
        <f t="shared" si="3"/>
        <v>189156.46277400688</v>
      </c>
      <c r="Y6" s="47">
        <f t="shared" si="3"/>
        <v>178170.74032048247</v>
      </c>
      <c r="Z6" s="47">
        <f t="shared" si="3"/>
        <v>167078.4563591589</v>
      </c>
      <c r="AA6" s="47">
        <f t="shared" si="3"/>
        <v>155878.5772434105</v>
      </c>
      <c r="AB6" s="47">
        <f t="shared" si="3"/>
        <v>144570.05930023929</v>
      </c>
      <c r="AC6" s="47">
        <f t="shared" si="3"/>
        <v>133151.84873301935</v>
      </c>
      <c r="AD6" s="47">
        <f t="shared" si="3"/>
        <v>121622.88152329737</v>
      </c>
      <c r="AE6" s="47">
        <f t="shared" si="3"/>
        <v>109982.0833316411</v>
      </c>
      <c r="AF6" s="47">
        <f t="shared" si="3"/>
        <v>98228.36939752576</v>
      </c>
      <c r="AG6" s="47">
        <f t="shared" si="3"/>
        <v>86360.64443824951</v>
      </c>
      <c r="AH6" s="47">
        <f t="shared" si="3"/>
        <v>74377.80254686826</v>
      </c>
      <c r="AI6" s="47">
        <f t="shared" si="3"/>
        <v>62278.72708914063</v>
      </c>
      <c r="AJ6" s="47">
        <f t="shared" si="3"/>
        <v>50062.29059947303</v>
      </c>
      <c r="AK6" s="47">
        <f t="shared" si="3"/>
        <v>37727.354675855655</v>
      </c>
      <c r="AL6" s="47">
        <f t="shared" si="3"/>
        <v>25272.76987377919</v>
      </c>
      <c r="AM6" s="47">
        <f t="shared" si="3"/>
        <v>12697.375599122588</v>
      </c>
    </row>
    <row r="7" spans="3:39" ht="12.75">
      <c r="C7" s="114" t="s">
        <v>231</v>
      </c>
      <c r="D7" s="47">
        <f>+D3-D5</f>
        <v>39066294.830677085</v>
      </c>
      <c r="E7" s="47">
        <f>+E3-E5</f>
        <v>38123532.72121174</v>
      </c>
      <c r="F7" s="47">
        <f>+F3-F5</f>
        <v>37171625.81928458</v>
      </c>
      <c r="G7" s="47">
        <f aca="true" t="shared" si="4" ref="G7:AM7">+G3-G5</f>
        <v>36210485.420408726</v>
      </c>
      <c r="H7" s="47">
        <f t="shared" si="4"/>
        <v>35240021.95966378</v>
      </c>
      <c r="I7" s="47">
        <f t="shared" si="4"/>
        <v>34260145.0033496</v>
      </c>
      <c r="J7" s="47">
        <f t="shared" si="4"/>
        <v>33270763.24055918</v>
      </c>
      <c r="K7" s="47">
        <f t="shared" si="4"/>
        <v>32271784.47466969</v>
      </c>
      <c r="L7" s="47">
        <f t="shared" si="4"/>
        <v>31263115.614751074</v>
      </c>
      <c r="M7" s="47">
        <f t="shared" si="4"/>
        <v>30244662.666891247</v>
      </c>
      <c r="N7" s="47">
        <f t="shared" si="4"/>
        <v>29216330.72543718</v>
      </c>
      <c r="O7" s="47">
        <f t="shared" si="4"/>
        <v>28178023.964151006</v>
      </c>
      <c r="P7" s="47">
        <f t="shared" si="4"/>
        <v>27129645.62728036</v>
      </c>
      <c r="Q7" s="47">
        <f t="shared" si="4"/>
        <v>26071098.020542063</v>
      </c>
      <c r="R7" s="47">
        <f t="shared" si="4"/>
        <v>25002282.502018407</v>
      </c>
      <c r="S7" s="47">
        <f t="shared" si="4"/>
        <v>23923099.472965073</v>
      </c>
      <c r="T7" s="47">
        <f t="shared" si="4"/>
        <v>22833448.36852992</v>
      </c>
      <c r="U7" s="47">
        <f t="shared" si="4"/>
        <v>21733227.648381747</v>
      </c>
      <c r="V7" s="47">
        <f t="shared" si="4"/>
        <v>20622334.78724814</v>
      </c>
      <c r="W7" s="47">
        <f t="shared" si="4"/>
        <v>19500666.265361533</v>
      </c>
      <c r="X7" s="47">
        <f t="shared" si="4"/>
        <v>18368117.558812626</v>
      </c>
      <c r="Y7" s="47">
        <f t="shared" si="4"/>
        <v>17224583.129810195</v>
      </c>
      <c r="Z7" s="47">
        <f t="shared" si="4"/>
        <v>16069956.416846441</v>
      </c>
      <c r="AA7" s="47">
        <f t="shared" si="4"/>
        <v>14904129.824766938</v>
      </c>
      <c r="AB7" s="47">
        <f t="shared" si="4"/>
        <v>13726994.714744262</v>
      </c>
      <c r="AC7" s="47">
        <f t="shared" si="4"/>
        <v>12538441.394154368</v>
      </c>
      <c r="AD7" s="47">
        <f t="shared" si="4"/>
        <v>11338359.106354753</v>
      </c>
      <c r="AE7" s="47">
        <f t="shared" si="4"/>
        <v>10126636.02036348</v>
      </c>
      <c r="AF7" s="47">
        <f t="shared" si="4"/>
        <v>8903159.220438093</v>
      </c>
      <c r="AG7" s="47">
        <f t="shared" si="4"/>
        <v>7667814.695553429</v>
      </c>
      <c r="AH7" s="47">
        <f t="shared" si="4"/>
        <v>6420487.328777384</v>
      </c>
      <c r="AI7" s="47">
        <f t="shared" si="4"/>
        <v>5161060.886543611</v>
      </c>
      <c r="AJ7" s="47">
        <f t="shared" si="4"/>
        <v>3889418.0078201704</v>
      </c>
      <c r="AK7" s="47">
        <f t="shared" si="4"/>
        <v>2605440.1931731123</v>
      </c>
      <c r="AL7" s="47">
        <f t="shared" si="4"/>
        <v>1309007.793723978</v>
      </c>
      <c r="AM7" s="47">
        <f t="shared" si="4"/>
        <v>1.8719583749771118E-07</v>
      </c>
    </row>
    <row r="8" spans="7:39" ht="12.75"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10" spans="7:39" ht="12.75"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1" sqref="M1:M16384"/>
    </sheetView>
  </sheetViews>
  <sheetFormatPr defaultColWidth="11.421875" defaultRowHeight="12.75"/>
  <cols>
    <col min="1" max="1" width="26.140625" style="0" bestFit="1" customWidth="1"/>
    <col min="2" max="3" width="11.8515625" style="0" bestFit="1" customWidth="1"/>
    <col min="4" max="4" width="9.140625" style="0" bestFit="1" customWidth="1"/>
    <col min="5" max="5" width="9.7109375" style="0" bestFit="1" customWidth="1"/>
    <col min="6" max="6" width="13.8515625" style="0" bestFit="1" customWidth="1"/>
    <col min="7" max="7" width="10.57421875" style="0" bestFit="1" customWidth="1"/>
    <col min="8" max="8" width="13.421875" style="0" bestFit="1" customWidth="1"/>
    <col min="9" max="9" width="12.8515625" style="0" bestFit="1" customWidth="1"/>
    <col min="10" max="12" width="10.140625" style="0" bestFit="1" customWidth="1"/>
    <col min="13" max="13" width="10.140625" style="0" hidden="1" customWidth="1"/>
  </cols>
  <sheetData>
    <row r="1" ht="12.75">
      <c r="A1" s="114" t="s">
        <v>273</v>
      </c>
    </row>
    <row r="3" spans="2:13" ht="12.75">
      <c r="B3" s="5" t="s">
        <v>154</v>
      </c>
      <c r="C3" s="5">
        <v>41061</v>
      </c>
      <c r="D3" s="5">
        <v>41091</v>
      </c>
      <c r="E3" s="5">
        <v>41122</v>
      </c>
      <c r="F3" s="5">
        <v>41153</v>
      </c>
      <c r="G3" s="5">
        <v>41183</v>
      </c>
      <c r="H3" s="5">
        <v>41214</v>
      </c>
      <c r="I3" s="5">
        <v>41244</v>
      </c>
      <c r="J3" s="5" t="s">
        <v>155</v>
      </c>
      <c r="K3" s="5" t="s">
        <v>156</v>
      </c>
      <c r="L3" s="5" t="s">
        <v>157</v>
      </c>
      <c r="M3" s="5" t="s">
        <v>193</v>
      </c>
    </row>
    <row r="4" spans="1:13" s="47" customFormat="1" ht="12.75">
      <c r="A4" s="47" t="s">
        <v>274</v>
      </c>
      <c r="B4" s="117">
        <f aca="true" t="shared" si="0" ref="B4:B9">SUM(C4:I4)</f>
        <v>9020778</v>
      </c>
      <c r="C4" s="117"/>
      <c r="D4" s="117">
        <v>1503463</v>
      </c>
      <c r="E4" s="117">
        <v>1503463</v>
      </c>
      <c r="F4" s="117">
        <v>1503463</v>
      </c>
      <c r="G4" s="117">
        <v>1503463</v>
      </c>
      <c r="H4" s="117">
        <v>1503463</v>
      </c>
      <c r="I4" s="117">
        <v>1503463</v>
      </c>
      <c r="J4" s="117">
        <f aca="true" t="shared" si="1" ref="J4:J9">+I4*12</f>
        <v>18041556</v>
      </c>
      <c r="K4" s="117">
        <f>+J4</f>
        <v>18041556</v>
      </c>
      <c r="L4" s="117">
        <f>+K4</f>
        <v>18041556</v>
      </c>
      <c r="M4" s="117">
        <f>+L4</f>
        <v>18041556</v>
      </c>
    </row>
    <row r="5" spans="1:13" s="47" customFormat="1" ht="12.75">
      <c r="A5" s="47" t="s">
        <v>275</v>
      </c>
      <c r="B5" s="117">
        <f t="shared" si="0"/>
        <v>5530452</v>
      </c>
      <c r="C5" s="117"/>
      <c r="D5" s="117">
        <v>921742</v>
      </c>
      <c r="E5" s="117">
        <v>921742</v>
      </c>
      <c r="F5" s="117">
        <v>921742</v>
      </c>
      <c r="G5" s="117">
        <v>921742</v>
      </c>
      <c r="H5" s="117">
        <v>921742</v>
      </c>
      <c r="I5" s="117">
        <v>921742</v>
      </c>
      <c r="J5" s="117">
        <f t="shared" si="1"/>
        <v>11060904</v>
      </c>
      <c r="K5" s="117">
        <f aca="true" t="shared" si="2" ref="K5:M9">+J5</f>
        <v>11060904</v>
      </c>
      <c r="L5" s="117">
        <f t="shared" si="2"/>
        <v>11060904</v>
      </c>
      <c r="M5" s="117">
        <f t="shared" si="2"/>
        <v>11060904</v>
      </c>
    </row>
    <row r="6" spans="1:13" s="47" customFormat="1" ht="12.75">
      <c r="A6" s="47" t="s">
        <v>276</v>
      </c>
      <c r="B6" s="117">
        <f t="shared" si="0"/>
        <v>14994624</v>
      </c>
      <c r="C6" s="117"/>
      <c r="D6" s="117">
        <v>2499104</v>
      </c>
      <c r="E6" s="117">
        <v>2499104</v>
      </c>
      <c r="F6" s="117">
        <v>2499104</v>
      </c>
      <c r="G6" s="117">
        <v>2499104</v>
      </c>
      <c r="H6" s="117">
        <v>2499104</v>
      </c>
      <c r="I6" s="117">
        <v>2499104</v>
      </c>
      <c r="J6" s="117">
        <f t="shared" si="1"/>
        <v>29989248</v>
      </c>
      <c r="K6" s="117">
        <f t="shared" si="2"/>
        <v>29989248</v>
      </c>
      <c r="L6" s="117">
        <f t="shared" si="2"/>
        <v>29989248</v>
      </c>
      <c r="M6" s="117">
        <f t="shared" si="2"/>
        <v>29989248</v>
      </c>
    </row>
    <row r="7" spans="1:13" s="47" customFormat="1" ht="12.75">
      <c r="A7" s="47" t="s">
        <v>277</v>
      </c>
      <c r="B7" s="117">
        <f t="shared" si="0"/>
        <v>3463812</v>
      </c>
      <c r="C7" s="117"/>
      <c r="D7" s="117">
        <v>577302</v>
      </c>
      <c r="E7" s="117">
        <v>577302</v>
      </c>
      <c r="F7" s="117">
        <v>577302</v>
      </c>
      <c r="G7" s="117">
        <v>577302</v>
      </c>
      <c r="H7" s="117">
        <v>577302</v>
      </c>
      <c r="I7" s="117">
        <v>577302</v>
      </c>
      <c r="J7" s="117">
        <f t="shared" si="1"/>
        <v>6927624</v>
      </c>
      <c r="K7" s="117">
        <f t="shared" si="2"/>
        <v>6927624</v>
      </c>
      <c r="L7" s="117">
        <f t="shared" si="2"/>
        <v>6927624</v>
      </c>
      <c r="M7" s="117">
        <f t="shared" si="2"/>
        <v>6927624</v>
      </c>
    </row>
    <row r="8" spans="1:13" s="47" customFormat="1" ht="12.75">
      <c r="A8" s="47" t="s">
        <v>278</v>
      </c>
      <c r="B8" s="117">
        <f t="shared" si="0"/>
        <v>6908214</v>
      </c>
      <c r="C8" s="117"/>
      <c r="D8" s="117">
        <v>1151369</v>
      </c>
      <c r="E8" s="117">
        <v>1151369</v>
      </c>
      <c r="F8" s="117">
        <v>1151369</v>
      </c>
      <c r="G8" s="117">
        <v>1151369</v>
      </c>
      <c r="H8" s="117">
        <v>1151369</v>
      </c>
      <c r="I8" s="117">
        <v>1151369</v>
      </c>
      <c r="J8" s="117">
        <f t="shared" si="1"/>
        <v>13816428</v>
      </c>
      <c r="K8" s="117">
        <f t="shared" si="2"/>
        <v>13816428</v>
      </c>
      <c r="L8" s="117">
        <f t="shared" si="2"/>
        <v>13816428</v>
      </c>
      <c r="M8" s="117">
        <f t="shared" si="2"/>
        <v>13816428</v>
      </c>
    </row>
    <row r="9" spans="1:13" s="47" customFormat="1" ht="12.75">
      <c r="A9" s="47" t="s">
        <v>279</v>
      </c>
      <c r="B9" s="117">
        <f t="shared" si="0"/>
        <v>3600000</v>
      </c>
      <c r="C9" s="117"/>
      <c r="D9" s="117">
        <v>600000</v>
      </c>
      <c r="E9" s="117">
        <v>600000</v>
      </c>
      <c r="F9" s="117">
        <v>600000</v>
      </c>
      <c r="G9" s="117">
        <v>600000</v>
      </c>
      <c r="H9" s="117">
        <v>600000</v>
      </c>
      <c r="I9" s="117">
        <v>600000</v>
      </c>
      <c r="J9" s="117">
        <f t="shared" si="1"/>
        <v>7200000</v>
      </c>
      <c r="K9" s="117">
        <f t="shared" si="2"/>
        <v>7200000</v>
      </c>
      <c r="L9" s="117">
        <f t="shared" si="2"/>
        <v>7200000</v>
      </c>
      <c r="M9" s="117">
        <f t="shared" si="2"/>
        <v>7200000</v>
      </c>
    </row>
    <row r="10" spans="2:13" s="47" customFormat="1" ht="12.75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2:13" ht="13.5" thickBot="1">
      <c r="B11" s="118">
        <f>SUM(B4:B9)</f>
        <v>43517880</v>
      </c>
      <c r="C11" s="118">
        <f aca="true" t="shared" si="3" ref="C11:M11">SUM(C4:C9)</f>
        <v>0</v>
      </c>
      <c r="D11" s="118">
        <f t="shared" si="3"/>
        <v>7252980</v>
      </c>
      <c r="E11" s="118">
        <f t="shared" si="3"/>
        <v>7252980</v>
      </c>
      <c r="F11" s="118">
        <f t="shared" si="3"/>
        <v>7252980</v>
      </c>
      <c r="G11" s="118">
        <f t="shared" si="3"/>
        <v>7252980</v>
      </c>
      <c r="H11" s="118">
        <f t="shared" si="3"/>
        <v>7252980</v>
      </c>
      <c r="I11" s="118">
        <f t="shared" si="3"/>
        <v>7252980</v>
      </c>
      <c r="J11" s="118">
        <f t="shared" si="3"/>
        <v>87035760</v>
      </c>
      <c r="K11" s="118">
        <f t="shared" si="3"/>
        <v>87035760</v>
      </c>
      <c r="L11" s="118">
        <f t="shared" si="3"/>
        <v>87035760</v>
      </c>
      <c r="M11" s="118">
        <f t="shared" si="3"/>
        <v>87035760</v>
      </c>
    </row>
    <row r="12" ht="13.5" thickTop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86"/>
  <sheetViews>
    <sheetView zoomScalePageLayoutView="0" workbookViewId="0" topLeftCell="A1">
      <pane xSplit="2" ySplit="3" topLeftCell="C6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7" sqref="Q37"/>
    </sheetView>
  </sheetViews>
  <sheetFormatPr defaultColWidth="11.421875" defaultRowHeight="12.75"/>
  <cols>
    <col min="1" max="1" width="33.57421875" style="0" bestFit="1" customWidth="1"/>
    <col min="2" max="2" width="3.421875" style="0" customWidth="1"/>
    <col min="3" max="3" width="10.140625" style="0" bestFit="1" customWidth="1"/>
    <col min="4" max="4" width="8.140625" style="0" bestFit="1" customWidth="1"/>
    <col min="5" max="5" width="9.140625" style="0" bestFit="1" customWidth="1"/>
    <col min="6" max="6" width="9.57421875" style="0" bestFit="1" customWidth="1"/>
    <col min="7" max="7" width="13.7109375" style="0" bestFit="1" customWidth="1"/>
    <col min="8" max="8" width="10.421875" style="0" bestFit="1" customWidth="1"/>
    <col min="9" max="9" width="13.28125" style="0" bestFit="1" customWidth="1"/>
    <col min="10" max="10" width="12.7109375" style="0" bestFit="1" customWidth="1"/>
    <col min="11" max="13" width="10.140625" style="0" bestFit="1" customWidth="1"/>
    <col min="14" max="14" width="10.140625" style="0" hidden="1" customWidth="1"/>
    <col min="15" max="16" width="0" style="0" hidden="1" customWidth="1"/>
  </cols>
  <sheetData>
    <row r="2" spans="3:14" ht="12.75">
      <c r="C2" s="5" t="s">
        <v>154</v>
      </c>
      <c r="D2" s="5">
        <v>41061</v>
      </c>
      <c r="E2" s="5">
        <v>41091</v>
      </c>
      <c r="F2" s="5">
        <v>41122</v>
      </c>
      <c r="G2" s="5">
        <v>41153</v>
      </c>
      <c r="H2" s="5">
        <v>41183</v>
      </c>
      <c r="I2" s="5">
        <v>41214</v>
      </c>
      <c r="J2" s="5">
        <v>41244</v>
      </c>
      <c r="K2" s="5" t="s">
        <v>155</v>
      </c>
      <c r="L2" s="5" t="s">
        <v>156</v>
      </c>
      <c r="M2" s="5" t="s">
        <v>157</v>
      </c>
      <c r="N2" s="5" t="s">
        <v>193</v>
      </c>
    </row>
    <row r="3" spans="1:15" s="58" customFormat="1" ht="12.75">
      <c r="A3" s="73" t="s">
        <v>220</v>
      </c>
      <c r="B3" s="74"/>
      <c r="C3" s="70">
        <f>+C5+C34</f>
        <v>32161500</v>
      </c>
      <c r="D3" s="70">
        <f aca="true" t="shared" si="0" ref="D3:N3">+D5+D34</f>
        <v>0</v>
      </c>
      <c r="E3" s="70">
        <f t="shared" si="0"/>
        <v>5105000</v>
      </c>
      <c r="F3" s="70">
        <f t="shared" si="0"/>
        <v>5105000</v>
      </c>
      <c r="G3" s="70">
        <f t="shared" si="0"/>
        <v>5105000</v>
      </c>
      <c r="H3" s="70">
        <f t="shared" si="0"/>
        <v>5615500</v>
      </c>
      <c r="I3" s="70">
        <f t="shared" si="0"/>
        <v>5615500</v>
      </c>
      <c r="J3" s="70">
        <f t="shared" si="0"/>
        <v>5615500</v>
      </c>
      <c r="K3" s="70">
        <f t="shared" si="0"/>
        <v>73512000</v>
      </c>
      <c r="L3" s="70">
        <f t="shared" si="0"/>
        <v>73512000</v>
      </c>
      <c r="M3" s="70">
        <f t="shared" si="0"/>
        <v>73512000</v>
      </c>
      <c r="N3" s="70">
        <f t="shared" si="0"/>
        <v>73512000</v>
      </c>
      <c r="O3" s="3"/>
    </row>
    <row r="4" spans="1:15" s="1" customFormat="1" ht="12.75">
      <c r="A4" s="97"/>
      <c r="B4" s="83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5"/>
    </row>
    <row r="5" spans="1:15" s="1" customFormat="1" ht="12.75">
      <c r="A5" s="89" t="s">
        <v>140</v>
      </c>
      <c r="B5" s="90"/>
      <c r="C5" s="91">
        <f>SUM(C6:C32)</f>
        <v>30933000</v>
      </c>
      <c r="D5" s="91">
        <f aca="true" t="shared" si="1" ref="D5:N5">SUM(D6:D32)</f>
        <v>0</v>
      </c>
      <c r="E5" s="91">
        <f t="shared" si="1"/>
        <v>4910000</v>
      </c>
      <c r="F5" s="91">
        <f t="shared" si="1"/>
        <v>4910000</v>
      </c>
      <c r="G5" s="91">
        <f t="shared" si="1"/>
        <v>4910000</v>
      </c>
      <c r="H5" s="91">
        <f t="shared" si="1"/>
        <v>5401000</v>
      </c>
      <c r="I5" s="91">
        <f t="shared" si="1"/>
        <v>5401000</v>
      </c>
      <c r="J5" s="91">
        <f t="shared" si="1"/>
        <v>5401000</v>
      </c>
      <c r="K5" s="91">
        <f t="shared" si="1"/>
        <v>70704000</v>
      </c>
      <c r="L5" s="91">
        <f t="shared" si="1"/>
        <v>70704000</v>
      </c>
      <c r="M5" s="91">
        <f t="shared" si="1"/>
        <v>70704000</v>
      </c>
      <c r="N5" s="91">
        <f t="shared" si="1"/>
        <v>70704000</v>
      </c>
      <c r="O5" s="65"/>
    </row>
    <row r="6" spans="1:15" s="58" customFormat="1" ht="12.75">
      <c r="A6" s="7" t="s">
        <v>104</v>
      </c>
      <c r="B6" s="67"/>
      <c r="C6" s="8">
        <f aca="true" t="shared" si="2" ref="C6:C32">SUM(D6:J6)</f>
        <v>14364000</v>
      </c>
      <c r="D6" s="8">
        <f>+D49*'Proyeccion de Ventas'!$D$18</f>
        <v>0</v>
      </c>
      <c r="E6" s="8">
        <f>+E49*'Proyeccion de Ventas'!$E$18</f>
        <v>2280000</v>
      </c>
      <c r="F6" s="8">
        <f>+F49*'Proyeccion de Ventas'!$F$18</f>
        <v>2280000</v>
      </c>
      <c r="G6" s="8">
        <f>+G49*'Proyeccion de Ventas'!$G$18</f>
        <v>2280000</v>
      </c>
      <c r="H6" s="8">
        <f>+H49*'Proyeccion de Ventas'!$H$18</f>
        <v>2508000</v>
      </c>
      <c r="I6" s="8">
        <f>+I49*'Proyeccion de Ventas'!$I$18</f>
        <v>2508000</v>
      </c>
      <c r="J6" s="8">
        <f>+J49*'Proyeccion de Ventas'!$J$18</f>
        <v>2508000</v>
      </c>
      <c r="K6" s="8">
        <f>+K49*'Proyeccion de Ventas'!$K$18</f>
        <v>32832000</v>
      </c>
      <c r="L6" s="8">
        <f>+L49*'Proyeccion de Ventas'!$L$18</f>
        <v>32832000</v>
      </c>
      <c r="M6" s="8">
        <f>+M49*'Proyeccion de Ventas'!$M$18</f>
        <v>32832000</v>
      </c>
      <c r="N6" s="8">
        <f>+N49*'Proyeccion de Ventas'!$N$18</f>
        <v>32832000</v>
      </c>
      <c r="O6" s="3"/>
    </row>
    <row r="7" spans="1:15" s="58" customFormat="1" ht="12.75">
      <c r="A7" s="7" t="s">
        <v>105</v>
      </c>
      <c r="B7" s="67"/>
      <c r="C7" s="8">
        <f t="shared" si="2"/>
        <v>6079500</v>
      </c>
      <c r="D7" s="8">
        <f>+D50*'Proyeccion de Ventas'!$D$18</f>
        <v>0</v>
      </c>
      <c r="E7" s="8">
        <f>+E50*'Proyeccion de Ventas'!$E$18</f>
        <v>965000</v>
      </c>
      <c r="F7" s="8">
        <f>+F50*'Proyeccion de Ventas'!$F$18</f>
        <v>965000</v>
      </c>
      <c r="G7" s="8">
        <f>+G50*'Proyeccion de Ventas'!$G$18</f>
        <v>965000</v>
      </c>
      <c r="H7" s="8">
        <f>+H50*'Proyeccion de Ventas'!$H$18</f>
        <v>1061500</v>
      </c>
      <c r="I7" s="8">
        <f>+I50*'Proyeccion de Ventas'!$I$18</f>
        <v>1061500</v>
      </c>
      <c r="J7" s="8">
        <f>+J50*'Proyeccion de Ventas'!$J$18</f>
        <v>1061500</v>
      </c>
      <c r="K7" s="8">
        <f>+K50*'Proyeccion de Ventas'!$K$18</f>
        <v>13896000</v>
      </c>
      <c r="L7" s="8">
        <f>+L50*'Proyeccion de Ventas'!$L$18</f>
        <v>13896000</v>
      </c>
      <c r="M7" s="8">
        <f>+M50*'Proyeccion de Ventas'!$M$18</f>
        <v>13896000</v>
      </c>
      <c r="N7" s="8">
        <f>+N50*'Proyeccion de Ventas'!$N$18</f>
        <v>13896000</v>
      </c>
      <c r="O7" s="3"/>
    </row>
    <row r="8" spans="1:15" s="58" customFormat="1" ht="12.75">
      <c r="A8" s="7" t="s">
        <v>106</v>
      </c>
      <c r="B8" s="67"/>
      <c r="C8" s="8">
        <f t="shared" si="2"/>
        <v>3559500</v>
      </c>
      <c r="D8" s="8">
        <f>+D51*'Proyeccion de Ventas'!$D$18</f>
        <v>0</v>
      </c>
      <c r="E8" s="8">
        <f>+E51*'Proyeccion de Ventas'!$E$18</f>
        <v>565000</v>
      </c>
      <c r="F8" s="8">
        <f>+F51*'Proyeccion de Ventas'!$F$18</f>
        <v>565000</v>
      </c>
      <c r="G8" s="8">
        <f>+G51*'Proyeccion de Ventas'!$G$18</f>
        <v>565000</v>
      </c>
      <c r="H8" s="8">
        <f>+H51*'Proyeccion de Ventas'!$H$18</f>
        <v>621500</v>
      </c>
      <c r="I8" s="8">
        <f>+I51*'Proyeccion de Ventas'!$I$18</f>
        <v>621500</v>
      </c>
      <c r="J8" s="8">
        <f>+J51*'Proyeccion de Ventas'!$J$18</f>
        <v>621500</v>
      </c>
      <c r="K8" s="8">
        <f>+K51*'Proyeccion de Ventas'!$K$18</f>
        <v>8136000</v>
      </c>
      <c r="L8" s="8">
        <f>+L51*'Proyeccion de Ventas'!$L$18</f>
        <v>8136000</v>
      </c>
      <c r="M8" s="8">
        <f>+M51*'Proyeccion de Ventas'!$M$18</f>
        <v>8136000</v>
      </c>
      <c r="N8" s="8">
        <f>+N51*'Proyeccion de Ventas'!$N$18</f>
        <v>8136000</v>
      </c>
      <c r="O8" s="3"/>
    </row>
    <row r="9" spans="1:15" s="58" customFormat="1" ht="12.75">
      <c r="A9" s="7" t="s">
        <v>107</v>
      </c>
      <c r="B9" s="67"/>
      <c r="C9" s="8">
        <f t="shared" si="2"/>
        <v>4252500</v>
      </c>
      <c r="D9" s="8">
        <f>+D52*'Proyeccion de Ventas'!$D$18</f>
        <v>0</v>
      </c>
      <c r="E9" s="8">
        <f>+E52*'Proyeccion de Ventas'!$E$18</f>
        <v>675000</v>
      </c>
      <c r="F9" s="8">
        <f>+F52*'Proyeccion de Ventas'!$F$18</f>
        <v>675000</v>
      </c>
      <c r="G9" s="8">
        <f>+G52*'Proyeccion de Ventas'!$G$18</f>
        <v>675000</v>
      </c>
      <c r="H9" s="8">
        <f>+H52*'Proyeccion de Ventas'!$H$18</f>
        <v>742500</v>
      </c>
      <c r="I9" s="8">
        <f>+I52*'Proyeccion de Ventas'!$I$18</f>
        <v>742500</v>
      </c>
      <c r="J9" s="8">
        <f>+J52*'Proyeccion de Ventas'!$J$18</f>
        <v>742500</v>
      </c>
      <c r="K9" s="8">
        <f>+K52*'Proyeccion de Ventas'!$K$18</f>
        <v>9720000</v>
      </c>
      <c r="L9" s="8">
        <f>+L52*'Proyeccion de Ventas'!$L$18</f>
        <v>9720000</v>
      </c>
      <c r="M9" s="8">
        <f>+M52*'Proyeccion de Ventas'!$M$18</f>
        <v>9720000</v>
      </c>
      <c r="N9" s="8">
        <f>+N52*'Proyeccion de Ventas'!$N$18</f>
        <v>9720000</v>
      </c>
      <c r="O9" s="3"/>
    </row>
    <row r="10" spans="1:15" s="58" customFormat="1" ht="12.75">
      <c r="A10" s="7" t="s">
        <v>108</v>
      </c>
      <c r="B10" s="67"/>
      <c r="C10" s="8">
        <f t="shared" si="2"/>
        <v>346500</v>
      </c>
      <c r="D10" s="8">
        <f>+D53*'Proyeccion de Ventas'!$D$18</f>
        <v>0</v>
      </c>
      <c r="E10" s="8">
        <f>+E53*'Proyeccion de Ventas'!$E$18</f>
        <v>55000</v>
      </c>
      <c r="F10" s="8">
        <f>+F53*'Proyeccion de Ventas'!$F$18</f>
        <v>55000</v>
      </c>
      <c r="G10" s="8">
        <f>+G53*'Proyeccion de Ventas'!$G$18</f>
        <v>55000</v>
      </c>
      <c r="H10" s="8">
        <f>+H53*'Proyeccion de Ventas'!$H$18</f>
        <v>60500</v>
      </c>
      <c r="I10" s="8">
        <f>+I53*'Proyeccion de Ventas'!$I$18</f>
        <v>60500</v>
      </c>
      <c r="J10" s="8">
        <f>+J53*'Proyeccion de Ventas'!$J$18</f>
        <v>60500</v>
      </c>
      <c r="K10" s="8">
        <f>+K53*'Proyeccion de Ventas'!$K$18</f>
        <v>792000</v>
      </c>
      <c r="L10" s="8">
        <f>+L53*'Proyeccion de Ventas'!$L$18</f>
        <v>792000</v>
      </c>
      <c r="M10" s="8">
        <f>+M53*'Proyeccion de Ventas'!$M$18</f>
        <v>792000</v>
      </c>
      <c r="N10" s="8">
        <f>+N53*'Proyeccion de Ventas'!$N$18</f>
        <v>792000</v>
      </c>
      <c r="O10" s="3"/>
    </row>
    <row r="11" spans="1:15" s="58" customFormat="1" ht="12.75">
      <c r="A11" s="7" t="s">
        <v>109</v>
      </c>
      <c r="B11" s="67"/>
      <c r="C11" s="8">
        <f t="shared" si="2"/>
        <v>189000</v>
      </c>
      <c r="D11" s="8">
        <f>+D54*'Proyeccion de Ventas'!$D$18</f>
        <v>0</v>
      </c>
      <c r="E11" s="8">
        <f>+E54*'Proyeccion de Ventas'!$E$18</f>
        <v>30000</v>
      </c>
      <c r="F11" s="8">
        <f>+F54*'Proyeccion de Ventas'!$F$18</f>
        <v>30000</v>
      </c>
      <c r="G11" s="8">
        <f>+G54*'Proyeccion de Ventas'!$G$18</f>
        <v>30000</v>
      </c>
      <c r="H11" s="8">
        <f>+H54*'Proyeccion de Ventas'!$H$18</f>
        <v>33000</v>
      </c>
      <c r="I11" s="8">
        <f>+I54*'Proyeccion de Ventas'!$I$18</f>
        <v>33000</v>
      </c>
      <c r="J11" s="8">
        <f>+J54*'Proyeccion de Ventas'!$J$18</f>
        <v>33000</v>
      </c>
      <c r="K11" s="8">
        <f>+K54*'Proyeccion de Ventas'!$K$18</f>
        <v>432000</v>
      </c>
      <c r="L11" s="8">
        <f>+L54*'Proyeccion de Ventas'!$L$18</f>
        <v>432000</v>
      </c>
      <c r="M11" s="8">
        <f>+M54*'Proyeccion de Ventas'!$M$18</f>
        <v>432000</v>
      </c>
      <c r="N11" s="8">
        <f>+N54*'Proyeccion de Ventas'!$N$18</f>
        <v>432000</v>
      </c>
      <c r="O11" s="3"/>
    </row>
    <row r="12" spans="1:15" s="58" customFormat="1" ht="12.75">
      <c r="A12" s="7" t="s">
        <v>110</v>
      </c>
      <c r="B12" s="67"/>
      <c r="C12" s="8">
        <f t="shared" si="2"/>
        <v>189000</v>
      </c>
      <c r="D12" s="8">
        <f>+D55*'Proyeccion de Ventas'!$D$18</f>
        <v>0</v>
      </c>
      <c r="E12" s="8">
        <f>+E55*'Proyeccion de Ventas'!$E$18</f>
        <v>30000</v>
      </c>
      <c r="F12" s="8">
        <f>+F55*'Proyeccion de Ventas'!$F$18</f>
        <v>30000</v>
      </c>
      <c r="G12" s="8">
        <f>+G55*'Proyeccion de Ventas'!$G$18</f>
        <v>30000</v>
      </c>
      <c r="H12" s="8">
        <f>+H55*'Proyeccion de Ventas'!$H$18</f>
        <v>33000</v>
      </c>
      <c r="I12" s="8">
        <f>+I55*'Proyeccion de Ventas'!$I$18</f>
        <v>33000</v>
      </c>
      <c r="J12" s="8">
        <f>+J55*'Proyeccion de Ventas'!$J$18</f>
        <v>33000</v>
      </c>
      <c r="K12" s="8">
        <f>+K55*'Proyeccion de Ventas'!$K$18</f>
        <v>432000</v>
      </c>
      <c r="L12" s="8">
        <f>+L55*'Proyeccion de Ventas'!$L$18</f>
        <v>432000</v>
      </c>
      <c r="M12" s="8">
        <f>+M55*'Proyeccion de Ventas'!$M$18</f>
        <v>432000</v>
      </c>
      <c r="N12" s="8">
        <f>+N55*'Proyeccion de Ventas'!$N$18</f>
        <v>432000</v>
      </c>
      <c r="O12" s="3"/>
    </row>
    <row r="13" spans="1:15" s="58" customFormat="1" ht="12.75">
      <c r="A13" s="7" t="s">
        <v>111</v>
      </c>
      <c r="B13" s="67"/>
      <c r="C13" s="8">
        <f t="shared" si="2"/>
        <v>252000</v>
      </c>
      <c r="D13" s="8">
        <f>+D56*'Proyeccion de Ventas'!$D$18</f>
        <v>0</v>
      </c>
      <c r="E13" s="8">
        <f>+E56*'Proyeccion de Ventas'!$E$18</f>
        <v>40000</v>
      </c>
      <c r="F13" s="8">
        <f>+F56*'Proyeccion de Ventas'!$F$18</f>
        <v>40000</v>
      </c>
      <c r="G13" s="8">
        <f>+G56*'Proyeccion de Ventas'!$G$18</f>
        <v>40000</v>
      </c>
      <c r="H13" s="8">
        <f>+H56*'Proyeccion de Ventas'!$H$18</f>
        <v>44000</v>
      </c>
      <c r="I13" s="8">
        <f>+I56*'Proyeccion de Ventas'!$I$18</f>
        <v>44000</v>
      </c>
      <c r="J13" s="8">
        <f>+J56*'Proyeccion de Ventas'!$J$18</f>
        <v>44000</v>
      </c>
      <c r="K13" s="8">
        <f>+K56*'Proyeccion de Ventas'!$K$18</f>
        <v>576000</v>
      </c>
      <c r="L13" s="8">
        <f>+L56*'Proyeccion de Ventas'!$L$18</f>
        <v>576000</v>
      </c>
      <c r="M13" s="8">
        <f>+M56*'Proyeccion de Ventas'!$M$18</f>
        <v>576000</v>
      </c>
      <c r="N13" s="8">
        <f>+N56*'Proyeccion de Ventas'!$N$18</f>
        <v>576000</v>
      </c>
      <c r="O13" s="3"/>
    </row>
    <row r="14" spans="1:15" s="58" customFormat="1" ht="12.75">
      <c r="A14" s="7" t="s">
        <v>112</v>
      </c>
      <c r="B14" s="67"/>
      <c r="C14" s="8">
        <f t="shared" si="2"/>
        <v>126000</v>
      </c>
      <c r="D14" s="8">
        <f>+D57*'Proyeccion de Ventas'!$D$18</f>
        <v>0</v>
      </c>
      <c r="E14" s="8">
        <f>+E57*'Proyeccion de Ventas'!$E$18</f>
        <v>20000</v>
      </c>
      <c r="F14" s="8">
        <f>+F57*'Proyeccion de Ventas'!$F$18</f>
        <v>20000</v>
      </c>
      <c r="G14" s="8">
        <f>+G57*'Proyeccion de Ventas'!$G$18</f>
        <v>20000</v>
      </c>
      <c r="H14" s="8">
        <f>+H57*'Proyeccion de Ventas'!$H$18</f>
        <v>22000</v>
      </c>
      <c r="I14" s="8">
        <f>+I57*'Proyeccion de Ventas'!$I$18</f>
        <v>22000</v>
      </c>
      <c r="J14" s="8">
        <f>+J57*'Proyeccion de Ventas'!$J$18</f>
        <v>22000</v>
      </c>
      <c r="K14" s="8">
        <f>+K57*'Proyeccion de Ventas'!$K$18</f>
        <v>288000</v>
      </c>
      <c r="L14" s="8">
        <f>+L57*'Proyeccion de Ventas'!$L$18</f>
        <v>288000</v>
      </c>
      <c r="M14" s="8">
        <f>+M57*'Proyeccion de Ventas'!$M$18</f>
        <v>288000</v>
      </c>
      <c r="N14" s="8">
        <f>+N57*'Proyeccion de Ventas'!$N$18</f>
        <v>288000</v>
      </c>
      <c r="O14" s="3"/>
    </row>
    <row r="15" spans="1:15" s="58" customFormat="1" ht="12.75">
      <c r="A15" s="7" t="s">
        <v>113</v>
      </c>
      <c r="B15" s="67"/>
      <c r="C15" s="8">
        <f t="shared" si="2"/>
        <v>189000</v>
      </c>
      <c r="D15" s="8">
        <f>+D58*'Proyeccion de Ventas'!$D$18</f>
        <v>0</v>
      </c>
      <c r="E15" s="8">
        <f>+E58*'Proyeccion de Ventas'!$E$18</f>
        <v>30000</v>
      </c>
      <c r="F15" s="8">
        <f>+F58*'Proyeccion de Ventas'!$F$18</f>
        <v>30000</v>
      </c>
      <c r="G15" s="8">
        <f>+G58*'Proyeccion de Ventas'!$G$18</f>
        <v>30000</v>
      </c>
      <c r="H15" s="8">
        <f>+H58*'Proyeccion de Ventas'!$H$18</f>
        <v>33000</v>
      </c>
      <c r="I15" s="8">
        <f>+I58*'Proyeccion de Ventas'!$I$18</f>
        <v>33000</v>
      </c>
      <c r="J15" s="8">
        <f>+J58*'Proyeccion de Ventas'!$J$18</f>
        <v>33000</v>
      </c>
      <c r="K15" s="8">
        <f>+K58*'Proyeccion de Ventas'!$K$18</f>
        <v>432000</v>
      </c>
      <c r="L15" s="8">
        <f>+L58*'Proyeccion de Ventas'!$L$18</f>
        <v>432000</v>
      </c>
      <c r="M15" s="8">
        <f>+M58*'Proyeccion de Ventas'!$M$18</f>
        <v>432000</v>
      </c>
      <c r="N15" s="8">
        <f>+N58*'Proyeccion de Ventas'!$N$18</f>
        <v>432000</v>
      </c>
      <c r="O15" s="3"/>
    </row>
    <row r="16" spans="1:15" s="58" customFormat="1" ht="12.75">
      <c r="A16" s="7" t="s">
        <v>114</v>
      </c>
      <c r="B16" s="67"/>
      <c r="C16" s="8">
        <f t="shared" si="2"/>
        <v>31500</v>
      </c>
      <c r="D16" s="8">
        <f>+D59*'Proyeccion de Ventas'!$D$18</f>
        <v>0</v>
      </c>
      <c r="E16" s="8">
        <f>+E59*'Proyeccion de Ventas'!$E$18</f>
        <v>5000</v>
      </c>
      <c r="F16" s="8">
        <f>+F59*'Proyeccion de Ventas'!$F$18</f>
        <v>5000</v>
      </c>
      <c r="G16" s="8">
        <f>+G59*'Proyeccion de Ventas'!$G$18</f>
        <v>5000</v>
      </c>
      <c r="H16" s="8">
        <f>+H59*'Proyeccion de Ventas'!$H$18</f>
        <v>5500</v>
      </c>
      <c r="I16" s="8">
        <f>+I59*'Proyeccion de Ventas'!$I$18</f>
        <v>5500</v>
      </c>
      <c r="J16" s="8">
        <f>+J59*'Proyeccion de Ventas'!$J$18</f>
        <v>5500</v>
      </c>
      <c r="K16" s="8">
        <f>+K59*'Proyeccion de Ventas'!$K$18</f>
        <v>72000</v>
      </c>
      <c r="L16" s="8">
        <f>+L59*'Proyeccion de Ventas'!$L$18</f>
        <v>72000</v>
      </c>
      <c r="M16" s="8">
        <f>+M59*'Proyeccion de Ventas'!$M$18</f>
        <v>72000</v>
      </c>
      <c r="N16" s="8">
        <f>+N59*'Proyeccion de Ventas'!$N$18</f>
        <v>72000</v>
      </c>
      <c r="O16" s="3"/>
    </row>
    <row r="17" spans="1:15" s="58" customFormat="1" ht="12.75">
      <c r="A17" s="7" t="s">
        <v>115</v>
      </c>
      <c r="B17" s="67"/>
      <c r="C17" s="8">
        <f t="shared" si="2"/>
        <v>63000</v>
      </c>
      <c r="D17" s="8">
        <f>+D60*'Proyeccion de Ventas'!$D$18</f>
        <v>0</v>
      </c>
      <c r="E17" s="8">
        <f>+E60*'Proyeccion de Ventas'!$E$18</f>
        <v>10000</v>
      </c>
      <c r="F17" s="8">
        <f>+F60*'Proyeccion de Ventas'!$F$18</f>
        <v>10000</v>
      </c>
      <c r="G17" s="8">
        <f>+G60*'Proyeccion de Ventas'!$G$18</f>
        <v>10000</v>
      </c>
      <c r="H17" s="8">
        <f>+H60*'Proyeccion de Ventas'!$H$18</f>
        <v>11000</v>
      </c>
      <c r="I17" s="8">
        <f>+I60*'Proyeccion de Ventas'!$I$18</f>
        <v>11000</v>
      </c>
      <c r="J17" s="8">
        <f>+J60*'Proyeccion de Ventas'!$J$18</f>
        <v>11000</v>
      </c>
      <c r="K17" s="8">
        <f>+K60*'Proyeccion de Ventas'!$K$18</f>
        <v>144000</v>
      </c>
      <c r="L17" s="8">
        <f>+L60*'Proyeccion de Ventas'!$L$18</f>
        <v>144000</v>
      </c>
      <c r="M17" s="8">
        <f>+M60*'Proyeccion de Ventas'!$M$18</f>
        <v>144000</v>
      </c>
      <c r="N17" s="8">
        <f>+N60*'Proyeccion de Ventas'!$N$18</f>
        <v>144000</v>
      </c>
      <c r="O17" s="3"/>
    </row>
    <row r="18" spans="1:15" s="58" customFormat="1" ht="12.75">
      <c r="A18" s="7" t="s">
        <v>116</v>
      </c>
      <c r="B18" s="67"/>
      <c r="C18" s="8">
        <f t="shared" si="2"/>
        <v>63000</v>
      </c>
      <c r="D18" s="8">
        <f>+D61*'Proyeccion de Ventas'!$D$18</f>
        <v>0</v>
      </c>
      <c r="E18" s="8">
        <f>+E61*'Proyeccion de Ventas'!$E$18</f>
        <v>10000</v>
      </c>
      <c r="F18" s="8">
        <f>+F61*'Proyeccion de Ventas'!$F$18</f>
        <v>10000</v>
      </c>
      <c r="G18" s="8">
        <f>+G61*'Proyeccion de Ventas'!$G$18</f>
        <v>10000</v>
      </c>
      <c r="H18" s="8">
        <f>+H61*'Proyeccion de Ventas'!$H$18</f>
        <v>11000</v>
      </c>
      <c r="I18" s="8">
        <f>+I61*'Proyeccion de Ventas'!$I$18</f>
        <v>11000</v>
      </c>
      <c r="J18" s="8">
        <f>+J61*'Proyeccion de Ventas'!$J$18</f>
        <v>11000</v>
      </c>
      <c r="K18" s="8">
        <f>+K61*'Proyeccion de Ventas'!$K$18</f>
        <v>144000</v>
      </c>
      <c r="L18" s="8">
        <f>+L61*'Proyeccion de Ventas'!$L$18</f>
        <v>144000</v>
      </c>
      <c r="M18" s="8">
        <f>+M61*'Proyeccion de Ventas'!$M$18</f>
        <v>144000</v>
      </c>
      <c r="N18" s="8">
        <f>+N61*'Proyeccion de Ventas'!$N$18</f>
        <v>144000</v>
      </c>
      <c r="O18" s="3"/>
    </row>
    <row r="19" spans="1:15" s="58" customFormat="1" ht="12.75">
      <c r="A19" s="7" t="s">
        <v>117</v>
      </c>
      <c r="B19" s="67"/>
      <c r="C19" s="8">
        <f t="shared" si="2"/>
        <v>94500</v>
      </c>
      <c r="D19" s="8">
        <f>+D62*'Proyeccion de Ventas'!$D$18</f>
        <v>0</v>
      </c>
      <c r="E19" s="8">
        <f>+E62*'Proyeccion de Ventas'!$E$18</f>
        <v>15000</v>
      </c>
      <c r="F19" s="8">
        <f>+F62*'Proyeccion de Ventas'!$F$18</f>
        <v>15000</v>
      </c>
      <c r="G19" s="8">
        <f>+G62*'Proyeccion de Ventas'!$G$18</f>
        <v>15000</v>
      </c>
      <c r="H19" s="8">
        <f>+H62*'Proyeccion de Ventas'!$H$18</f>
        <v>16500</v>
      </c>
      <c r="I19" s="8">
        <f>+I62*'Proyeccion de Ventas'!$I$18</f>
        <v>16500</v>
      </c>
      <c r="J19" s="8">
        <f>+J62*'Proyeccion de Ventas'!$J$18</f>
        <v>16500</v>
      </c>
      <c r="K19" s="8">
        <f>+K62*'Proyeccion de Ventas'!$K$18</f>
        <v>216000</v>
      </c>
      <c r="L19" s="8">
        <f>+L62*'Proyeccion de Ventas'!$L$18</f>
        <v>216000</v>
      </c>
      <c r="M19" s="8">
        <f>+M62*'Proyeccion de Ventas'!$M$18</f>
        <v>216000</v>
      </c>
      <c r="N19" s="8">
        <f>+N62*'Proyeccion de Ventas'!$N$18</f>
        <v>216000</v>
      </c>
      <c r="O19" s="3"/>
    </row>
    <row r="20" spans="1:15" s="58" customFormat="1" ht="12.75">
      <c r="A20" s="7" t="s">
        <v>118</v>
      </c>
      <c r="B20" s="67"/>
      <c r="C20" s="8">
        <f t="shared" si="2"/>
        <v>157500</v>
      </c>
      <c r="D20" s="8">
        <f>+D63*'Proyeccion de Ventas'!$D$18</f>
        <v>0</v>
      </c>
      <c r="E20" s="8">
        <f>+E63*'Proyeccion de Ventas'!$E$18</f>
        <v>25000</v>
      </c>
      <c r="F20" s="8">
        <f>+F63*'Proyeccion de Ventas'!$F$18</f>
        <v>25000</v>
      </c>
      <c r="G20" s="8">
        <f>+G63*'Proyeccion de Ventas'!$G$18</f>
        <v>25000</v>
      </c>
      <c r="H20" s="8">
        <f>+H63*'Proyeccion de Ventas'!$H$18</f>
        <v>27500</v>
      </c>
      <c r="I20" s="8">
        <f>+I63*'Proyeccion de Ventas'!$I$18</f>
        <v>27500</v>
      </c>
      <c r="J20" s="8">
        <f>+J63*'Proyeccion de Ventas'!$J$18</f>
        <v>27500</v>
      </c>
      <c r="K20" s="8">
        <f>+K63*'Proyeccion de Ventas'!$K$18</f>
        <v>360000</v>
      </c>
      <c r="L20" s="8">
        <f>+L63*'Proyeccion de Ventas'!$L$18</f>
        <v>360000</v>
      </c>
      <c r="M20" s="8">
        <f>+M63*'Proyeccion de Ventas'!$M$18</f>
        <v>360000</v>
      </c>
      <c r="N20" s="8">
        <f>+N63*'Proyeccion de Ventas'!$N$18</f>
        <v>360000</v>
      </c>
      <c r="O20" s="3"/>
    </row>
    <row r="21" spans="1:15" s="58" customFormat="1" ht="12.75">
      <c r="A21" s="7" t="s">
        <v>119</v>
      </c>
      <c r="B21" s="67"/>
      <c r="C21" s="8">
        <f t="shared" si="2"/>
        <v>189000</v>
      </c>
      <c r="D21" s="8">
        <f>+D64*'Proyeccion de Ventas'!$D$18</f>
        <v>0</v>
      </c>
      <c r="E21" s="8">
        <f>+E64*'Proyeccion de Ventas'!$E$18</f>
        <v>30000</v>
      </c>
      <c r="F21" s="8">
        <f>+F64*'Proyeccion de Ventas'!$F$18</f>
        <v>30000</v>
      </c>
      <c r="G21" s="8">
        <f>+G64*'Proyeccion de Ventas'!$G$18</f>
        <v>30000</v>
      </c>
      <c r="H21" s="8">
        <f>+H64*'Proyeccion de Ventas'!$H$18</f>
        <v>33000</v>
      </c>
      <c r="I21" s="8">
        <f>+I64*'Proyeccion de Ventas'!$I$18</f>
        <v>33000</v>
      </c>
      <c r="J21" s="8">
        <f>+J64*'Proyeccion de Ventas'!$J$18</f>
        <v>33000</v>
      </c>
      <c r="K21" s="8">
        <f>+K64*'Proyeccion de Ventas'!$K$18</f>
        <v>432000</v>
      </c>
      <c r="L21" s="8">
        <f>+L64*'Proyeccion de Ventas'!$L$18</f>
        <v>432000</v>
      </c>
      <c r="M21" s="8">
        <f>+M64*'Proyeccion de Ventas'!$M$18</f>
        <v>432000</v>
      </c>
      <c r="N21" s="8">
        <f>+N64*'Proyeccion de Ventas'!$N$18</f>
        <v>432000</v>
      </c>
      <c r="O21" s="3"/>
    </row>
    <row r="22" spans="1:15" s="58" customFormat="1" ht="12.75">
      <c r="A22" s="7" t="s">
        <v>120</v>
      </c>
      <c r="B22" s="67"/>
      <c r="C22" s="8">
        <f t="shared" si="2"/>
        <v>94500</v>
      </c>
      <c r="D22" s="8">
        <f>+D65*'Proyeccion de Ventas'!$D$18</f>
        <v>0</v>
      </c>
      <c r="E22" s="8">
        <f>+E65*'Proyeccion de Ventas'!$E$18</f>
        <v>15000</v>
      </c>
      <c r="F22" s="8">
        <f>+F65*'Proyeccion de Ventas'!$F$18</f>
        <v>15000</v>
      </c>
      <c r="G22" s="8">
        <f>+G65*'Proyeccion de Ventas'!$G$18</f>
        <v>15000</v>
      </c>
      <c r="H22" s="8">
        <f>+H65*'Proyeccion de Ventas'!$H$18</f>
        <v>16500</v>
      </c>
      <c r="I22" s="8">
        <f>+I65*'Proyeccion de Ventas'!$I$18</f>
        <v>16500</v>
      </c>
      <c r="J22" s="8">
        <f>+J65*'Proyeccion de Ventas'!$J$18</f>
        <v>16500</v>
      </c>
      <c r="K22" s="8">
        <f>+K65*'Proyeccion de Ventas'!$K$18</f>
        <v>216000</v>
      </c>
      <c r="L22" s="8">
        <f>+L65*'Proyeccion de Ventas'!$L$18</f>
        <v>216000</v>
      </c>
      <c r="M22" s="8">
        <f>+M65*'Proyeccion de Ventas'!$M$18</f>
        <v>216000</v>
      </c>
      <c r="N22" s="8">
        <f>+N65*'Proyeccion de Ventas'!$N$18</f>
        <v>216000</v>
      </c>
      <c r="O22" s="3"/>
    </row>
    <row r="23" spans="1:15" s="58" customFormat="1" ht="12.75">
      <c r="A23" s="7" t="s">
        <v>121</v>
      </c>
      <c r="B23" s="67"/>
      <c r="C23" s="8">
        <f t="shared" si="2"/>
        <v>63000</v>
      </c>
      <c r="D23" s="8">
        <f>+D66*'Proyeccion de Ventas'!$D$18</f>
        <v>0</v>
      </c>
      <c r="E23" s="8">
        <f>+E66*'Proyeccion de Ventas'!$E$18</f>
        <v>10000</v>
      </c>
      <c r="F23" s="8">
        <f>+F66*'Proyeccion de Ventas'!$F$18</f>
        <v>10000</v>
      </c>
      <c r="G23" s="8">
        <f>+G66*'Proyeccion de Ventas'!$G$18</f>
        <v>10000</v>
      </c>
      <c r="H23" s="8">
        <f>+H66*'Proyeccion de Ventas'!$H$18</f>
        <v>11000</v>
      </c>
      <c r="I23" s="8">
        <f>+I66*'Proyeccion de Ventas'!$I$18</f>
        <v>11000</v>
      </c>
      <c r="J23" s="8">
        <f>+J66*'Proyeccion de Ventas'!$J$18</f>
        <v>11000</v>
      </c>
      <c r="K23" s="8">
        <f>+K66*'Proyeccion de Ventas'!$K$18</f>
        <v>144000</v>
      </c>
      <c r="L23" s="8">
        <f>+L66*'Proyeccion de Ventas'!$L$18</f>
        <v>144000</v>
      </c>
      <c r="M23" s="8">
        <f>+M66*'Proyeccion de Ventas'!$M$18</f>
        <v>144000</v>
      </c>
      <c r="N23" s="8">
        <f>+N66*'Proyeccion de Ventas'!$N$18</f>
        <v>144000</v>
      </c>
      <c r="O23" s="3"/>
    </row>
    <row r="24" spans="1:15" s="58" customFormat="1" ht="12.75">
      <c r="A24" s="7" t="s">
        <v>122</v>
      </c>
      <c r="B24" s="67"/>
      <c r="C24" s="8">
        <f t="shared" si="2"/>
        <v>63000</v>
      </c>
      <c r="D24" s="8">
        <f>+D67*'Proyeccion de Ventas'!$D$18</f>
        <v>0</v>
      </c>
      <c r="E24" s="8">
        <f>+E67*'Proyeccion de Ventas'!$E$18</f>
        <v>10000</v>
      </c>
      <c r="F24" s="8">
        <f>+F67*'Proyeccion de Ventas'!$F$18</f>
        <v>10000</v>
      </c>
      <c r="G24" s="8">
        <f>+G67*'Proyeccion de Ventas'!$G$18</f>
        <v>10000</v>
      </c>
      <c r="H24" s="8">
        <f>+H67*'Proyeccion de Ventas'!$H$18</f>
        <v>11000</v>
      </c>
      <c r="I24" s="8">
        <f>+I67*'Proyeccion de Ventas'!$I$18</f>
        <v>11000</v>
      </c>
      <c r="J24" s="8">
        <f>+J67*'Proyeccion de Ventas'!$J$18</f>
        <v>11000</v>
      </c>
      <c r="K24" s="8">
        <f>+K67*'Proyeccion de Ventas'!$K$18</f>
        <v>144000</v>
      </c>
      <c r="L24" s="8">
        <f>+L67*'Proyeccion de Ventas'!$L$18</f>
        <v>144000</v>
      </c>
      <c r="M24" s="8">
        <f>+M67*'Proyeccion de Ventas'!$M$18</f>
        <v>144000</v>
      </c>
      <c r="N24" s="8">
        <f>+N67*'Proyeccion de Ventas'!$N$18</f>
        <v>144000</v>
      </c>
      <c r="O24" s="3"/>
    </row>
    <row r="25" spans="1:15" s="58" customFormat="1" ht="12.75">
      <c r="A25" s="7" t="s">
        <v>123</v>
      </c>
      <c r="B25" s="67"/>
      <c r="C25" s="8">
        <f t="shared" si="2"/>
        <v>94500</v>
      </c>
      <c r="D25" s="8">
        <f>+D68*'Proyeccion de Ventas'!$D$18</f>
        <v>0</v>
      </c>
      <c r="E25" s="8">
        <f>+E68*'Proyeccion de Ventas'!$E$18</f>
        <v>15000</v>
      </c>
      <c r="F25" s="8">
        <f>+F68*'Proyeccion de Ventas'!$F$18</f>
        <v>15000</v>
      </c>
      <c r="G25" s="8">
        <f>+G68*'Proyeccion de Ventas'!$G$18</f>
        <v>15000</v>
      </c>
      <c r="H25" s="8">
        <f>+H68*'Proyeccion de Ventas'!$H$18</f>
        <v>16500</v>
      </c>
      <c r="I25" s="8">
        <f>+I68*'Proyeccion de Ventas'!$I$18</f>
        <v>16500</v>
      </c>
      <c r="J25" s="8">
        <f>+J68*'Proyeccion de Ventas'!$J$18</f>
        <v>16500</v>
      </c>
      <c r="K25" s="8">
        <f>+K68*'Proyeccion de Ventas'!$K$18</f>
        <v>216000</v>
      </c>
      <c r="L25" s="8">
        <f>+L68*'Proyeccion de Ventas'!$L$18</f>
        <v>216000</v>
      </c>
      <c r="M25" s="8">
        <f>+M68*'Proyeccion de Ventas'!$M$18</f>
        <v>216000</v>
      </c>
      <c r="N25" s="8">
        <f>+N68*'Proyeccion de Ventas'!$N$18</f>
        <v>216000</v>
      </c>
      <c r="O25" s="3"/>
    </row>
    <row r="26" spans="1:15" s="58" customFormat="1" ht="12.75">
      <c r="A26" s="7" t="s">
        <v>124</v>
      </c>
      <c r="B26" s="67"/>
      <c r="C26" s="8">
        <f t="shared" si="2"/>
        <v>126000</v>
      </c>
      <c r="D26" s="8">
        <f>+D69*'Proyeccion de Ventas'!$D$18</f>
        <v>0</v>
      </c>
      <c r="E26" s="8">
        <f>+E69*'Proyeccion de Ventas'!$E$18</f>
        <v>20000</v>
      </c>
      <c r="F26" s="8">
        <f>+F69*'Proyeccion de Ventas'!$F$18</f>
        <v>20000</v>
      </c>
      <c r="G26" s="8">
        <f>+G69*'Proyeccion de Ventas'!$G$18</f>
        <v>20000</v>
      </c>
      <c r="H26" s="8">
        <f>+H69*'Proyeccion de Ventas'!$H$18</f>
        <v>22000</v>
      </c>
      <c r="I26" s="8">
        <f>+I69*'Proyeccion de Ventas'!$I$18</f>
        <v>22000</v>
      </c>
      <c r="J26" s="8">
        <f>+J69*'Proyeccion de Ventas'!$J$18</f>
        <v>22000</v>
      </c>
      <c r="K26" s="8">
        <f>+K69*'Proyeccion de Ventas'!$K$18</f>
        <v>288000</v>
      </c>
      <c r="L26" s="8">
        <f>+L69*'Proyeccion de Ventas'!$L$18</f>
        <v>288000</v>
      </c>
      <c r="M26" s="8">
        <f>+M69*'Proyeccion de Ventas'!$M$18</f>
        <v>288000</v>
      </c>
      <c r="N26" s="8">
        <f>+N69*'Proyeccion de Ventas'!$N$18</f>
        <v>288000</v>
      </c>
      <c r="O26" s="3"/>
    </row>
    <row r="27" spans="1:15" s="58" customFormat="1" ht="12.75">
      <c r="A27" s="7" t="s">
        <v>125</v>
      </c>
      <c r="B27" s="67"/>
      <c r="C27" s="8">
        <f t="shared" si="2"/>
        <v>157500</v>
      </c>
      <c r="D27" s="8">
        <f>+D70*'Proyeccion de Ventas'!$D$18</f>
        <v>0</v>
      </c>
      <c r="E27" s="8">
        <f>+E70*'Proyeccion de Ventas'!$E$18</f>
        <v>25000</v>
      </c>
      <c r="F27" s="8">
        <f>+F70*'Proyeccion de Ventas'!$F$18</f>
        <v>25000</v>
      </c>
      <c r="G27" s="8">
        <f>+G70*'Proyeccion de Ventas'!$G$18</f>
        <v>25000</v>
      </c>
      <c r="H27" s="8">
        <f>+H70*'Proyeccion de Ventas'!$H$18</f>
        <v>27500</v>
      </c>
      <c r="I27" s="8">
        <f>+I70*'Proyeccion de Ventas'!$I$18</f>
        <v>27500</v>
      </c>
      <c r="J27" s="8">
        <f>+J70*'Proyeccion de Ventas'!$J$18</f>
        <v>27500</v>
      </c>
      <c r="K27" s="8">
        <f>+K70*'Proyeccion de Ventas'!$K$18</f>
        <v>360000</v>
      </c>
      <c r="L27" s="8">
        <f>+L70*'Proyeccion de Ventas'!$L$18</f>
        <v>360000</v>
      </c>
      <c r="M27" s="8">
        <f>+M70*'Proyeccion de Ventas'!$M$18</f>
        <v>360000</v>
      </c>
      <c r="N27" s="8">
        <f>+N70*'Proyeccion de Ventas'!$N$18</f>
        <v>360000</v>
      </c>
      <c r="O27" s="3"/>
    </row>
    <row r="28" spans="1:15" s="58" customFormat="1" ht="12.75">
      <c r="A28" s="7" t="s">
        <v>126</v>
      </c>
      <c r="B28" s="67"/>
      <c r="C28" s="8">
        <f t="shared" si="2"/>
        <v>63000</v>
      </c>
      <c r="D28" s="8">
        <f>+D71*'Proyeccion de Ventas'!$D$18</f>
        <v>0</v>
      </c>
      <c r="E28" s="8">
        <f>+E71*'Proyeccion de Ventas'!$E$18</f>
        <v>10000</v>
      </c>
      <c r="F28" s="8">
        <f>+F71*'Proyeccion de Ventas'!$F$18</f>
        <v>10000</v>
      </c>
      <c r="G28" s="8">
        <f>+G71*'Proyeccion de Ventas'!$G$18</f>
        <v>10000</v>
      </c>
      <c r="H28" s="8">
        <f>+H71*'Proyeccion de Ventas'!$H$18</f>
        <v>11000</v>
      </c>
      <c r="I28" s="8">
        <f>+I71*'Proyeccion de Ventas'!$I$18</f>
        <v>11000</v>
      </c>
      <c r="J28" s="8">
        <f>+J71*'Proyeccion de Ventas'!$J$18</f>
        <v>11000</v>
      </c>
      <c r="K28" s="8">
        <f>+K71*'Proyeccion de Ventas'!$K$18</f>
        <v>144000</v>
      </c>
      <c r="L28" s="8">
        <f>+L71*'Proyeccion de Ventas'!$L$18</f>
        <v>144000</v>
      </c>
      <c r="M28" s="8">
        <f>+M71*'Proyeccion de Ventas'!$M$18</f>
        <v>144000</v>
      </c>
      <c r="N28" s="8">
        <f>+N71*'Proyeccion de Ventas'!$N$18</f>
        <v>144000</v>
      </c>
      <c r="O28" s="3"/>
    </row>
    <row r="29" spans="1:15" s="58" customFormat="1" ht="12.75">
      <c r="A29" s="7" t="s">
        <v>127</v>
      </c>
      <c r="B29" s="67"/>
      <c r="C29" s="8">
        <f t="shared" si="2"/>
        <v>31500</v>
      </c>
      <c r="D29" s="8">
        <f>+D72*'Proyeccion de Ventas'!$D$18</f>
        <v>0</v>
      </c>
      <c r="E29" s="8">
        <f>+E72*'Proyeccion de Ventas'!$E$18</f>
        <v>5000</v>
      </c>
      <c r="F29" s="8">
        <f>+F72*'Proyeccion de Ventas'!$F$18</f>
        <v>5000</v>
      </c>
      <c r="G29" s="8">
        <f>+G72*'Proyeccion de Ventas'!$G$18</f>
        <v>5000</v>
      </c>
      <c r="H29" s="8">
        <f>+H72*'Proyeccion de Ventas'!$H$18</f>
        <v>5500</v>
      </c>
      <c r="I29" s="8">
        <f>+I72*'Proyeccion de Ventas'!$I$18</f>
        <v>5500</v>
      </c>
      <c r="J29" s="8">
        <f>+J72*'Proyeccion de Ventas'!$J$18</f>
        <v>5500</v>
      </c>
      <c r="K29" s="8">
        <f>+K72*'Proyeccion de Ventas'!$K$18</f>
        <v>72000</v>
      </c>
      <c r="L29" s="8">
        <f>+L72*'Proyeccion de Ventas'!$L$18</f>
        <v>72000</v>
      </c>
      <c r="M29" s="8">
        <f>+M72*'Proyeccion de Ventas'!$M$18</f>
        <v>72000</v>
      </c>
      <c r="N29" s="8">
        <f>+N72*'Proyeccion de Ventas'!$N$18</f>
        <v>72000</v>
      </c>
      <c r="O29" s="3"/>
    </row>
    <row r="30" spans="1:15" s="58" customFormat="1" ht="12.75">
      <c r="A30" s="7" t="s">
        <v>128</v>
      </c>
      <c r="B30" s="67"/>
      <c r="C30" s="8">
        <f t="shared" si="2"/>
        <v>31500</v>
      </c>
      <c r="D30" s="8">
        <f>+D73*'Proyeccion de Ventas'!$D$18</f>
        <v>0</v>
      </c>
      <c r="E30" s="8">
        <f>+E73*'Proyeccion de Ventas'!$E$18</f>
        <v>5000</v>
      </c>
      <c r="F30" s="8">
        <f>+F73*'Proyeccion de Ventas'!$F$18</f>
        <v>5000</v>
      </c>
      <c r="G30" s="8">
        <f>+G73*'Proyeccion de Ventas'!$G$18</f>
        <v>5000</v>
      </c>
      <c r="H30" s="8">
        <f>+H73*'Proyeccion de Ventas'!$H$18</f>
        <v>5500</v>
      </c>
      <c r="I30" s="8">
        <f>+I73*'Proyeccion de Ventas'!$I$18</f>
        <v>5500</v>
      </c>
      <c r="J30" s="8">
        <f>+J73*'Proyeccion de Ventas'!$J$18</f>
        <v>5500</v>
      </c>
      <c r="K30" s="8">
        <f>+K73*'Proyeccion de Ventas'!$K$18</f>
        <v>72000</v>
      </c>
      <c r="L30" s="8">
        <f>+L73*'Proyeccion de Ventas'!$L$18</f>
        <v>72000</v>
      </c>
      <c r="M30" s="8">
        <f>+M73*'Proyeccion de Ventas'!$M$18</f>
        <v>72000</v>
      </c>
      <c r="N30" s="8">
        <f>+N73*'Proyeccion de Ventas'!$N$18</f>
        <v>72000</v>
      </c>
      <c r="O30" s="3"/>
    </row>
    <row r="31" spans="1:15" s="58" customFormat="1" ht="12.75">
      <c r="A31" s="7" t="s">
        <v>129</v>
      </c>
      <c r="B31" s="67"/>
      <c r="C31" s="8">
        <f t="shared" si="2"/>
        <v>31500</v>
      </c>
      <c r="D31" s="8">
        <f>+D74*'Proyeccion de Ventas'!$D$18</f>
        <v>0</v>
      </c>
      <c r="E31" s="8">
        <f>+E74*'Proyeccion de Ventas'!$E$18</f>
        <v>5000</v>
      </c>
      <c r="F31" s="8">
        <f>+F74*'Proyeccion de Ventas'!$F$18</f>
        <v>5000</v>
      </c>
      <c r="G31" s="8">
        <f>+G74*'Proyeccion de Ventas'!$G$18</f>
        <v>5000</v>
      </c>
      <c r="H31" s="8">
        <f>+H74*'Proyeccion de Ventas'!$H$18</f>
        <v>5500</v>
      </c>
      <c r="I31" s="8">
        <f>+I74*'Proyeccion de Ventas'!$I$18</f>
        <v>5500</v>
      </c>
      <c r="J31" s="8">
        <f>+J74*'Proyeccion de Ventas'!$J$18</f>
        <v>5500</v>
      </c>
      <c r="K31" s="8">
        <f>+K74*'Proyeccion de Ventas'!$K$18</f>
        <v>72000</v>
      </c>
      <c r="L31" s="8">
        <f>+L74*'Proyeccion de Ventas'!$L$18</f>
        <v>72000</v>
      </c>
      <c r="M31" s="8">
        <f>+M74*'Proyeccion de Ventas'!$M$18</f>
        <v>72000</v>
      </c>
      <c r="N31" s="8">
        <f>+N74*'Proyeccion de Ventas'!$N$18</f>
        <v>72000</v>
      </c>
      <c r="O31" s="3"/>
    </row>
    <row r="32" spans="1:15" s="58" customFormat="1" ht="12.75">
      <c r="A32" s="7" t="s">
        <v>130</v>
      </c>
      <c r="B32" s="67"/>
      <c r="C32" s="8">
        <f t="shared" si="2"/>
        <v>31500</v>
      </c>
      <c r="D32" s="8">
        <f>+D75*'Proyeccion de Ventas'!$D$18</f>
        <v>0</v>
      </c>
      <c r="E32" s="8">
        <f>+E75*'Proyeccion de Ventas'!$E$18</f>
        <v>5000</v>
      </c>
      <c r="F32" s="8">
        <f>+F75*'Proyeccion de Ventas'!$F$18</f>
        <v>5000</v>
      </c>
      <c r="G32" s="8">
        <f>+G75*'Proyeccion de Ventas'!$G$18</f>
        <v>5000</v>
      </c>
      <c r="H32" s="8">
        <f>+H75*'Proyeccion de Ventas'!$H$18</f>
        <v>5500</v>
      </c>
      <c r="I32" s="8">
        <f>+I75*'Proyeccion de Ventas'!$I$18</f>
        <v>5500</v>
      </c>
      <c r="J32" s="8">
        <f>+J75*'Proyeccion de Ventas'!$J$18</f>
        <v>5500</v>
      </c>
      <c r="K32" s="8">
        <f>+K75*'Proyeccion de Ventas'!$K$18</f>
        <v>72000</v>
      </c>
      <c r="L32" s="8">
        <f>+L75*'Proyeccion de Ventas'!$L$18</f>
        <v>72000</v>
      </c>
      <c r="M32" s="8">
        <f>+M75*'Proyeccion de Ventas'!$M$18</f>
        <v>72000</v>
      </c>
      <c r="N32" s="8">
        <f>+N75*'Proyeccion de Ventas'!$N$18</f>
        <v>72000</v>
      </c>
      <c r="O32" s="3"/>
    </row>
    <row r="33" spans="1:15" s="58" customFormat="1" ht="12.75">
      <c r="A33" s="10"/>
      <c r="B33" s="7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"/>
    </row>
    <row r="34" spans="1:15" s="1" customFormat="1" ht="12.75">
      <c r="A34" s="89" t="s">
        <v>218</v>
      </c>
      <c r="B34" s="90"/>
      <c r="C34" s="91">
        <f>SUM(C35:C43)</f>
        <v>1228500</v>
      </c>
      <c r="D34" s="91">
        <f aca="true" t="shared" si="3" ref="D34:N34">SUM(D35:D43)</f>
        <v>0</v>
      </c>
      <c r="E34" s="91">
        <f t="shared" si="3"/>
        <v>195000</v>
      </c>
      <c r="F34" s="91">
        <f t="shared" si="3"/>
        <v>195000</v>
      </c>
      <c r="G34" s="91">
        <f t="shared" si="3"/>
        <v>195000</v>
      </c>
      <c r="H34" s="91">
        <f t="shared" si="3"/>
        <v>214500</v>
      </c>
      <c r="I34" s="91">
        <f t="shared" si="3"/>
        <v>214500</v>
      </c>
      <c r="J34" s="91">
        <f t="shared" si="3"/>
        <v>214500</v>
      </c>
      <c r="K34" s="91">
        <f t="shared" si="3"/>
        <v>2808000</v>
      </c>
      <c r="L34" s="91">
        <f t="shared" si="3"/>
        <v>2808000</v>
      </c>
      <c r="M34" s="91">
        <f t="shared" si="3"/>
        <v>2808000</v>
      </c>
      <c r="N34" s="91">
        <f t="shared" si="3"/>
        <v>2808000</v>
      </c>
      <c r="O34" s="65"/>
    </row>
    <row r="35" spans="1:15" s="58" customFormat="1" ht="12.75">
      <c r="A35" s="7" t="s">
        <v>131</v>
      </c>
      <c r="B35" s="67"/>
      <c r="C35" s="8">
        <f aca="true" t="shared" si="4" ref="C35:C43">SUM(D35:J35)</f>
        <v>252000</v>
      </c>
      <c r="D35" s="8">
        <f>+D78*'Proyeccion de Ventas'!$D$18</f>
        <v>0</v>
      </c>
      <c r="E35" s="8">
        <f>+E78*'Proyeccion de Ventas'!$E$18</f>
        <v>40000</v>
      </c>
      <c r="F35" s="8">
        <f>+F78*'Proyeccion de Ventas'!$F$18</f>
        <v>40000</v>
      </c>
      <c r="G35" s="8">
        <f>+G78*'Proyeccion de Ventas'!$G$18</f>
        <v>40000</v>
      </c>
      <c r="H35" s="8">
        <f>+H78*'Proyeccion de Ventas'!$H$18</f>
        <v>44000</v>
      </c>
      <c r="I35" s="8">
        <f>+I78*'Proyeccion de Ventas'!$I$18</f>
        <v>44000</v>
      </c>
      <c r="J35" s="8">
        <f>+J78*'Proyeccion de Ventas'!$J$18</f>
        <v>44000</v>
      </c>
      <c r="K35" s="8">
        <f>+K78*'Proyeccion de Ventas'!$K$18</f>
        <v>576000</v>
      </c>
      <c r="L35" s="8">
        <f>+L78*'Proyeccion de Ventas'!$L$18</f>
        <v>576000</v>
      </c>
      <c r="M35" s="8">
        <f>+M78*'Proyeccion de Ventas'!$M$18</f>
        <v>576000</v>
      </c>
      <c r="N35" s="8">
        <f>+N78*'Proyeccion de Ventas'!$N$18</f>
        <v>576000</v>
      </c>
      <c r="O35" s="3"/>
    </row>
    <row r="36" spans="1:15" s="58" customFormat="1" ht="12.75">
      <c r="A36" s="7" t="s">
        <v>132</v>
      </c>
      <c r="B36" s="67"/>
      <c r="C36" s="8">
        <f t="shared" si="4"/>
        <v>31500</v>
      </c>
      <c r="D36" s="8">
        <f>+D79*'Proyeccion de Ventas'!$D$18</f>
        <v>0</v>
      </c>
      <c r="E36" s="8">
        <f>+E79*'Proyeccion de Ventas'!$E$18</f>
        <v>5000</v>
      </c>
      <c r="F36" s="8">
        <f>+F79*'Proyeccion de Ventas'!$F$18</f>
        <v>5000</v>
      </c>
      <c r="G36" s="8">
        <f>+G79*'Proyeccion de Ventas'!$G$18</f>
        <v>5000</v>
      </c>
      <c r="H36" s="8">
        <f>+H79*'Proyeccion de Ventas'!$H$18</f>
        <v>5500</v>
      </c>
      <c r="I36" s="8">
        <f>+I79*'Proyeccion de Ventas'!$I$18</f>
        <v>5500</v>
      </c>
      <c r="J36" s="8">
        <f>+J79*'Proyeccion de Ventas'!$J$18</f>
        <v>5500</v>
      </c>
      <c r="K36" s="8">
        <f>+K79*'Proyeccion de Ventas'!$K$18</f>
        <v>72000</v>
      </c>
      <c r="L36" s="8">
        <f>+L79*'Proyeccion de Ventas'!$L$18</f>
        <v>72000</v>
      </c>
      <c r="M36" s="8">
        <f>+M79*'Proyeccion de Ventas'!$M$18</f>
        <v>72000</v>
      </c>
      <c r="N36" s="8">
        <f>+N79*'Proyeccion de Ventas'!$N$18</f>
        <v>72000</v>
      </c>
      <c r="O36" s="3"/>
    </row>
    <row r="37" spans="1:15" s="58" customFormat="1" ht="12.75">
      <c r="A37" s="7" t="s">
        <v>133</v>
      </c>
      <c r="B37" s="67"/>
      <c r="C37" s="8">
        <f t="shared" si="4"/>
        <v>157500</v>
      </c>
      <c r="D37" s="8">
        <f>+D80*'Proyeccion de Ventas'!$D$18</f>
        <v>0</v>
      </c>
      <c r="E37" s="8">
        <f>+E80*'Proyeccion de Ventas'!$E$18</f>
        <v>25000</v>
      </c>
      <c r="F37" s="8">
        <f>+F80*'Proyeccion de Ventas'!$F$18</f>
        <v>25000</v>
      </c>
      <c r="G37" s="8">
        <f>+G80*'Proyeccion de Ventas'!$G$18</f>
        <v>25000</v>
      </c>
      <c r="H37" s="8">
        <f>+H80*'Proyeccion de Ventas'!$H$18</f>
        <v>27500</v>
      </c>
      <c r="I37" s="8">
        <f>+I80*'Proyeccion de Ventas'!$I$18</f>
        <v>27500</v>
      </c>
      <c r="J37" s="8">
        <f>+J80*'Proyeccion de Ventas'!$J$18</f>
        <v>27500</v>
      </c>
      <c r="K37" s="8">
        <f>+K80*'Proyeccion de Ventas'!$K$18</f>
        <v>360000</v>
      </c>
      <c r="L37" s="8">
        <f>+L80*'Proyeccion de Ventas'!$L$18</f>
        <v>360000</v>
      </c>
      <c r="M37" s="8">
        <f>+M80*'Proyeccion de Ventas'!$M$18</f>
        <v>360000</v>
      </c>
      <c r="N37" s="8">
        <f>+N80*'Proyeccion de Ventas'!$N$18</f>
        <v>360000</v>
      </c>
      <c r="O37" s="3"/>
    </row>
    <row r="38" spans="1:15" s="58" customFormat="1" ht="12.75">
      <c r="A38" s="7" t="s">
        <v>134</v>
      </c>
      <c r="B38" s="67"/>
      <c r="C38" s="8">
        <f t="shared" si="4"/>
        <v>157500</v>
      </c>
      <c r="D38" s="8">
        <f>+D81*'Proyeccion de Ventas'!$D$18</f>
        <v>0</v>
      </c>
      <c r="E38" s="8">
        <f>+E81*'Proyeccion de Ventas'!$E$18</f>
        <v>25000</v>
      </c>
      <c r="F38" s="8">
        <f>+F81*'Proyeccion de Ventas'!$F$18</f>
        <v>25000</v>
      </c>
      <c r="G38" s="8">
        <f>+G81*'Proyeccion de Ventas'!$G$18</f>
        <v>25000</v>
      </c>
      <c r="H38" s="8">
        <f>+H81*'Proyeccion de Ventas'!$H$18</f>
        <v>27500</v>
      </c>
      <c r="I38" s="8">
        <f>+I81*'Proyeccion de Ventas'!$I$18</f>
        <v>27500</v>
      </c>
      <c r="J38" s="8">
        <f>+J81*'Proyeccion de Ventas'!$J$18</f>
        <v>27500</v>
      </c>
      <c r="K38" s="8">
        <f>+K81*'Proyeccion de Ventas'!$K$18</f>
        <v>360000</v>
      </c>
      <c r="L38" s="8">
        <f>+L81*'Proyeccion de Ventas'!$L$18</f>
        <v>360000</v>
      </c>
      <c r="M38" s="8">
        <f>+M81*'Proyeccion de Ventas'!$M$18</f>
        <v>360000</v>
      </c>
      <c r="N38" s="8">
        <f>+N81*'Proyeccion de Ventas'!$N$18</f>
        <v>360000</v>
      </c>
      <c r="O38" s="3"/>
    </row>
    <row r="39" spans="1:15" s="58" customFormat="1" ht="12.75">
      <c r="A39" s="7" t="s">
        <v>135</v>
      </c>
      <c r="B39" s="67"/>
      <c r="C39" s="8">
        <f t="shared" si="4"/>
        <v>189000</v>
      </c>
      <c r="D39" s="8">
        <f>+D82*'Proyeccion de Ventas'!$D$18</f>
        <v>0</v>
      </c>
      <c r="E39" s="8">
        <f>+E82*'Proyeccion de Ventas'!$E$18</f>
        <v>30000</v>
      </c>
      <c r="F39" s="8">
        <f>+F82*'Proyeccion de Ventas'!$F$18</f>
        <v>30000</v>
      </c>
      <c r="G39" s="8">
        <f>+G82*'Proyeccion de Ventas'!$G$18</f>
        <v>30000</v>
      </c>
      <c r="H39" s="8">
        <f>+H82*'Proyeccion de Ventas'!$H$18</f>
        <v>33000</v>
      </c>
      <c r="I39" s="8">
        <f>+I82*'Proyeccion de Ventas'!$I$18</f>
        <v>33000</v>
      </c>
      <c r="J39" s="8">
        <f>+J82*'Proyeccion de Ventas'!$J$18</f>
        <v>33000</v>
      </c>
      <c r="K39" s="8">
        <f>+K82*'Proyeccion de Ventas'!$K$18</f>
        <v>432000</v>
      </c>
      <c r="L39" s="8">
        <f>+L82*'Proyeccion de Ventas'!$L$18</f>
        <v>432000</v>
      </c>
      <c r="M39" s="8">
        <f>+M82*'Proyeccion de Ventas'!$M$18</f>
        <v>432000</v>
      </c>
      <c r="N39" s="8">
        <f>+N82*'Proyeccion de Ventas'!$N$18</f>
        <v>432000</v>
      </c>
      <c r="O39" s="3"/>
    </row>
    <row r="40" spans="1:15" s="58" customFormat="1" ht="12.75">
      <c r="A40" s="7" t="s">
        <v>136</v>
      </c>
      <c r="B40" s="67"/>
      <c r="C40" s="8">
        <f t="shared" si="4"/>
        <v>126000</v>
      </c>
      <c r="D40" s="8">
        <f>+D83*'Proyeccion de Ventas'!$D$18</f>
        <v>0</v>
      </c>
      <c r="E40" s="8">
        <f>+E83*'Proyeccion de Ventas'!$E$18</f>
        <v>20000</v>
      </c>
      <c r="F40" s="8">
        <f>+F83*'Proyeccion de Ventas'!$F$18</f>
        <v>20000</v>
      </c>
      <c r="G40" s="8">
        <f>+G83*'Proyeccion de Ventas'!$G$18</f>
        <v>20000</v>
      </c>
      <c r="H40" s="8">
        <f>+H83*'Proyeccion de Ventas'!$H$18</f>
        <v>22000</v>
      </c>
      <c r="I40" s="8">
        <f>+I83*'Proyeccion de Ventas'!$I$18</f>
        <v>22000</v>
      </c>
      <c r="J40" s="8">
        <f>+J83*'Proyeccion de Ventas'!$J$18</f>
        <v>22000</v>
      </c>
      <c r="K40" s="8">
        <f>+K83*'Proyeccion de Ventas'!$K$18</f>
        <v>288000</v>
      </c>
      <c r="L40" s="8">
        <f>+L83*'Proyeccion de Ventas'!$L$18</f>
        <v>288000</v>
      </c>
      <c r="M40" s="8">
        <f>+M83*'Proyeccion de Ventas'!$M$18</f>
        <v>288000</v>
      </c>
      <c r="N40" s="8">
        <f>+N83*'Proyeccion de Ventas'!$N$18</f>
        <v>288000</v>
      </c>
      <c r="O40" s="3"/>
    </row>
    <row r="41" spans="1:15" s="58" customFormat="1" ht="12.75">
      <c r="A41" s="7" t="s">
        <v>137</v>
      </c>
      <c r="B41" s="67"/>
      <c r="C41" s="8">
        <f t="shared" si="4"/>
        <v>189000</v>
      </c>
      <c r="D41" s="8">
        <f>+D84*'Proyeccion de Ventas'!$D$18</f>
        <v>0</v>
      </c>
      <c r="E41" s="8">
        <f>+E84*'Proyeccion de Ventas'!$E$18</f>
        <v>30000</v>
      </c>
      <c r="F41" s="8">
        <f>+F84*'Proyeccion de Ventas'!$F$18</f>
        <v>30000</v>
      </c>
      <c r="G41" s="8">
        <f>+G84*'Proyeccion de Ventas'!$G$18</f>
        <v>30000</v>
      </c>
      <c r="H41" s="8">
        <f>+H84*'Proyeccion de Ventas'!$H$18</f>
        <v>33000</v>
      </c>
      <c r="I41" s="8">
        <f>+I84*'Proyeccion de Ventas'!$I$18</f>
        <v>33000</v>
      </c>
      <c r="J41" s="8">
        <f>+J84*'Proyeccion de Ventas'!$J$18</f>
        <v>33000</v>
      </c>
      <c r="K41" s="8">
        <f>+K84*'Proyeccion de Ventas'!$K$18</f>
        <v>432000</v>
      </c>
      <c r="L41" s="8">
        <f>+L84*'Proyeccion de Ventas'!$L$18</f>
        <v>432000</v>
      </c>
      <c r="M41" s="8">
        <f>+M84*'Proyeccion de Ventas'!$M$18</f>
        <v>432000</v>
      </c>
      <c r="N41" s="8">
        <f>+N84*'Proyeccion de Ventas'!$N$18</f>
        <v>432000</v>
      </c>
      <c r="O41" s="3"/>
    </row>
    <row r="42" spans="1:15" s="58" customFormat="1" ht="12.75">
      <c r="A42" s="7" t="s">
        <v>138</v>
      </c>
      <c r="B42" s="67"/>
      <c r="C42" s="8">
        <f t="shared" si="4"/>
        <v>63000</v>
      </c>
      <c r="D42" s="8">
        <f>+D85*'Proyeccion de Ventas'!$D$18</f>
        <v>0</v>
      </c>
      <c r="E42" s="8">
        <f>+E85*'Proyeccion de Ventas'!$E$18</f>
        <v>10000</v>
      </c>
      <c r="F42" s="8">
        <f>+F85*'Proyeccion de Ventas'!$F$18</f>
        <v>10000</v>
      </c>
      <c r="G42" s="8">
        <f>+G85*'Proyeccion de Ventas'!$G$18</f>
        <v>10000</v>
      </c>
      <c r="H42" s="8">
        <f>+H85*'Proyeccion de Ventas'!$H$18</f>
        <v>11000</v>
      </c>
      <c r="I42" s="8">
        <f>+I85*'Proyeccion de Ventas'!$I$18</f>
        <v>11000</v>
      </c>
      <c r="J42" s="8">
        <f>+J85*'Proyeccion de Ventas'!$J$18</f>
        <v>11000</v>
      </c>
      <c r="K42" s="8">
        <f>+K85*'Proyeccion de Ventas'!$K$18</f>
        <v>144000</v>
      </c>
      <c r="L42" s="8">
        <f>+L85*'Proyeccion de Ventas'!$L$18</f>
        <v>144000</v>
      </c>
      <c r="M42" s="8">
        <f>+M85*'Proyeccion de Ventas'!$M$18</f>
        <v>144000</v>
      </c>
      <c r="N42" s="8">
        <f>+N85*'Proyeccion de Ventas'!$N$18</f>
        <v>144000</v>
      </c>
      <c r="O42" s="3"/>
    </row>
    <row r="43" spans="1:15" s="58" customFormat="1" ht="12.75">
      <c r="A43" s="7" t="s">
        <v>139</v>
      </c>
      <c r="B43" s="67"/>
      <c r="C43" s="8">
        <f t="shared" si="4"/>
        <v>63000</v>
      </c>
      <c r="D43" s="8">
        <f>+D86*'Proyeccion de Ventas'!$D$18</f>
        <v>0</v>
      </c>
      <c r="E43" s="8">
        <f>+E86*'Proyeccion de Ventas'!$E$18</f>
        <v>10000</v>
      </c>
      <c r="F43" s="8">
        <f>+F86*'Proyeccion de Ventas'!$F$18</f>
        <v>10000</v>
      </c>
      <c r="G43" s="8">
        <f>+G86*'Proyeccion de Ventas'!$G$18</f>
        <v>10000</v>
      </c>
      <c r="H43" s="8">
        <f>+H86*'Proyeccion de Ventas'!$H$18</f>
        <v>11000</v>
      </c>
      <c r="I43" s="8">
        <f>+I86*'Proyeccion de Ventas'!$I$18</f>
        <v>11000</v>
      </c>
      <c r="J43" s="8">
        <f>+J86*'Proyeccion de Ventas'!$J$18</f>
        <v>11000</v>
      </c>
      <c r="K43" s="8">
        <f>+K86*'Proyeccion de Ventas'!$K$18</f>
        <v>144000</v>
      </c>
      <c r="L43" s="8">
        <f>+L86*'Proyeccion de Ventas'!$L$18</f>
        <v>144000</v>
      </c>
      <c r="M43" s="8">
        <f>+M86*'Proyeccion de Ventas'!$M$18</f>
        <v>144000</v>
      </c>
      <c r="N43" s="8">
        <f>+N86*'Proyeccion de Ventas'!$N$18</f>
        <v>144000</v>
      </c>
      <c r="O43" s="3"/>
    </row>
    <row r="46" spans="1:15" s="58" customFormat="1" ht="12.75">
      <c r="A46" s="73" t="s">
        <v>219</v>
      </c>
      <c r="B46" s="74"/>
      <c r="C46" s="70"/>
      <c r="D46" s="70">
        <f aca="true" t="shared" si="5" ref="D46:N46">+D48+D77</f>
        <v>0</v>
      </c>
      <c r="E46" s="70">
        <f t="shared" si="5"/>
        <v>1021</v>
      </c>
      <c r="F46" s="70">
        <f t="shared" si="5"/>
        <v>1021</v>
      </c>
      <c r="G46" s="70">
        <f t="shared" si="5"/>
        <v>1021</v>
      </c>
      <c r="H46" s="70">
        <f t="shared" si="5"/>
        <v>1021</v>
      </c>
      <c r="I46" s="70">
        <f t="shared" si="5"/>
        <v>1021</v>
      </c>
      <c r="J46" s="70">
        <f t="shared" si="5"/>
        <v>1021</v>
      </c>
      <c r="K46" s="70">
        <f t="shared" si="5"/>
        <v>1021</v>
      </c>
      <c r="L46" s="70">
        <f t="shared" si="5"/>
        <v>1021</v>
      </c>
      <c r="M46" s="70">
        <f t="shared" si="5"/>
        <v>1021</v>
      </c>
      <c r="N46" s="70">
        <f t="shared" si="5"/>
        <v>1021</v>
      </c>
      <c r="O46" s="3"/>
    </row>
    <row r="47" spans="1:15" s="1" customFormat="1" ht="12.75">
      <c r="A47" s="97"/>
      <c r="B47" s="83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65"/>
    </row>
    <row r="48" spans="1:15" s="1" customFormat="1" ht="12.75">
      <c r="A48" s="89" t="s">
        <v>140</v>
      </c>
      <c r="B48" s="90"/>
      <c r="C48" s="91"/>
      <c r="D48" s="91">
        <f aca="true" t="shared" si="6" ref="D48:N48">SUM(D49:D75)</f>
        <v>0</v>
      </c>
      <c r="E48" s="91">
        <f t="shared" si="6"/>
        <v>982</v>
      </c>
      <c r="F48" s="91">
        <f t="shared" si="6"/>
        <v>982</v>
      </c>
      <c r="G48" s="91">
        <f t="shared" si="6"/>
        <v>982</v>
      </c>
      <c r="H48" s="91">
        <f t="shared" si="6"/>
        <v>982</v>
      </c>
      <c r="I48" s="91">
        <f t="shared" si="6"/>
        <v>982</v>
      </c>
      <c r="J48" s="91">
        <f t="shared" si="6"/>
        <v>982</v>
      </c>
      <c r="K48" s="91">
        <f t="shared" si="6"/>
        <v>982</v>
      </c>
      <c r="L48" s="91">
        <f t="shared" si="6"/>
        <v>982</v>
      </c>
      <c r="M48" s="91">
        <f t="shared" si="6"/>
        <v>982</v>
      </c>
      <c r="N48" s="91">
        <f t="shared" si="6"/>
        <v>982</v>
      </c>
      <c r="O48" s="65"/>
    </row>
    <row r="49" spans="1:15" s="58" customFormat="1" ht="12.75">
      <c r="A49" s="7" t="s">
        <v>104</v>
      </c>
      <c r="B49" s="67"/>
      <c r="C49" s="8"/>
      <c r="D49" s="8"/>
      <c r="E49" s="8">
        <v>456</v>
      </c>
      <c r="F49" s="8">
        <v>456</v>
      </c>
      <c r="G49" s="8">
        <v>456</v>
      </c>
      <c r="H49" s="8">
        <v>456</v>
      </c>
      <c r="I49" s="8">
        <v>456</v>
      </c>
      <c r="J49" s="8">
        <v>456</v>
      </c>
      <c r="K49" s="8">
        <v>456</v>
      </c>
      <c r="L49" s="8">
        <v>456</v>
      </c>
      <c r="M49" s="8">
        <v>456</v>
      </c>
      <c r="N49" s="8">
        <v>456</v>
      </c>
      <c r="O49" s="3"/>
    </row>
    <row r="50" spans="1:15" s="58" customFormat="1" ht="12.75">
      <c r="A50" s="7" t="s">
        <v>105</v>
      </c>
      <c r="B50" s="67"/>
      <c r="C50" s="8"/>
      <c r="D50" s="8"/>
      <c r="E50" s="8">
        <v>193</v>
      </c>
      <c r="F50" s="8">
        <v>193</v>
      </c>
      <c r="G50" s="8">
        <v>193</v>
      </c>
      <c r="H50" s="8">
        <v>193</v>
      </c>
      <c r="I50" s="8">
        <v>193</v>
      </c>
      <c r="J50" s="8">
        <v>193</v>
      </c>
      <c r="K50" s="8">
        <v>193</v>
      </c>
      <c r="L50" s="8">
        <v>193</v>
      </c>
      <c r="M50" s="8">
        <v>193</v>
      </c>
      <c r="N50" s="8">
        <v>193</v>
      </c>
      <c r="O50" s="3"/>
    </row>
    <row r="51" spans="1:15" s="58" customFormat="1" ht="12.75">
      <c r="A51" s="7" t="s">
        <v>106</v>
      </c>
      <c r="B51" s="67"/>
      <c r="C51" s="8"/>
      <c r="D51" s="8"/>
      <c r="E51" s="8">
        <v>113</v>
      </c>
      <c r="F51" s="8">
        <v>113</v>
      </c>
      <c r="G51" s="8">
        <v>113</v>
      </c>
      <c r="H51" s="8">
        <v>113</v>
      </c>
      <c r="I51" s="8">
        <v>113</v>
      </c>
      <c r="J51" s="8">
        <v>113</v>
      </c>
      <c r="K51" s="8">
        <v>113</v>
      </c>
      <c r="L51" s="8">
        <v>113</v>
      </c>
      <c r="M51" s="8">
        <v>113</v>
      </c>
      <c r="N51" s="8">
        <v>113</v>
      </c>
      <c r="O51" s="3"/>
    </row>
    <row r="52" spans="1:15" s="58" customFormat="1" ht="12.75">
      <c r="A52" s="7" t="s">
        <v>107</v>
      </c>
      <c r="B52" s="67"/>
      <c r="C52" s="8"/>
      <c r="D52" s="8"/>
      <c r="E52" s="8">
        <v>135</v>
      </c>
      <c r="F52" s="8">
        <v>135</v>
      </c>
      <c r="G52" s="8">
        <v>135</v>
      </c>
      <c r="H52" s="8">
        <v>135</v>
      </c>
      <c r="I52" s="8">
        <v>135</v>
      </c>
      <c r="J52" s="8">
        <v>135</v>
      </c>
      <c r="K52" s="8">
        <v>135</v>
      </c>
      <c r="L52" s="8">
        <v>135</v>
      </c>
      <c r="M52" s="8">
        <v>135</v>
      </c>
      <c r="N52" s="8">
        <v>135</v>
      </c>
      <c r="O52" s="3"/>
    </row>
    <row r="53" spans="1:15" s="58" customFormat="1" ht="12.75">
      <c r="A53" s="7" t="s">
        <v>108</v>
      </c>
      <c r="B53" s="67"/>
      <c r="C53" s="8"/>
      <c r="D53" s="8"/>
      <c r="E53" s="8">
        <v>11</v>
      </c>
      <c r="F53" s="8">
        <v>11</v>
      </c>
      <c r="G53" s="8">
        <v>11</v>
      </c>
      <c r="H53" s="8">
        <v>11</v>
      </c>
      <c r="I53" s="8">
        <v>11</v>
      </c>
      <c r="J53" s="8">
        <v>11</v>
      </c>
      <c r="K53" s="8">
        <v>11</v>
      </c>
      <c r="L53" s="8">
        <v>11</v>
      </c>
      <c r="M53" s="8">
        <v>11</v>
      </c>
      <c r="N53" s="8">
        <v>11</v>
      </c>
      <c r="O53" s="3"/>
    </row>
    <row r="54" spans="1:15" s="58" customFormat="1" ht="12.75">
      <c r="A54" s="7" t="s">
        <v>109</v>
      </c>
      <c r="B54" s="67"/>
      <c r="C54" s="8"/>
      <c r="D54" s="8"/>
      <c r="E54" s="8">
        <v>6</v>
      </c>
      <c r="F54" s="8">
        <v>6</v>
      </c>
      <c r="G54" s="8">
        <v>6</v>
      </c>
      <c r="H54" s="8">
        <v>6</v>
      </c>
      <c r="I54" s="8">
        <v>6</v>
      </c>
      <c r="J54" s="8">
        <v>6</v>
      </c>
      <c r="K54" s="8">
        <v>6</v>
      </c>
      <c r="L54" s="8">
        <v>6</v>
      </c>
      <c r="M54" s="8">
        <v>6</v>
      </c>
      <c r="N54" s="8">
        <v>6</v>
      </c>
      <c r="O54" s="3"/>
    </row>
    <row r="55" spans="1:15" s="58" customFormat="1" ht="12.75">
      <c r="A55" s="7" t="s">
        <v>110</v>
      </c>
      <c r="B55" s="67"/>
      <c r="C55" s="8"/>
      <c r="D55" s="8"/>
      <c r="E55" s="8">
        <v>6</v>
      </c>
      <c r="F55" s="8">
        <v>6</v>
      </c>
      <c r="G55" s="8">
        <v>6</v>
      </c>
      <c r="H55" s="8">
        <v>6</v>
      </c>
      <c r="I55" s="8">
        <v>6</v>
      </c>
      <c r="J55" s="8">
        <v>6</v>
      </c>
      <c r="K55" s="8">
        <v>6</v>
      </c>
      <c r="L55" s="8">
        <v>6</v>
      </c>
      <c r="M55" s="8">
        <v>6</v>
      </c>
      <c r="N55" s="8">
        <v>6</v>
      </c>
      <c r="O55" s="3"/>
    </row>
    <row r="56" spans="1:15" s="58" customFormat="1" ht="12.75">
      <c r="A56" s="7" t="s">
        <v>111</v>
      </c>
      <c r="B56" s="67"/>
      <c r="C56" s="8"/>
      <c r="D56" s="8"/>
      <c r="E56" s="8">
        <v>8</v>
      </c>
      <c r="F56" s="8">
        <v>8</v>
      </c>
      <c r="G56" s="8">
        <v>8</v>
      </c>
      <c r="H56" s="8">
        <v>8</v>
      </c>
      <c r="I56" s="8">
        <v>8</v>
      </c>
      <c r="J56" s="8">
        <v>8</v>
      </c>
      <c r="K56" s="8">
        <v>8</v>
      </c>
      <c r="L56" s="8">
        <v>8</v>
      </c>
      <c r="M56" s="8">
        <v>8</v>
      </c>
      <c r="N56" s="8">
        <v>8</v>
      </c>
      <c r="O56" s="3"/>
    </row>
    <row r="57" spans="1:15" s="58" customFormat="1" ht="12.75">
      <c r="A57" s="7" t="s">
        <v>112</v>
      </c>
      <c r="B57" s="67"/>
      <c r="C57" s="8"/>
      <c r="D57" s="8"/>
      <c r="E57" s="8">
        <v>4</v>
      </c>
      <c r="F57" s="8">
        <v>4</v>
      </c>
      <c r="G57" s="8">
        <v>4</v>
      </c>
      <c r="H57" s="8">
        <v>4</v>
      </c>
      <c r="I57" s="8">
        <v>4</v>
      </c>
      <c r="J57" s="8">
        <v>4</v>
      </c>
      <c r="K57" s="8">
        <v>4</v>
      </c>
      <c r="L57" s="8">
        <v>4</v>
      </c>
      <c r="M57" s="8">
        <v>4</v>
      </c>
      <c r="N57" s="8">
        <v>4</v>
      </c>
      <c r="O57" s="3"/>
    </row>
    <row r="58" spans="1:15" s="58" customFormat="1" ht="12.75">
      <c r="A58" s="7" t="s">
        <v>113</v>
      </c>
      <c r="B58" s="67"/>
      <c r="C58" s="8"/>
      <c r="D58" s="8"/>
      <c r="E58" s="8">
        <v>6</v>
      </c>
      <c r="F58" s="8">
        <v>6</v>
      </c>
      <c r="G58" s="8">
        <v>6</v>
      </c>
      <c r="H58" s="8">
        <v>6</v>
      </c>
      <c r="I58" s="8">
        <v>6</v>
      </c>
      <c r="J58" s="8">
        <v>6</v>
      </c>
      <c r="K58" s="8">
        <v>6</v>
      </c>
      <c r="L58" s="8">
        <v>6</v>
      </c>
      <c r="M58" s="8">
        <v>6</v>
      </c>
      <c r="N58" s="8">
        <v>6</v>
      </c>
      <c r="O58" s="3"/>
    </row>
    <row r="59" spans="1:15" s="58" customFormat="1" ht="12.75">
      <c r="A59" s="7" t="s">
        <v>114</v>
      </c>
      <c r="B59" s="67"/>
      <c r="C59" s="8"/>
      <c r="D59" s="8"/>
      <c r="E59" s="8">
        <v>1</v>
      </c>
      <c r="F59" s="8">
        <v>1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3"/>
    </row>
    <row r="60" spans="1:15" s="58" customFormat="1" ht="12.75">
      <c r="A60" s="7" t="s">
        <v>115</v>
      </c>
      <c r="B60" s="67"/>
      <c r="C60" s="8"/>
      <c r="D60" s="8"/>
      <c r="E60" s="8">
        <v>2</v>
      </c>
      <c r="F60" s="8">
        <v>2</v>
      </c>
      <c r="G60" s="8">
        <v>2</v>
      </c>
      <c r="H60" s="8">
        <v>2</v>
      </c>
      <c r="I60" s="8">
        <v>2</v>
      </c>
      <c r="J60" s="8">
        <v>2</v>
      </c>
      <c r="K60" s="8">
        <v>2</v>
      </c>
      <c r="L60" s="8">
        <v>2</v>
      </c>
      <c r="M60" s="8">
        <v>2</v>
      </c>
      <c r="N60" s="8">
        <v>2</v>
      </c>
      <c r="O60" s="3"/>
    </row>
    <row r="61" spans="1:15" s="58" customFormat="1" ht="12.75">
      <c r="A61" s="7" t="s">
        <v>116</v>
      </c>
      <c r="B61" s="67"/>
      <c r="C61" s="8"/>
      <c r="D61" s="8"/>
      <c r="E61" s="8">
        <v>2</v>
      </c>
      <c r="F61" s="8">
        <v>2</v>
      </c>
      <c r="G61" s="8">
        <v>2</v>
      </c>
      <c r="H61" s="8">
        <v>2</v>
      </c>
      <c r="I61" s="8">
        <v>2</v>
      </c>
      <c r="J61" s="8">
        <v>2</v>
      </c>
      <c r="K61" s="8">
        <v>2</v>
      </c>
      <c r="L61" s="8">
        <v>2</v>
      </c>
      <c r="M61" s="8">
        <v>2</v>
      </c>
      <c r="N61" s="8">
        <v>2</v>
      </c>
      <c r="O61" s="3"/>
    </row>
    <row r="62" spans="1:15" s="58" customFormat="1" ht="12.75">
      <c r="A62" s="7" t="s">
        <v>117</v>
      </c>
      <c r="B62" s="67"/>
      <c r="C62" s="8"/>
      <c r="D62" s="8"/>
      <c r="E62" s="8">
        <v>3</v>
      </c>
      <c r="F62" s="8">
        <v>3</v>
      </c>
      <c r="G62" s="8">
        <v>3</v>
      </c>
      <c r="H62" s="8">
        <v>3</v>
      </c>
      <c r="I62" s="8">
        <v>3</v>
      </c>
      <c r="J62" s="8">
        <v>3</v>
      </c>
      <c r="K62" s="8">
        <v>3</v>
      </c>
      <c r="L62" s="8">
        <v>3</v>
      </c>
      <c r="M62" s="8">
        <v>3</v>
      </c>
      <c r="N62" s="8">
        <v>3</v>
      </c>
      <c r="O62" s="3"/>
    </row>
    <row r="63" spans="1:15" s="58" customFormat="1" ht="12.75">
      <c r="A63" s="7" t="s">
        <v>118</v>
      </c>
      <c r="B63" s="67"/>
      <c r="C63" s="8"/>
      <c r="D63" s="8"/>
      <c r="E63" s="8">
        <v>5</v>
      </c>
      <c r="F63" s="8">
        <v>5</v>
      </c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  <c r="N63" s="8">
        <v>5</v>
      </c>
      <c r="O63" s="3"/>
    </row>
    <row r="64" spans="1:15" s="58" customFormat="1" ht="12.75">
      <c r="A64" s="7" t="s">
        <v>119</v>
      </c>
      <c r="B64" s="67"/>
      <c r="C64" s="8"/>
      <c r="D64" s="8"/>
      <c r="E64" s="8">
        <v>6</v>
      </c>
      <c r="F64" s="8">
        <v>6</v>
      </c>
      <c r="G64" s="8">
        <v>6</v>
      </c>
      <c r="H64" s="8">
        <v>6</v>
      </c>
      <c r="I64" s="8">
        <v>6</v>
      </c>
      <c r="J64" s="8">
        <v>6</v>
      </c>
      <c r="K64" s="8">
        <v>6</v>
      </c>
      <c r="L64" s="8">
        <v>6</v>
      </c>
      <c r="M64" s="8">
        <v>6</v>
      </c>
      <c r="N64" s="8">
        <v>6</v>
      </c>
      <c r="O64" s="3"/>
    </row>
    <row r="65" spans="1:15" s="58" customFormat="1" ht="12.75">
      <c r="A65" s="7" t="s">
        <v>120</v>
      </c>
      <c r="B65" s="67"/>
      <c r="C65" s="8"/>
      <c r="D65" s="8"/>
      <c r="E65" s="8">
        <v>3</v>
      </c>
      <c r="F65" s="8">
        <v>3</v>
      </c>
      <c r="G65" s="8">
        <v>3</v>
      </c>
      <c r="H65" s="8">
        <v>3</v>
      </c>
      <c r="I65" s="8">
        <v>3</v>
      </c>
      <c r="J65" s="8">
        <v>3</v>
      </c>
      <c r="K65" s="8">
        <v>3</v>
      </c>
      <c r="L65" s="8">
        <v>3</v>
      </c>
      <c r="M65" s="8">
        <v>3</v>
      </c>
      <c r="N65" s="8">
        <v>3</v>
      </c>
      <c r="O65" s="3"/>
    </row>
    <row r="66" spans="1:15" s="58" customFormat="1" ht="12.75">
      <c r="A66" s="7" t="s">
        <v>121</v>
      </c>
      <c r="B66" s="67"/>
      <c r="C66" s="8"/>
      <c r="D66" s="8"/>
      <c r="E66" s="8">
        <v>2</v>
      </c>
      <c r="F66" s="8">
        <v>2</v>
      </c>
      <c r="G66" s="8">
        <v>2</v>
      </c>
      <c r="H66" s="8">
        <v>2</v>
      </c>
      <c r="I66" s="8">
        <v>2</v>
      </c>
      <c r="J66" s="8">
        <v>2</v>
      </c>
      <c r="K66" s="8">
        <v>2</v>
      </c>
      <c r="L66" s="8">
        <v>2</v>
      </c>
      <c r="M66" s="8">
        <v>2</v>
      </c>
      <c r="N66" s="8">
        <v>2</v>
      </c>
      <c r="O66" s="3"/>
    </row>
    <row r="67" spans="1:15" s="58" customFormat="1" ht="12.75">
      <c r="A67" s="7" t="s">
        <v>122</v>
      </c>
      <c r="B67" s="67"/>
      <c r="C67" s="8"/>
      <c r="D67" s="8"/>
      <c r="E67" s="8">
        <v>2</v>
      </c>
      <c r="F67" s="8">
        <v>2</v>
      </c>
      <c r="G67" s="8">
        <v>2</v>
      </c>
      <c r="H67" s="8">
        <v>2</v>
      </c>
      <c r="I67" s="8">
        <v>2</v>
      </c>
      <c r="J67" s="8">
        <v>2</v>
      </c>
      <c r="K67" s="8">
        <v>2</v>
      </c>
      <c r="L67" s="8">
        <v>2</v>
      </c>
      <c r="M67" s="8">
        <v>2</v>
      </c>
      <c r="N67" s="8">
        <v>2</v>
      </c>
      <c r="O67" s="3"/>
    </row>
    <row r="68" spans="1:15" s="58" customFormat="1" ht="12.75">
      <c r="A68" s="7" t="s">
        <v>123</v>
      </c>
      <c r="B68" s="67"/>
      <c r="C68" s="8"/>
      <c r="D68" s="8"/>
      <c r="E68" s="8">
        <v>3</v>
      </c>
      <c r="F68" s="8">
        <v>3</v>
      </c>
      <c r="G68" s="8">
        <v>3</v>
      </c>
      <c r="H68" s="8">
        <v>3</v>
      </c>
      <c r="I68" s="8">
        <v>3</v>
      </c>
      <c r="J68" s="8">
        <v>3</v>
      </c>
      <c r="K68" s="8">
        <v>3</v>
      </c>
      <c r="L68" s="8">
        <v>3</v>
      </c>
      <c r="M68" s="8">
        <v>3</v>
      </c>
      <c r="N68" s="8">
        <v>3</v>
      </c>
      <c r="O68" s="3"/>
    </row>
    <row r="69" spans="1:15" s="58" customFormat="1" ht="12.75">
      <c r="A69" s="7" t="s">
        <v>124</v>
      </c>
      <c r="B69" s="67"/>
      <c r="C69" s="8"/>
      <c r="D69" s="8"/>
      <c r="E69" s="8">
        <v>4</v>
      </c>
      <c r="F69" s="8">
        <v>4</v>
      </c>
      <c r="G69" s="8">
        <v>4</v>
      </c>
      <c r="H69" s="8">
        <v>4</v>
      </c>
      <c r="I69" s="8">
        <v>4</v>
      </c>
      <c r="J69" s="8">
        <v>4</v>
      </c>
      <c r="K69" s="8">
        <v>4</v>
      </c>
      <c r="L69" s="8">
        <v>4</v>
      </c>
      <c r="M69" s="8">
        <v>4</v>
      </c>
      <c r="N69" s="8">
        <v>4</v>
      </c>
      <c r="O69" s="3"/>
    </row>
    <row r="70" spans="1:15" s="58" customFormat="1" ht="12.75">
      <c r="A70" s="7" t="s">
        <v>125</v>
      </c>
      <c r="B70" s="67"/>
      <c r="C70" s="8"/>
      <c r="D70" s="8"/>
      <c r="E70" s="8">
        <v>5</v>
      </c>
      <c r="F70" s="8">
        <v>5</v>
      </c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  <c r="M70" s="8">
        <v>5</v>
      </c>
      <c r="N70" s="8">
        <v>5</v>
      </c>
      <c r="O70" s="3"/>
    </row>
    <row r="71" spans="1:15" s="58" customFormat="1" ht="12.75">
      <c r="A71" s="7" t="s">
        <v>126</v>
      </c>
      <c r="B71" s="67"/>
      <c r="C71" s="8"/>
      <c r="D71" s="8"/>
      <c r="E71" s="8">
        <v>2</v>
      </c>
      <c r="F71" s="8">
        <v>2</v>
      </c>
      <c r="G71" s="8">
        <v>2</v>
      </c>
      <c r="H71" s="8">
        <v>2</v>
      </c>
      <c r="I71" s="8">
        <v>2</v>
      </c>
      <c r="J71" s="8">
        <v>2</v>
      </c>
      <c r="K71" s="8">
        <v>2</v>
      </c>
      <c r="L71" s="8">
        <v>2</v>
      </c>
      <c r="M71" s="8">
        <v>2</v>
      </c>
      <c r="N71" s="8">
        <v>2</v>
      </c>
      <c r="O71" s="3"/>
    </row>
    <row r="72" spans="1:15" s="58" customFormat="1" ht="12.75">
      <c r="A72" s="7" t="s">
        <v>127</v>
      </c>
      <c r="B72" s="67"/>
      <c r="C72" s="8"/>
      <c r="D72" s="8"/>
      <c r="E72" s="8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3"/>
    </row>
    <row r="73" spans="1:15" s="58" customFormat="1" ht="12.75">
      <c r="A73" s="7" t="s">
        <v>128</v>
      </c>
      <c r="B73" s="67"/>
      <c r="C73" s="8"/>
      <c r="D73" s="8"/>
      <c r="E73" s="8">
        <v>1</v>
      </c>
      <c r="F73" s="8">
        <v>1</v>
      </c>
      <c r="G73" s="8">
        <v>1</v>
      </c>
      <c r="H73" s="8">
        <v>1</v>
      </c>
      <c r="I73" s="8">
        <v>1</v>
      </c>
      <c r="J73" s="8">
        <v>1</v>
      </c>
      <c r="K73" s="8">
        <v>1</v>
      </c>
      <c r="L73" s="8">
        <v>1</v>
      </c>
      <c r="M73" s="8">
        <v>1</v>
      </c>
      <c r="N73" s="8">
        <v>1</v>
      </c>
      <c r="O73" s="3"/>
    </row>
    <row r="74" spans="1:15" s="58" customFormat="1" ht="12.75">
      <c r="A74" s="7" t="s">
        <v>129</v>
      </c>
      <c r="B74" s="67"/>
      <c r="C74" s="8"/>
      <c r="D74" s="8"/>
      <c r="E74" s="8">
        <v>1</v>
      </c>
      <c r="F74" s="8">
        <v>1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3"/>
    </row>
    <row r="75" spans="1:15" s="58" customFormat="1" ht="12.75">
      <c r="A75" s="7" t="s">
        <v>130</v>
      </c>
      <c r="B75" s="67"/>
      <c r="C75" s="8"/>
      <c r="D75" s="8"/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3"/>
    </row>
    <row r="76" spans="1:15" s="58" customFormat="1" ht="12.75">
      <c r="A76" s="10"/>
      <c r="B76" s="72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"/>
    </row>
    <row r="77" spans="1:15" s="1" customFormat="1" ht="12.75">
      <c r="A77" s="89" t="s">
        <v>218</v>
      </c>
      <c r="B77" s="90"/>
      <c r="C77" s="91"/>
      <c r="D77" s="91">
        <f aca="true" t="shared" si="7" ref="D77:N77">SUM(D78:D86)</f>
        <v>0</v>
      </c>
      <c r="E77" s="91">
        <f t="shared" si="7"/>
        <v>39</v>
      </c>
      <c r="F77" s="91">
        <f t="shared" si="7"/>
        <v>39</v>
      </c>
      <c r="G77" s="91">
        <f t="shared" si="7"/>
        <v>39</v>
      </c>
      <c r="H77" s="91">
        <f t="shared" si="7"/>
        <v>39</v>
      </c>
      <c r="I77" s="91">
        <f t="shared" si="7"/>
        <v>39</v>
      </c>
      <c r="J77" s="91">
        <f t="shared" si="7"/>
        <v>39</v>
      </c>
      <c r="K77" s="91">
        <f t="shared" si="7"/>
        <v>39</v>
      </c>
      <c r="L77" s="91">
        <f t="shared" si="7"/>
        <v>39</v>
      </c>
      <c r="M77" s="91">
        <f t="shared" si="7"/>
        <v>39</v>
      </c>
      <c r="N77" s="91">
        <f t="shared" si="7"/>
        <v>39</v>
      </c>
      <c r="O77" s="65"/>
    </row>
    <row r="78" spans="1:15" s="58" customFormat="1" ht="12.75">
      <c r="A78" s="7" t="s">
        <v>131</v>
      </c>
      <c r="B78" s="67"/>
      <c r="C78" s="8"/>
      <c r="D78" s="8"/>
      <c r="E78" s="8">
        <v>8</v>
      </c>
      <c r="F78" s="8">
        <v>8</v>
      </c>
      <c r="G78" s="8">
        <v>8</v>
      </c>
      <c r="H78" s="8">
        <v>8</v>
      </c>
      <c r="I78" s="8">
        <v>8</v>
      </c>
      <c r="J78" s="8">
        <v>8</v>
      </c>
      <c r="K78" s="8">
        <v>8</v>
      </c>
      <c r="L78" s="8">
        <v>8</v>
      </c>
      <c r="M78" s="8">
        <v>8</v>
      </c>
      <c r="N78" s="8">
        <v>8</v>
      </c>
      <c r="O78" s="3"/>
    </row>
    <row r="79" spans="1:15" s="58" customFormat="1" ht="12.75">
      <c r="A79" s="7" t="s">
        <v>132</v>
      </c>
      <c r="B79" s="67"/>
      <c r="C79" s="8"/>
      <c r="D79" s="8"/>
      <c r="E79" s="8">
        <v>1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8">
        <v>1</v>
      </c>
      <c r="N79" s="8">
        <v>1</v>
      </c>
      <c r="O79" s="3"/>
    </row>
    <row r="80" spans="1:15" s="58" customFormat="1" ht="12.75">
      <c r="A80" s="7" t="s">
        <v>133</v>
      </c>
      <c r="B80" s="67"/>
      <c r="C80" s="8"/>
      <c r="D80" s="8"/>
      <c r="E80" s="8">
        <v>5</v>
      </c>
      <c r="F80" s="8">
        <v>5</v>
      </c>
      <c r="G80" s="8">
        <v>5</v>
      </c>
      <c r="H80" s="8">
        <v>5</v>
      </c>
      <c r="I80" s="8">
        <v>5</v>
      </c>
      <c r="J80" s="8">
        <v>5</v>
      </c>
      <c r="K80" s="8">
        <v>5</v>
      </c>
      <c r="L80" s="8">
        <v>5</v>
      </c>
      <c r="M80" s="8">
        <v>5</v>
      </c>
      <c r="N80" s="8">
        <v>5</v>
      </c>
      <c r="O80" s="3"/>
    </row>
    <row r="81" spans="1:15" s="58" customFormat="1" ht="12.75">
      <c r="A81" s="7" t="s">
        <v>134</v>
      </c>
      <c r="B81" s="67"/>
      <c r="C81" s="8"/>
      <c r="D81" s="8"/>
      <c r="E81" s="8">
        <v>5</v>
      </c>
      <c r="F81" s="8">
        <v>5</v>
      </c>
      <c r="G81" s="8">
        <v>5</v>
      </c>
      <c r="H81" s="8">
        <v>5</v>
      </c>
      <c r="I81" s="8">
        <v>5</v>
      </c>
      <c r="J81" s="8">
        <v>5</v>
      </c>
      <c r="K81" s="8">
        <v>5</v>
      </c>
      <c r="L81" s="8">
        <v>5</v>
      </c>
      <c r="M81" s="8">
        <v>5</v>
      </c>
      <c r="N81" s="8">
        <v>5</v>
      </c>
      <c r="O81" s="3"/>
    </row>
    <row r="82" spans="1:15" s="58" customFormat="1" ht="12.75">
      <c r="A82" s="7" t="s">
        <v>135</v>
      </c>
      <c r="B82" s="67"/>
      <c r="C82" s="8"/>
      <c r="D82" s="8"/>
      <c r="E82" s="8">
        <v>6</v>
      </c>
      <c r="F82" s="8">
        <v>6</v>
      </c>
      <c r="G82" s="8">
        <v>6</v>
      </c>
      <c r="H82" s="8">
        <v>6</v>
      </c>
      <c r="I82" s="8">
        <v>6</v>
      </c>
      <c r="J82" s="8">
        <v>6</v>
      </c>
      <c r="K82" s="8">
        <v>6</v>
      </c>
      <c r="L82" s="8">
        <v>6</v>
      </c>
      <c r="M82" s="8">
        <v>6</v>
      </c>
      <c r="N82" s="8">
        <v>6</v>
      </c>
      <c r="O82" s="3"/>
    </row>
    <row r="83" spans="1:15" s="58" customFormat="1" ht="12.75">
      <c r="A83" s="7" t="s">
        <v>136</v>
      </c>
      <c r="B83" s="67"/>
      <c r="C83" s="8"/>
      <c r="D83" s="8"/>
      <c r="E83" s="8">
        <v>4</v>
      </c>
      <c r="F83" s="8">
        <v>4</v>
      </c>
      <c r="G83" s="8">
        <v>4</v>
      </c>
      <c r="H83" s="8">
        <v>4</v>
      </c>
      <c r="I83" s="8">
        <v>4</v>
      </c>
      <c r="J83" s="8">
        <v>4</v>
      </c>
      <c r="K83" s="8">
        <v>4</v>
      </c>
      <c r="L83" s="8">
        <v>4</v>
      </c>
      <c r="M83" s="8">
        <v>4</v>
      </c>
      <c r="N83" s="8">
        <v>4</v>
      </c>
      <c r="O83" s="3"/>
    </row>
    <row r="84" spans="1:15" s="58" customFormat="1" ht="12.75">
      <c r="A84" s="7" t="s">
        <v>137</v>
      </c>
      <c r="B84" s="67"/>
      <c r="C84" s="8"/>
      <c r="D84" s="8"/>
      <c r="E84" s="8">
        <v>6</v>
      </c>
      <c r="F84" s="8">
        <v>6</v>
      </c>
      <c r="G84" s="8">
        <v>6</v>
      </c>
      <c r="H84" s="8">
        <v>6</v>
      </c>
      <c r="I84" s="8">
        <v>6</v>
      </c>
      <c r="J84" s="8">
        <v>6</v>
      </c>
      <c r="K84" s="8">
        <v>6</v>
      </c>
      <c r="L84" s="8">
        <v>6</v>
      </c>
      <c r="M84" s="8">
        <v>6</v>
      </c>
      <c r="N84" s="8">
        <v>6</v>
      </c>
      <c r="O84" s="3"/>
    </row>
    <row r="85" spans="1:15" s="58" customFormat="1" ht="12.75">
      <c r="A85" s="7" t="s">
        <v>138</v>
      </c>
      <c r="B85" s="67"/>
      <c r="C85" s="8"/>
      <c r="D85" s="8"/>
      <c r="E85" s="8">
        <v>2</v>
      </c>
      <c r="F85" s="8">
        <v>2</v>
      </c>
      <c r="G85" s="8">
        <v>2</v>
      </c>
      <c r="H85" s="8">
        <v>2</v>
      </c>
      <c r="I85" s="8">
        <v>2</v>
      </c>
      <c r="J85" s="8">
        <v>2</v>
      </c>
      <c r="K85" s="8">
        <v>2</v>
      </c>
      <c r="L85" s="8">
        <v>2</v>
      </c>
      <c r="M85" s="8">
        <v>2</v>
      </c>
      <c r="N85" s="8">
        <v>2</v>
      </c>
      <c r="O85" s="3"/>
    </row>
    <row r="86" spans="1:15" s="58" customFormat="1" ht="12.75">
      <c r="A86" s="7" t="s">
        <v>139</v>
      </c>
      <c r="B86" s="67"/>
      <c r="C86" s="8"/>
      <c r="D86" s="8"/>
      <c r="E86" s="8">
        <v>2</v>
      </c>
      <c r="F86" s="8">
        <v>2</v>
      </c>
      <c r="G86" s="8">
        <v>2</v>
      </c>
      <c r="H86" s="8">
        <v>2</v>
      </c>
      <c r="I86" s="8">
        <v>2</v>
      </c>
      <c r="J86" s="8">
        <v>2</v>
      </c>
      <c r="K86" s="8">
        <v>2</v>
      </c>
      <c r="L86" s="8">
        <v>2</v>
      </c>
      <c r="M86" s="8">
        <v>2</v>
      </c>
      <c r="N86" s="8">
        <v>2</v>
      </c>
      <c r="O86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" sqref="O1:O16384"/>
    </sheetView>
  </sheetViews>
  <sheetFormatPr defaultColWidth="11.421875" defaultRowHeight="12.75"/>
  <cols>
    <col min="1" max="1" width="33.57421875" style="0" bestFit="1" customWidth="1"/>
    <col min="2" max="2" width="3.421875" style="0" customWidth="1"/>
    <col min="3" max="3" width="9.140625" style="0" bestFit="1" customWidth="1"/>
    <col min="4" max="4" width="8.140625" style="0" bestFit="1" customWidth="1"/>
    <col min="5" max="5" width="7.57421875" style="0" bestFit="1" customWidth="1"/>
    <col min="6" max="6" width="9.57421875" style="0" bestFit="1" customWidth="1"/>
    <col min="7" max="7" width="13.7109375" style="0" bestFit="1" customWidth="1"/>
    <col min="8" max="8" width="10.421875" style="0" bestFit="1" customWidth="1"/>
    <col min="9" max="9" width="13.28125" style="0" bestFit="1" customWidth="1"/>
    <col min="10" max="10" width="12.7109375" style="0" bestFit="1" customWidth="1"/>
    <col min="11" max="13" width="9.140625" style="0" bestFit="1" customWidth="1"/>
    <col min="14" max="14" width="9.140625" style="0" hidden="1" customWidth="1"/>
    <col min="15" max="15" width="0" style="0" hidden="1" customWidth="1"/>
  </cols>
  <sheetData>
    <row r="2" spans="3:14" ht="12.75">
      <c r="C2" s="5" t="s">
        <v>154</v>
      </c>
      <c r="D2" s="5">
        <v>41061</v>
      </c>
      <c r="E2" s="5">
        <v>41091</v>
      </c>
      <c r="F2" s="5">
        <v>41122</v>
      </c>
      <c r="G2" s="5">
        <v>41153</v>
      </c>
      <c r="H2" s="5">
        <v>41183</v>
      </c>
      <c r="I2" s="5">
        <v>41214</v>
      </c>
      <c r="J2" s="5">
        <v>41244</v>
      </c>
      <c r="K2" s="5" t="s">
        <v>155</v>
      </c>
      <c r="L2" s="5" t="s">
        <v>156</v>
      </c>
      <c r="M2" s="5" t="s">
        <v>157</v>
      </c>
      <c r="N2" s="5" t="s">
        <v>193</v>
      </c>
    </row>
    <row r="3" spans="1:15" s="58" customFormat="1" ht="12.75">
      <c r="A3" s="73" t="s">
        <v>220</v>
      </c>
      <c r="B3" s="74"/>
      <c r="C3" s="70">
        <f>+C5+C34</f>
        <v>3154500</v>
      </c>
      <c r="D3" s="70">
        <f aca="true" t="shared" si="0" ref="D3:N3">+D5+D34</f>
        <v>0</v>
      </c>
      <c r="E3" s="70">
        <f t="shared" si="0"/>
        <v>490700</v>
      </c>
      <c r="F3" s="70">
        <f t="shared" si="0"/>
        <v>490700</v>
      </c>
      <c r="G3" s="70">
        <f t="shared" si="0"/>
        <v>490700</v>
      </c>
      <c r="H3" s="70">
        <f t="shared" si="0"/>
        <v>560800</v>
      </c>
      <c r="I3" s="70">
        <f t="shared" si="0"/>
        <v>560800</v>
      </c>
      <c r="J3" s="70">
        <f t="shared" si="0"/>
        <v>560800</v>
      </c>
      <c r="K3" s="70">
        <f t="shared" si="0"/>
        <v>7150200</v>
      </c>
      <c r="L3" s="70">
        <f t="shared" si="0"/>
        <v>7150200</v>
      </c>
      <c r="M3" s="70">
        <f t="shared" si="0"/>
        <v>7150200</v>
      </c>
      <c r="N3" s="70">
        <f t="shared" si="0"/>
        <v>7150200</v>
      </c>
      <c r="O3" s="3"/>
    </row>
    <row r="4" spans="1:15" s="1" customFormat="1" ht="12.75">
      <c r="A4" s="97"/>
      <c r="B4" s="83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5"/>
    </row>
    <row r="5" spans="1:15" s="1" customFormat="1" ht="12.75">
      <c r="A5" s="89" t="s">
        <v>140</v>
      </c>
      <c r="B5" s="90"/>
      <c r="C5" s="91">
        <f>SUM(C6:C32)</f>
        <v>2907000</v>
      </c>
      <c r="D5" s="91">
        <f aca="true" t="shared" si="1" ref="D5:N5">SUM(D6:D32)</f>
        <v>0</v>
      </c>
      <c r="E5" s="91">
        <f t="shared" si="1"/>
        <v>452200</v>
      </c>
      <c r="F5" s="91">
        <f t="shared" si="1"/>
        <v>452200</v>
      </c>
      <c r="G5" s="91">
        <f t="shared" si="1"/>
        <v>452200</v>
      </c>
      <c r="H5" s="91">
        <f t="shared" si="1"/>
        <v>516800</v>
      </c>
      <c r="I5" s="91">
        <f t="shared" si="1"/>
        <v>516800</v>
      </c>
      <c r="J5" s="91">
        <f t="shared" si="1"/>
        <v>516800</v>
      </c>
      <c r="K5" s="91">
        <f t="shared" si="1"/>
        <v>6589200</v>
      </c>
      <c r="L5" s="91">
        <f t="shared" si="1"/>
        <v>6589200</v>
      </c>
      <c r="M5" s="91">
        <f t="shared" si="1"/>
        <v>6589200</v>
      </c>
      <c r="N5" s="91">
        <f t="shared" si="1"/>
        <v>6589200</v>
      </c>
      <c r="O5" s="65"/>
    </row>
    <row r="6" spans="1:15" s="58" customFormat="1" ht="12.75">
      <c r="A6" s="7" t="s">
        <v>104</v>
      </c>
      <c r="B6" s="67"/>
      <c r="C6" s="8">
        <f aca="true" t="shared" si="2" ref="C6:C16">SUM(D6:J6)</f>
        <v>1192500</v>
      </c>
      <c r="D6" s="8">
        <f>+D49*'Proyeccion de Ventas'!$D$19</f>
        <v>0</v>
      </c>
      <c r="E6" s="8">
        <f>+E49*'Proyeccion de Ventas'!$E$19</f>
        <v>185500</v>
      </c>
      <c r="F6" s="8">
        <f>+F49*'Proyeccion de Ventas'!$F$19</f>
        <v>185500</v>
      </c>
      <c r="G6" s="8">
        <f>+G49*'Proyeccion de Ventas'!$G$19</f>
        <v>185500</v>
      </c>
      <c r="H6" s="8">
        <f>+H49*'Proyeccion de Ventas'!$H$19</f>
        <v>212000</v>
      </c>
      <c r="I6" s="8">
        <f>+I49*'Proyeccion de Ventas'!$I$19</f>
        <v>212000</v>
      </c>
      <c r="J6" s="8">
        <f>+J49*'Proyeccion de Ventas'!$J$19</f>
        <v>212000</v>
      </c>
      <c r="K6" s="8">
        <f>+K49*'Proyeccion de Ventas'!$K$19</f>
        <v>2703000</v>
      </c>
      <c r="L6" s="8">
        <f>+L49*'Proyeccion de Ventas'!$L$19</f>
        <v>2703000</v>
      </c>
      <c r="M6" s="8">
        <f>+M49*'Proyeccion de Ventas'!$M$19</f>
        <v>2703000</v>
      </c>
      <c r="N6" s="8">
        <f>+N49*'Proyeccion de Ventas'!$N$19</f>
        <v>2703000</v>
      </c>
      <c r="O6" s="3"/>
    </row>
    <row r="7" spans="1:15" s="58" customFormat="1" ht="12.75">
      <c r="A7" s="7" t="s">
        <v>105</v>
      </c>
      <c r="B7" s="67"/>
      <c r="C7" s="8">
        <f t="shared" si="2"/>
        <v>814500</v>
      </c>
      <c r="D7" s="8">
        <f>+D50*'Proyeccion de Ventas'!$D$19</f>
        <v>0</v>
      </c>
      <c r="E7" s="8">
        <f>+E50*'Proyeccion de Ventas'!$E$19</f>
        <v>126700</v>
      </c>
      <c r="F7" s="8">
        <f>+F50*'Proyeccion de Ventas'!$F$19</f>
        <v>126700</v>
      </c>
      <c r="G7" s="8">
        <f>+G50*'Proyeccion de Ventas'!$G$19</f>
        <v>126700</v>
      </c>
      <c r="H7" s="8">
        <f>+H50*'Proyeccion de Ventas'!$H$19</f>
        <v>144800</v>
      </c>
      <c r="I7" s="8">
        <f>+I50*'Proyeccion de Ventas'!$I$19</f>
        <v>144800</v>
      </c>
      <c r="J7" s="8">
        <f>+J50*'Proyeccion de Ventas'!$J$19</f>
        <v>144800</v>
      </c>
      <c r="K7" s="8">
        <f>+K50*'Proyeccion de Ventas'!$K$19</f>
        <v>1846200</v>
      </c>
      <c r="L7" s="8">
        <f>+L50*'Proyeccion de Ventas'!$L$19</f>
        <v>1846200</v>
      </c>
      <c r="M7" s="8">
        <f>+M50*'Proyeccion de Ventas'!$M$19</f>
        <v>1846200</v>
      </c>
      <c r="N7" s="8">
        <f>+N50*'Proyeccion de Ventas'!$N$19</f>
        <v>1846200</v>
      </c>
      <c r="O7" s="3"/>
    </row>
    <row r="8" spans="1:15" s="58" customFormat="1" ht="12.75">
      <c r="A8" s="7" t="s">
        <v>106</v>
      </c>
      <c r="B8" s="67"/>
      <c r="C8" s="8">
        <f t="shared" si="2"/>
        <v>607500</v>
      </c>
      <c r="D8" s="8">
        <f>+D51*'Proyeccion de Ventas'!$D$19</f>
        <v>0</v>
      </c>
      <c r="E8" s="8">
        <f>+E51*'Proyeccion de Ventas'!$E$19</f>
        <v>94500</v>
      </c>
      <c r="F8" s="8">
        <f>+F51*'Proyeccion de Ventas'!$F$19</f>
        <v>94500</v>
      </c>
      <c r="G8" s="8">
        <f>+G51*'Proyeccion de Ventas'!$G$19</f>
        <v>94500</v>
      </c>
      <c r="H8" s="8">
        <f>+H51*'Proyeccion de Ventas'!$H$19</f>
        <v>108000</v>
      </c>
      <c r="I8" s="8">
        <f>+I51*'Proyeccion de Ventas'!$I$19</f>
        <v>108000</v>
      </c>
      <c r="J8" s="8">
        <f>+J51*'Proyeccion de Ventas'!$J$19</f>
        <v>108000</v>
      </c>
      <c r="K8" s="8">
        <f>+K51*'Proyeccion de Ventas'!$K$19</f>
        <v>1377000</v>
      </c>
      <c r="L8" s="8">
        <f>+L51*'Proyeccion de Ventas'!$L$19</f>
        <v>1377000</v>
      </c>
      <c r="M8" s="8">
        <f>+M51*'Proyeccion de Ventas'!$M$19</f>
        <v>1377000</v>
      </c>
      <c r="N8" s="8">
        <f>+N51*'Proyeccion de Ventas'!$N$19</f>
        <v>1377000</v>
      </c>
      <c r="O8" s="3"/>
    </row>
    <row r="9" spans="1:15" s="58" customFormat="1" ht="12.75">
      <c r="A9" s="7" t="s">
        <v>107</v>
      </c>
      <c r="B9" s="67"/>
      <c r="C9" s="8">
        <f t="shared" si="2"/>
        <v>22500</v>
      </c>
      <c r="D9" s="8">
        <f>+D52*'Proyeccion de Ventas'!$D$19</f>
        <v>0</v>
      </c>
      <c r="E9" s="8">
        <f>+E52*'Proyeccion de Ventas'!$E$19</f>
        <v>3500</v>
      </c>
      <c r="F9" s="8">
        <f>+F52*'Proyeccion de Ventas'!$F$19</f>
        <v>3500</v>
      </c>
      <c r="G9" s="8">
        <f>+G52*'Proyeccion de Ventas'!$G$19</f>
        <v>3500</v>
      </c>
      <c r="H9" s="8">
        <f>+H52*'Proyeccion de Ventas'!$H$19</f>
        <v>4000</v>
      </c>
      <c r="I9" s="8">
        <f>+I52*'Proyeccion de Ventas'!$I$19</f>
        <v>4000</v>
      </c>
      <c r="J9" s="8">
        <f>+J52*'Proyeccion de Ventas'!$J$19</f>
        <v>4000</v>
      </c>
      <c r="K9" s="8">
        <f>+K52*'Proyeccion de Ventas'!$K$19</f>
        <v>51000</v>
      </c>
      <c r="L9" s="8">
        <f>+L52*'Proyeccion de Ventas'!$L$19</f>
        <v>51000</v>
      </c>
      <c r="M9" s="8">
        <f>+M52*'Proyeccion de Ventas'!$M$19</f>
        <v>51000</v>
      </c>
      <c r="N9" s="8">
        <f>+N52*'Proyeccion de Ventas'!$N$19</f>
        <v>51000</v>
      </c>
      <c r="O9" s="3"/>
    </row>
    <row r="10" spans="1:15" s="58" customFormat="1" ht="12.75">
      <c r="A10" s="7" t="s">
        <v>108</v>
      </c>
      <c r="B10" s="67"/>
      <c r="C10" s="8">
        <f t="shared" si="2"/>
        <v>27000</v>
      </c>
      <c r="D10" s="8">
        <f>+D53*'Proyeccion de Ventas'!$D$19</f>
        <v>0</v>
      </c>
      <c r="E10" s="8">
        <f>+E53*'Proyeccion de Ventas'!$E$19</f>
        <v>4200</v>
      </c>
      <c r="F10" s="8">
        <f>+F53*'Proyeccion de Ventas'!$F$19</f>
        <v>4200</v>
      </c>
      <c r="G10" s="8">
        <f>+G53*'Proyeccion de Ventas'!$G$19</f>
        <v>4200</v>
      </c>
      <c r="H10" s="8">
        <f>+H53*'Proyeccion de Ventas'!$H$19</f>
        <v>4800</v>
      </c>
      <c r="I10" s="8">
        <f>+I53*'Proyeccion de Ventas'!$I$19</f>
        <v>4800</v>
      </c>
      <c r="J10" s="8">
        <f>+J53*'Proyeccion de Ventas'!$J$19</f>
        <v>4800</v>
      </c>
      <c r="K10" s="8">
        <f>+K53*'Proyeccion de Ventas'!$K$19</f>
        <v>61200</v>
      </c>
      <c r="L10" s="8">
        <f>+L53*'Proyeccion de Ventas'!$L$19</f>
        <v>61200</v>
      </c>
      <c r="M10" s="8">
        <f>+M53*'Proyeccion de Ventas'!$M$19</f>
        <v>61200</v>
      </c>
      <c r="N10" s="8">
        <f>+N53*'Proyeccion de Ventas'!$N$19</f>
        <v>61200</v>
      </c>
      <c r="O10" s="3"/>
    </row>
    <row r="11" spans="1:15" s="58" customFormat="1" ht="12.75">
      <c r="A11" s="7" t="s">
        <v>109</v>
      </c>
      <c r="B11" s="67"/>
      <c r="C11" s="8">
        <f t="shared" si="2"/>
        <v>9000</v>
      </c>
      <c r="D11" s="8">
        <f>+D54*'Proyeccion de Ventas'!$D$19</f>
        <v>0</v>
      </c>
      <c r="E11" s="8">
        <f>+E54*'Proyeccion de Ventas'!$E$19</f>
        <v>1400</v>
      </c>
      <c r="F11" s="8">
        <f>+F54*'Proyeccion de Ventas'!$F$19</f>
        <v>1400</v>
      </c>
      <c r="G11" s="8">
        <f>+G54*'Proyeccion de Ventas'!$G$19</f>
        <v>1400</v>
      </c>
      <c r="H11" s="8">
        <f>+H54*'Proyeccion de Ventas'!$H$19</f>
        <v>1600</v>
      </c>
      <c r="I11" s="8">
        <f>+I54*'Proyeccion de Ventas'!$I$19</f>
        <v>1600</v>
      </c>
      <c r="J11" s="8">
        <f>+J54*'Proyeccion de Ventas'!$J$19</f>
        <v>1600</v>
      </c>
      <c r="K11" s="8">
        <f>+K54*'Proyeccion de Ventas'!$K$19</f>
        <v>20400</v>
      </c>
      <c r="L11" s="8">
        <f>+L54*'Proyeccion de Ventas'!$L$19</f>
        <v>20400</v>
      </c>
      <c r="M11" s="8">
        <f>+M54*'Proyeccion de Ventas'!$M$19</f>
        <v>20400</v>
      </c>
      <c r="N11" s="8">
        <f>+N54*'Proyeccion de Ventas'!$N$19</f>
        <v>20400</v>
      </c>
      <c r="O11" s="3"/>
    </row>
    <row r="12" spans="1:15" s="58" customFormat="1" ht="12.75">
      <c r="A12" s="7" t="s">
        <v>110</v>
      </c>
      <c r="B12" s="67"/>
      <c r="C12" s="8">
        <f t="shared" si="2"/>
        <v>18000</v>
      </c>
      <c r="D12" s="8">
        <f>+D55*'Proyeccion de Ventas'!$D$19</f>
        <v>0</v>
      </c>
      <c r="E12" s="8">
        <f>+E55*'Proyeccion de Ventas'!$E$19</f>
        <v>2800</v>
      </c>
      <c r="F12" s="8">
        <f>+F55*'Proyeccion de Ventas'!$F$19</f>
        <v>2800</v>
      </c>
      <c r="G12" s="8">
        <f>+G55*'Proyeccion de Ventas'!$G$19</f>
        <v>2800</v>
      </c>
      <c r="H12" s="8">
        <f>+H55*'Proyeccion de Ventas'!$H$19</f>
        <v>3200</v>
      </c>
      <c r="I12" s="8">
        <f>+I55*'Proyeccion de Ventas'!$I$19</f>
        <v>3200</v>
      </c>
      <c r="J12" s="8">
        <f>+J55*'Proyeccion de Ventas'!$J$19</f>
        <v>3200</v>
      </c>
      <c r="K12" s="8">
        <f>+K55*'Proyeccion de Ventas'!$K$19</f>
        <v>40800</v>
      </c>
      <c r="L12" s="8">
        <f>+L55*'Proyeccion de Ventas'!$L$19</f>
        <v>40800</v>
      </c>
      <c r="M12" s="8">
        <f>+M55*'Proyeccion de Ventas'!$M$19</f>
        <v>40800</v>
      </c>
      <c r="N12" s="8">
        <f>+N55*'Proyeccion de Ventas'!$N$19</f>
        <v>40800</v>
      </c>
      <c r="O12" s="3"/>
    </row>
    <row r="13" spans="1:15" s="58" customFormat="1" ht="12.75">
      <c r="A13" s="7" t="s">
        <v>111</v>
      </c>
      <c r="B13" s="67"/>
      <c r="C13" s="8">
        <f t="shared" si="2"/>
        <v>18000</v>
      </c>
      <c r="D13" s="8">
        <f>+D56*'Proyeccion de Ventas'!$D$19</f>
        <v>0</v>
      </c>
      <c r="E13" s="8">
        <f>+E56*'Proyeccion de Ventas'!$E$19</f>
        <v>2800</v>
      </c>
      <c r="F13" s="8">
        <f>+F56*'Proyeccion de Ventas'!$F$19</f>
        <v>2800</v>
      </c>
      <c r="G13" s="8">
        <f>+G56*'Proyeccion de Ventas'!$G$19</f>
        <v>2800</v>
      </c>
      <c r="H13" s="8">
        <f>+H56*'Proyeccion de Ventas'!$H$19</f>
        <v>3200</v>
      </c>
      <c r="I13" s="8">
        <f>+I56*'Proyeccion de Ventas'!$I$19</f>
        <v>3200</v>
      </c>
      <c r="J13" s="8">
        <f>+J56*'Proyeccion de Ventas'!$J$19</f>
        <v>3200</v>
      </c>
      <c r="K13" s="8">
        <f>+K56*'Proyeccion de Ventas'!$K$19</f>
        <v>40800</v>
      </c>
      <c r="L13" s="8">
        <f>+L56*'Proyeccion de Ventas'!$L$19</f>
        <v>40800</v>
      </c>
      <c r="M13" s="8">
        <f>+M56*'Proyeccion de Ventas'!$M$19</f>
        <v>40800</v>
      </c>
      <c r="N13" s="8">
        <f>+N56*'Proyeccion de Ventas'!$N$19</f>
        <v>40800</v>
      </c>
      <c r="O13" s="3"/>
    </row>
    <row r="14" spans="1:15" s="58" customFormat="1" ht="12.75">
      <c r="A14" s="7" t="s">
        <v>112</v>
      </c>
      <c r="B14" s="67"/>
      <c r="C14" s="8">
        <f t="shared" si="2"/>
        <v>9000</v>
      </c>
      <c r="D14" s="8">
        <f>+D57*'Proyeccion de Ventas'!$D$19</f>
        <v>0</v>
      </c>
      <c r="E14" s="8">
        <f>+E57*'Proyeccion de Ventas'!$E$19</f>
        <v>1400</v>
      </c>
      <c r="F14" s="8">
        <f>+F57*'Proyeccion de Ventas'!$F$19</f>
        <v>1400</v>
      </c>
      <c r="G14" s="8">
        <f>+G57*'Proyeccion de Ventas'!$G$19</f>
        <v>1400</v>
      </c>
      <c r="H14" s="8">
        <f>+H57*'Proyeccion de Ventas'!$H$19</f>
        <v>1600</v>
      </c>
      <c r="I14" s="8">
        <f>+I57*'Proyeccion de Ventas'!$I$19</f>
        <v>1600</v>
      </c>
      <c r="J14" s="8">
        <f>+J57*'Proyeccion de Ventas'!$J$19</f>
        <v>1600</v>
      </c>
      <c r="K14" s="8">
        <f>+K57*'Proyeccion de Ventas'!$K$19</f>
        <v>20400</v>
      </c>
      <c r="L14" s="8">
        <f>+L57*'Proyeccion de Ventas'!$L$19</f>
        <v>20400</v>
      </c>
      <c r="M14" s="8">
        <f>+M57*'Proyeccion de Ventas'!$M$19</f>
        <v>20400</v>
      </c>
      <c r="N14" s="8">
        <f>+N57*'Proyeccion de Ventas'!$N$19</f>
        <v>20400</v>
      </c>
      <c r="O14" s="3"/>
    </row>
    <row r="15" spans="1:15" s="58" customFormat="1" ht="12.75">
      <c r="A15" s="7" t="s">
        <v>113</v>
      </c>
      <c r="B15" s="67"/>
      <c r="C15" s="8">
        <f t="shared" si="2"/>
        <v>13500</v>
      </c>
      <c r="D15" s="8">
        <f>+D58*'Proyeccion de Ventas'!$D$19</f>
        <v>0</v>
      </c>
      <c r="E15" s="8">
        <f>+E58*'Proyeccion de Ventas'!$E$19</f>
        <v>2100</v>
      </c>
      <c r="F15" s="8">
        <f>+F58*'Proyeccion de Ventas'!$F$19</f>
        <v>2100</v>
      </c>
      <c r="G15" s="8">
        <f>+G58*'Proyeccion de Ventas'!$G$19</f>
        <v>2100</v>
      </c>
      <c r="H15" s="8">
        <f>+H58*'Proyeccion de Ventas'!$H$19</f>
        <v>2400</v>
      </c>
      <c r="I15" s="8">
        <f>+I58*'Proyeccion de Ventas'!$I$19</f>
        <v>2400</v>
      </c>
      <c r="J15" s="8">
        <f>+J58*'Proyeccion de Ventas'!$J$19</f>
        <v>2400</v>
      </c>
      <c r="K15" s="8">
        <f>+K58*'Proyeccion de Ventas'!$K$19</f>
        <v>30600</v>
      </c>
      <c r="L15" s="8">
        <f>+L58*'Proyeccion de Ventas'!$L$19</f>
        <v>30600</v>
      </c>
      <c r="M15" s="8">
        <f>+M58*'Proyeccion de Ventas'!$M$19</f>
        <v>30600</v>
      </c>
      <c r="N15" s="8">
        <f>+N58*'Proyeccion de Ventas'!$N$19</f>
        <v>30600</v>
      </c>
      <c r="O15" s="3"/>
    </row>
    <row r="16" spans="1:15" s="58" customFormat="1" ht="12.75">
      <c r="A16" s="7" t="s">
        <v>114</v>
      </c>
      <c r="B16" s="67"/>
      <c r="C16" s="8">
        <f t="shared" si="2"/>
        <v>22500</v>
      </c>
      <c r="D16" s="8">
        <f>+D59*'Proyeccion de Ventas'!$D$19</f>
        <v>0</v>
      </c>
      <c r="E16" s="8">
        <f>+E59*'Proyeccion de Ventas'!$E$19</f>
        <v>3500</v>
      </c>
      <c r="F16" s="8">
        <f>+F59*'Proyeccion de Ventas'!$F$19</f>
        <v>3500</v>
      </c>
      <c r="G16" s="8">
        <f>+G59*'Proyeccion de Ventas'!$G$19</f>
        <v>3500</v>
      </c>
      <c r="H16" s="8">
        <f>+H59*'Proyeccion de Ventas'!$H$19</f>
        <v>4000</v>
      </c>
      <c r="I16" s="8">
        <f>+I59*'Proyeccion de Ventas'!$I$19</f>
        <v>4000</v>
      </c>
      <c r="J16" s="8">
        <f>+J59*'Proyeccion de Ventas'!$J$19</f>
        <v>4000</v>
      </c>
      <c r="K16" s="8">
        <f>+K59*'Proyeccion de Ventas'!$K$19</f>
        <v>51000</v>
      </c>
      <c r="L16" s="8">
        <f>+L59*'Proyeccion de Ventas'!$L$19</f>
        <v>51000</v>
      </c>
      <c r="M16" s="8">
        <f>+M59*'Proyeccion de Ventas'!$M$19</f>
        <v>51000</v>
      </c>
      <c r="N16" s="8">
        <f>+N59*'Proyeccion de Ventas'!$N$19</f>
        <v>51000</v>
      </c>
      <c r="O16" s="3"/>
    </row>
    <row r="17" spans="1:15" s="58" customFormat="1" ht="12.75">
      <c r="A17" s="7" t="s">
        <v>115</v>
      </c>
      <c r="B17" s="67"/>
      <c r="C17" s="8">
        <f>SUM(D18:J18)</f>
        <v>18000</v>
      </c>
      <c r="D17" s="8">
        <f>+D60*'Proyeccion de Ventas'!$D$19</f>
        <v>0</v>
      </c>
      <c r="E17" s="8">
        <f>+E60*'Proyeccion de Ventas'!$E$19</f>
        <v>2800</v>
      </c>
      <c r="F17" s="8">
        <f>+F60*'Proyeccion de Ventas'!$F$19</f>
        <v>2800</v>
      </c>
      <c r="G17" s="8">
        <f>+G60*'Proyeccion de Ventas'!$G$19</f>
        <v>2800</v>
      </c>
      <c r="H17" s="8">
        <f>+H60*'Proyeccion de Ventas'!$H$19</f>
        <v>3200</v>
      </c>
      <c r="I17" s="8">
        <f>+I60*'Proyeccion de Ventas'!$I$19</f>
        <v>3200</v>
      </c>
      <c r="J17" s="8">
        <f>+J60*'Proyeccion de Ventas'!$J$19</f>
        <v>3200</v>
      </c>
      <c r="K17" s="8">
        <f>+K60*'Proyeccion de Ventas'!$K$19</f>
        <v>40800</v>
      </c>
      <c r="L17" s="8">
        <f>+L60*'Proyeccion de Ventas'!$L$19</f>
        <v>40800</v>
      </c>
      <c r="M17" s="8">
        <f>+M60*'Proyeccion de Ventas'!$M$19</f>
        <v>40800</v>
      </c>
      <c r="N17" s="8">
        <f>+N60*'Proyeccion de Ventas'!$N$19</f>
        <v>40800</v>
      </c>
      <c r="O17" s="3"/>
    </row>
    <row r="18" spans="1:15" s="58" customFormat="1" ht="12.75">
      <c r="A18" s="7" t="s">
        <v>116</v>
      </c>
      <c r="B18" s="67"/>
      <c r="C18" s="8">
        <f aca="true" t="shared" si="3" ref="C18:C32">SUM(D18:J18)</f>
        <v>18000</v>
      </c>
      <c r="D18" s="8">
        <f>+D61*'Proyeccion de Ventas'!$D$19</f>
        <v>0</v>
      </c>
      <c r="E18" s="8">
        <f>+E61*'Proyeccion de Ventas'!$E$19</f>
        <v>2800</v>
      </c>
      <c r="F18" s="8">
        <f>+F61*'Proyeccion de Ventas'!$F$19</f>
        <v>2800</v>
      </c>
      <c r="G18" s="8">
        <f>+G61*'Proyeccion de Ventas'!$G$19</f>
        <v>2800</v>
      </c>
      <c r="H18" s="8">
        <f>+H61*'Proyeccion de Ventas'!$H$19</f>
        <v>3200</v>
      </c>
      <c r="I18" s="8">
        <f>+I61*'Proyeccion de Ventas'!$I$19</f>
        <v>3200</v>
      </c>
      <c r="J18" s="8">
        <f>+J61*'Proyeccion de Ventas'!$J$19</f>
        <v>3200</v>
      </c>
      <c r="K18" s="8">
        <f>+K61*'Proyeccion de Ventas'!$K$19</f>
        <v>40800</v>
      </c>
      <c r="L18" s="8">
        <f>+L61*'Proyeccion de Ventas'!$L$19</f>
        <v>40800</v>
      </c>
      <c r="M18" s="8">
        <f>+M61*'Proyeccion de Ventas'!$M$19</f>
        <v>40800</v>
      </c>
      <c r="N18" s="8">
        <f>+N61*'Proyeccion de Ventas'!$N$19</f>
        <v>40800</v>
      </c>
      <c r="O18" s="3"/>
    </row>
    <row r="19" spans="1:15" s="58" customFormat="1" ht="12.75">
      <c r="A19" s="7" t="s">
        <v>117</v>
      </c>
      <c r="B19" s="67"/>
      <c r="C19" s="8">
        <f t="shared" si="3"/>
        <v>9000</v>
      </c>
      <c r="D19" s="8">
        <f>+D62*'Proyeccion de Ventas'!$D$19</f>
        <v>0</v>
      </c>
      <c r="E19" s="8">
        <f>+E62*'Proyeccion de Ventas'!$E$19</f>
        <v>1400</v>
      </c>
      <c r="F19" s="8">
        <f>+F62*'Proyeccion de Ventas'!$F$19</f>
        <v>1400</v>
      </c>
      <c r="G19" s="8">
        <f>+G62*'Proyeccion de Ventas'!$G$19</f>
        <v>1400</v>
      </c>
      <c r="H19" s="8">
        <f>+H62*'Proyeccion de Ventas'!$H$19</f>
        <v>1600</v>
      </c>
      <c r="I19" s="8">
        <f>+I62*'Proyeccion de Ventas'!$I$19</f>
        <v>1600</v>
      </c>
      <c r="J19" s="8">
        <f>+J62*'Proyeccion de Ventas'!$J$19</f>
        <v>1600</v>
      </c>
      <c r="K19" s="8">
        <f>+K62*'Proyeccion de Ventas'!$K$19</f>
        <v>20400</v>
      </c>
      <c r="L19" s="8">
        <f>+L62*'Proyeccion de Ventas'!$L$19</f>
        <v>20400</v>
      </c>
      <c r="M19" s="8">
        <f>+M62*'Proyeccion de Ventas'!$M$19</f>
        <v>20400</v>
      </c>
      <c r="N19" s="8">
        <f>+N62*'Proyeccion de Ventas'!$N$19</f>
        <v>20400</v>
      </c>
      <c r="O19" s="3"/>
    </row>
    <row r="20" spans="1:15" s="58" customFormat="1" ht="12.75">
      <c r="A20" s="7" t="s">
        <v>118</v>
      </c>
      <c r="B20" s="67"/>
      <c r="C20" s="8">
        <f t="shared" si="3"/>
        <v>0</v>
      </c>
      <c r="D20" s="8">
        <f>+D63*'Proyeccion de Ventas'!$D$19</f>
        <v>0</v>
      </c>
      <c r="E20" s="8">
        <f>+E63*'Proyeccion de Ventas'!$E$19</f>
        <v>0</v>
      </c>
      <c r="F20" s="8">
        <f>+F63*'Proyeccion de Ventas'!$F$19</f>
        <v>0</v>
      </c>
      <c r="G20" s="8">
        <f>+G63*'Proyeccion de Ventas'!$G$19</f>
        <v>0</v>
      </c>
      <c r="H20" s="8">
        <f>+H63*'Proyeccion de Ventas'!$H$19</f>
        <v>0</v>
      </c>
      <c r="I20" s="8">
        <f>+I63*'Proyeccion de Ventas'!$I$19</f>
        <v>0</v>
      </c>
      <c r="J20" s="8">
        <f>+J63*'Proyeccion de Ventas'!$J$19</f>
        <v>0</v>
      </c>
      <c r="K20" s="8">
        <f>+K63*'Proyeccion de Ventas'!$K$19</f>
        <v>0</v>
      </c>
      <c r="L20" s="8">
        <f>+L63*'Proyeccion de Ventas'!$L$19</f>
        <v>0</v>
      </c>
      <c r="M20" s="8">
        <f>+M63*'Proyeccion de Ventas'!$M$19</f>
        <v>0</v>
      </c>
      <c r="N20" s="8">
        <f>+N63*'Proyeccion de Ventas'!$N$19</f>
        <v>0</v>
      </c>
      <c r="O20" s="3"/>
    </row>
    <row r="21" spans="1:15" s="58" customFormat="1" ht="12.75">
      <c r="A21" s="7" t="s">
        <v>119</v>
      </c>
      <c r="B21" s="67"/>
      <c r="C21" s="8">
        <f t="shared" si="3"/>
        <v>22500</v>
      </c>
      <c r="D21" s="8">
        <f>+D64*'Proyeccion de Ventas'!$D$19</f>
        <v>0</v>
      </c>
      <c r="E21" s="8">
        <f>+E64*'Proyeccion de Ventas'!$E$19</f>
        <v>3500</v>
      </c>
      <c r="F21" s="8">
        <f>+F64*'Proyeccion de Ventas'!$F$19</f>
        <v>3500</v>
      </c>
      <c r="G21" s="8">
        <f>+G64*'Proyeccion de Ventas'!$G$19</f>
        <v>3500</v>
      </c>
      <c r="H21" s="8">
        <f>+H64*'Proyeccion de Ventas'!$H$19</f>
        <v>4000</v>
      </c>
      <c r="I21" s="8">
        <f>+I64*'Proyeccion de Ventas'!$I$19</f>
        <v>4000</v>
      </c>
      <c r="J21" s="8">
        <f>+J64*'Proyeccion de Ventas'!$J$19</f>
        <v>4000</v>
      </c>
      <c r="K21" s="8">
        <f>+K64*'Proyeccion de Ventas'!$K$19</f>
        <v>51000</v>
      </c>
      <c r="L21" s="8">
        <f>+L64*'Proyeccion de Ventas'!$L$19</f>
        <v>51000</v>
      </c>
      <c r="M21" s="8">
        <f>+M64*'Proyeccion de Ventas'!$M$19</f>
        <v>51000</v>
      </c>
      <c r="N21" s="8">
        <f>+N64*'Proyeccion de Ventas'!$N$19</f>
        <v>51000</v>
      </c>
      <c r="O21" s="3"/>
    </row>
    <row r="22" spans="1:15" s="58" customFormat="1" ht="12.75">
      <c r="A22" s="7" t="s">
        <v>120</v>
      </c>
      <c r="B22" s="67"/>
      <c r="C22" s="8">
        <f t="shared" si="3"/>
        <v>9000</v>
      </c>
      <c r="D22" s="8">
        <f>+D65*'Proyeccion de Ventas'!$D$19</f>
        <v>0</v>
      </c>
      <c r="E22" s="8">
        <f>+E65*'Proyeccion de Ventas'!$E$19</f>
        <v>1400</v>
      </c>
      <c r="F22" s="8">
        <f>+F65*'Proyeccion de Ventas'!$F$19</f>
        <v>1400</v>
      </c>
      <c r="G22" s="8">
        <f>+G65*'Proyeccion de Ventas'!$G$19</f>
        <v>1400</v>
      </c>
      <c r="H22" s="8">
        <f>+H65*'Proyeccion de Ventas'!$H$19</f>
        <v>1600</v>
      </c>
      <c r="I22" s="8">
        <f>+I65*'Proyeccion de Ventas'!$I$19</f>
        <v>1600</v>
      </c>
      <c r="J22" s="8">
        <f>+J65*'Proyeccion de Ventas'!$J$19</f>
        <v>1600</v>
      </c>
      <c r="K22" s="8">
        <f>+K65*'Proyeccion de Ventas'!$K$19</f>
        <v>20400</v>
      </c>
      <c r="L22" s="8">
        <f>+L65*'Proyeccion de Ventas'!$L$19</f>
        <v>20400</v>
      </c>
      <c r="M22" s="8">
        <f>+M65*'Proyeccion de Ventas'!$M$19</f>
        <v>20400</v>
      </c>
      <c r="N22" s="8">
        <f>+N65*'Proyeccion de Ventas'!$N$19</f>
        <v>20400</v>
      </c>
      <c r="O22" s="3"/>
    </row>
    <row r="23" spans="1:15" s="58" customFormat="1" ht="12.75">
      <c r="A23" s="7" t="s">
        <v>121</v>
      </c>
      <c r="B23" s="67"/>
      <c r="C23" s="8">
        <f t="shared" si="3"/>
        <v>18000</v>
      </c>
      <c r="D23" s="8">
        <f>+D66*'Proyeccion de Ventas'!$D$19</f>
        <v>0</v>
      </c>
      <c r="E23" s="8">
        <f>+E66*'Proyeccion de Ventas'!$E$19</f>
        <v>2800</v>
      </c>
      <c r="F23" s="8">
        <f>+F66*'Proyeccion de Ventas'!$F$19</f>
        <v>2800</v>
      </c>
      <c r="G23" s="8">
        <f>+G66*'Proyeccion de Ventas'!$G$19</f>
        <v>2800</v>
      </c>
      <c r="H23" s="8">
        <f>+H66*'Proyeccion de Ventas'!$H$19</f>
        <v>3200</v>
      </c>
      <c r="I23" s="8">
        <f>+I66*'Proyeccion de Ventas'!$I$19</f>
        <v>3200</v>
      </c>
      <c r="J23" s="8">
        <f>+J66*'Proyeccion de Ventas'!$J$19</f>
        <v>3200</v>
      </c>
      <c r="K23" s="8">
        <f>+K66*'Proyeccion de Ventas'!$K$19</f>
        <v>40800</v>
      </c>
      <c r="L23" s="8">
        <f>+L66*'Proyeccion de Ventas'!$L$19</f>
        <v>40800</v>
      </c>
      <c r="M23" s="8">
        <f>+M66*'Proyeccion de Ventas'!$M$19</f>
        <v>40800</v>
      </c>
      <c r="N23" s="8">
        <f>+N66*'Proyeccion de Ventas'!$N$19</f>
        <v>40800</v>
      </c>
      <c r="O23" s="3"/>
    </row>
    <row r="24" spans="1:15" s="58" customFormat="1" ht="12.75">
      <c r="A24" s="7" t="s">
        <v>122</v>
      </c>
      <c r="B24" s="67"/>
      <c r="C24" s="8">
        <f t="shared" si="3"/>
        <v>22500</v>
      </c>
      <c r="D24" s="8">
        <f>+D67*'Proyeccion de Ventas'!$D$19</f>
        <v>0</v>
      </c>
      <c r="E24" s="8">
        <f>+E67*'Proyeccion de Ventas'!$E$19</f>
        <v>3500</v>
      </c>
      <c r="F24" s="8">
        <f>+F67*'Proyeccion de Ventas'!$F$19</f>
        <v>3500</v>
      </c>
      <c r="G24" s="8">
        <f>+G67*'Proyeccion de Ventas'!$G$19</f>
        <v>3500</v>
      </c>
      <c r="H24" s="8">
        <f>+H67*'Proyeccion de Ventas'!$H$19</f>
        <v>4000</v>
      </c>
      <c r="I24" s="8">
        <f>+I67*'Proyeccion de Ventas'!$I$19</f>
        <v>4000</v>
      </c>
      <c r="J24" s="8">
        <f>+J67*'Proyeccion de Ventas'!$J$19</f>
        <v>4000</v>
      </c>
      <c r="K24" s="8">
        <f>+K67*'Proyeccion de Ventas'!$K$19</f>
        <v>51000</v>
      </c>
      <c r="L24" s="8">
        <f>+L67*'Proyeccion de Ventas'!$L$19</f>
        <v>51000</v>
      </c>
      <c r="M24" s="8">
        <f>+M67*'Proyeccion de Ventas'!$M$19</f>
        <v>51000</v>
      </c>
      <c r="N24" s="8">
        <f>+N67*'Proyeccion de Ventas'!$N$19</f>
        <v>51000</v>
      </c>
      <c r="O24" s="3"/>
    </row>
    <row r="25" spans="1:15" s="58" customFormat="1" ht="12.75">
      <c r="A25" s="7" t="s">
        <v>123</v>
      </c>
      <c r="B25" s="67"/>
      <c r="C25" s="8">
        <f t="shared" si="3"/>
        <v>9000</v>
      </c>
      <c r="D25" s="8">
        <f>+D68*'Proyeccion de Ventas'!$D$19</f>
        <v>0</v>
      </c>
      <c r="E25" s="8">
        <f>+E68*'Proyeccion de Ventas'!$E$19</f>
        <v>1400</v>
      </c>
      <c r="F25" s="8">
        <f>+F68*'Proyeccion de Ventas'!$F$19</f>
        <v>1400</v>
      </c>
      <c r="G25" s="8">
        <f>+G68*'Proyeccion de Ventas'!$G$19</f>
        <v>1400</v>
      </c>
      <c r="H25" s="8">
        <f>+H68*'Proyeccion de Ventas'!$H$19</f>
        <v>1600</v>
      </c>
      <c r="I25" s="8">
        <f>+I68*'Proyeccion de Ventas'!$I$19</f>
        <v>1600</v>
      </c>
      <c r="J25" s="8">
        <f>+J68*'Proyeccion de Ventas'!$J$19</f>
        <v>1600</v>
      </c>
      <c r="K25" s="8">
        <f>+K68*'Proyeccion de Ventas'!$K$19</f>
        <v>20400</v>
      </c>
      <c r="L25" s="8">
        <f>+L68*'Proyeccion de Ventas'!$L$19</f>
        <v>20400</v>
      </c>
      <c r="M25" s="8">
        <f>+M68*'Proyeccion de Ventas'!$M$19</f>
        <v>20400</v>
      </c>
      <c r="N25" s="8">
        <f>+N68*'Proyeccion de Ventas'!$N$19</f>
        <v>20400</v>
      </c>
      <c r="O25" s="3"/>
    </row>
    <row r="26" spans="1:15" s="58" customFormat="1" ht="12.75">
      <c r="A26" s="7" t="s">
        <v>124</v>
      </c>
      <c r="B26" s="67"/>
      <c r="C26" s="8">
        <f t="shared" si="3"/>
        <v>9000</v>
      </c>
      <c r="D26" s="8">
        <f>+D69*'Proyeccion de Ventas'!$D$19</f>
        <v>0</v>
      </c>
      <c r="E26" s="8">
        <f>+E69*'Proyeccion de Ventas'!$E$19</f>
        <v>1400</v>
      </c>
      <c r="F26" s="8">
        <f>+F69*'Proyeccion de Ventas'!$F$19</f>
        <v>1400</v>
      </c>
      <c r="G26" s="8">
        <f>+G69*'Proyeccion de Ventas'!$G$19</f>
        <v>1400</v>
      </c>
      <c r="H26" s="8">
        <f>+H69*'Proyeccion de Ventas'!$H$19</f>
        <v>1600</v>
      </c>
      <c r="I26" s="8">
        <f>+I69*'Proyeccion de Ventas'!$I$19</f>
        <v>1600</v>
      </c>
      <c r="J26" s="8">
        <f>+J69*'Proyeccion de Ventas'!$J$19</f>
        <v>1600</v>
      </c>
      <c r="K26" s="8">
        <f>+K69*'Proyeccion de Ventas'!$K$19</f>
        <v>20400</v>
      </c>
      <c r="L26" s="8">
        <f>+L69*'Proyeccion de Ventas'!$L$19</f>
        <v>20400</v>
      </c>
      <c r="M26" s="8">
        <f>+M69*'Proyeccion de Ventas'!$M$19</f>
        <v>20400</v>
      </c>
      <c r="N26" s="8">
        <f>+N69*'Proyeccion de Ventas'!$N$19</f>
        <v>20400</v>
      </c>
      <c r="O26" s="3"/>
    </row>
    <row r="27" spans="1:15" s="58" customFormat="1" ht="12.75">
      <c r="A27" s="7" t="s">
        <v>125</v>
      </c>
      <c r="B27" s="67"/>
      <c r="C27" s="8">
        <f t="shared" si="3"/>
        <v>4500</v>
      </c>
      <c r="D27" s="8">
        <f>+D70*'Proyeccion de Ventas'!$D$19</f>
        <v>0</v>
      </c>
      <c r="E27" s="8">
        <f>+E70*'Proyeccion de Ventas'!$E$19</f>
        <v>700</v>
      </c>
      <c r="F27" s="8">
        <f>+F70*'Proyeccion de Ventas'!$F$19</f>
        <v>700</v>
      </c>
      <c r="G27" s="8">
        <f>+G70*'Proyeccion de Ventas'!$G$19</f>
        <v>700</v>
      </c>
      <c r="H27" s="8">
        <f>+H70*'Proyeccion de Ventas'!$H$19</f>
        <v>800</v>
      </c>
      <c r="I27" s="8">
        <f>+I70*'Proyeccion de Ventas'!$I$19</f>
        <v>800</v>
      </c>
      <c r="J27" s="8">
        <f>+J70*'Proyeccion de Ventas'!$J$19</f>
        <v>800</v>
      </c>
      <c r="K27" s="8">
        <f>+K70*'Proyeccion de Ventas'!$K$19</f>
        <v>10200</v>
      </c>
      <c r="L27" s="8">
        <f>+L70*'Proyeccion de Ventas'!$L$19</f>
        <v>10200</v>
      </c>
      <c r="M27" s="8">
        <f>+M70*'Proyeccion de Ventas'!$M$19</f>
        <v>10200</v>
      </c>
      <c r="N27" s="8">
        <f>+N70*'Proyeccion de Ventas'!$N$19</f>
        <v>10200</v>
      </c>
      <c r="O27" s="3"/>
    </row>
    <row r="28" spans="1:15" s="58" customFormat="1" ht="12.75">
      <c r="A28" s="7" t="s">
        <v>126</v>
      </c>
      <c r="B28" s="67"/>
      <c r="C28" s="8">
        <f t="shared" si="3"/>
        <v>4500</v>
      </c>
      <c r="D28" s="8">
        <f>+D71*'Proyeccion de Ventas'!$D$19</f>
        <v>0</v>
      </c>
      <c r="E28" s="8">
        <f>+E71*'Proyeccion de Ventas'!$E$19</f>
        <v>700</v>
      </c>
      <c r="F28" s="8">
        <f>+F71*'Proyeccion de Ventas'!$F$19</f>
        <v>700</v>
      </c>
      <c r="G28" s="8">
        <f>+G71*'Proyeccion de Ventas'!$G$19</f>
        <v>700</v>
      </c>
      <c r="H28" s="8">
        <f>+H71*'Proyeccion de Ventas'!$H$19</f>
        <v>800</v>
      </c>
      <c r="I28" s="8">
        <f>+I71*'Proyeccion de Ventas'!$I$19</f>
        <v>800</v>
      </c>
      <c r="J28" s="8">
        <f>+J71*'Proyeccion de Ventas'!$J$19</f>
        <v>800</v>
      </c>
      <c r="K28" s="8">
        <f>+K71*'Proyeccion de Ventas'!$K$19</f>
        <v>10200</v>
      </c>
      <c r="L28" s="8">
        <f>+L71*'Proyeccion de Ventas'!$L$19</f>
        <v>10200</v>
      </c>
      <c r="M28" s="8">
        <f>+M71*'Proyeccion de Ventas'!$M$19</f>
        <v>10200</v>
      </c>
      <c r="N28" s="8">
        <f>+N71*'Proyeccion de Ventas'!$N$19</f>
        <v>10200</v>
      </c>
      <c r="O28" s="3"/>
    </row>
    <row r="29" spans="1:15" s="58" customFormat="1" ht="12.75">
      <c r="A29" s="7" t="s">
        <v>127</v>
      </c>
      <c r="B29" s="67"/>
      <c r="C29" s="8">
        <f t="shared" si="3"/>
        <v>4500</v>
      </c>
      <c r="D29" s="8">
        <f>+D72*'Proyeccion de Ventas'!$D$19</f>
        <v>0</v>
      </c>
      <c r="E29" s="8">
        <f>+E72*'Proyeccion de Ventas'!$E$19</f>
        <v>700</v>
      </c>
      <c r="F29" s="8">
        <f>+F72*'Proyeccion de Ventas'!$F$19</f>
        <v>700</v>
      </c>
      <c r="G29" s="8">
        <f>+G72*'Proyeccion de Ventas'!$G$19</f>
        <v>700</v>
      </c>
      <c r="H29" s="8">
        <f>+H72*'Proyeccion de Ventas'!$H$19</f>
        <v>800</v>
      </c>
      <c r="I29" s="8">
        <f>+I72*'Proyeccion de Ventas'!$I$19</f>
        <v>800</v>
      </c>
      <c r="J29" s="8">
        <f>+J72*'Proyeccion de Ventas'!$J$19</f>
        <v>800</v>
      </c>
      <c r="K29" s="8">
        <f>+K72*'Proyeccion de Ventas'!$K$19</f>
        <v>10200</v>
      </c>
      <c r="L29" s="8">
        <f>+L72*'Proyeccion de Ventas'!$L$19</f>
        <v>10200</v>
      </c>
      <c r="M29" s="8">
        <f>+M72*'Proyeccion de Ventas'!$M$19</f>
        <v>10200</v>
      </c>
      <c r="N29" s="8">
        <f>+N72*'Proyeccion de Ventas'!$N$19</f>
        <v>10200</v>
      </c>
      <c r="O29" s="3"/>
    </row>
    <row r="30" spans="1:15" s="58" customFormat="1" ht="12.75">
      <c r="A30" s="7" t="s">
        <v>128</v>
      </c>
      <c r="B30" s="67"/>
      <c r="C30" s="8">
        <f t="shared" si="3"/>
        <v>0</v>
      </c>
      <c r="D30" s="8">
        <f>+D73*'Proyeccion de Ventas'!$D$19</f>
        <v>0</v>
      </c>
      <c r="E30" s="8">
        <f>+E73*'Proyeccion de Ventas'!$E$19</f>
        <v>0</v>
      </c>
      <c r="F30" s="8">
        <f>+F73*'Proyeccion de Ventas'!$F$19</f>
        <v>0</v>
      </c>
      <c r="G30" s="8">
        <f>+G73*'Proyeccion de Ventas'!$G$19</f>
        <v>0</v>
      </c>
      <c r="H30" s="8">
        <f>+H73*'Proyeccion de Ventas'!$H$19</f>
        <v>0</v>
      </c>
      <c r="I30" s="8">
        <f>+I73*'Proyeccion de Ventas'!$I$19</f>
        <v>0</v>
      </c>
      <c r="J30" s="8">
        <f>+J73*'Proyeccion de Ventas'!$J$19</f>
        <v>0</v>
      </c>
      <c r="K30" s="8">
        <f>+K73*'Proyeccion de Ventas'!$K$19</f>
        <v>0</v>
      </c>
      <c r="L30" s="8">
        <f>+L73*'Proyeccion de Ventas'!$L$19</f>
        <v>0</v>
      </c>
      <c r="M30" s="8">
        <f>+M73*'Proyeccion de Ventas'!$M$19</f>
        <v>0</v>
      </c>
      <c r="N30" s="8">
        <f>+N73*'Proyeccion de Ventas'!$N$19</f>
        <v>0</v>
      </c>
      <c r="O30" s="3"/>
    </row>
    <row r="31" spans="1:15" s="58" customFormat="1" ht="12.75">
      <c r="A31" s="7" t="s">
        <v>129</v>
      </c>
      <c r="B31" s="67"/>
      <c r="C31" s="8">
        <f t="shared" si="3"/>
        <v>4500</v>
      </c>
      <c r="D31" s="8">
        <f>+D74*'Proyeccion de Ventas'!$D$19</f>
        <v>0</v>
      </c>
      <c r="E31" s="8">
        <f>+E74*'Proyeccion de Ventas'!$E$19</f>
        <v>700</v>
      </c>
      <c r="F31" s="8">
        <f>+F74*'Proyeccion de Ventas'!$F$19</f>
        <v>700</v>
      </c>
      <c r="G31" s="8">
        <f>+G74*'Proyeccion de Ventas'!$G$19</f>
        <v>700</v>
      </c>
      <c r="H31" s="8">
        <f>+H74*'Proyeccion de Ventas'!$H$19</f>
        <v>800</v>
      </c>
      <c r="I31" s="8">
        <f>+I74*'Proyeccion de Ventas'!$I$19</f>
        <v>800</v>
      </c>
      <c r="J31" s="8">
        <f>+J74*'Proyeccion de Ventas'!$J$19</f>
        <v>800</v>
      </c>
      <c r="K31" s="8">
        <f>+K74*'Proyeccion de Ventas'!$K$19</f>
        <v>10200</v>
      </c>
      <c r="L31" s="8">
        <f>+L74*'Proyeccion de Ventas'!$L$19</f>
        <v>10200</v>
      </c>
      <c r="M31" s="8">
        <f>+M74*'Proyeccion de Ventas'!$M$19</f>
        <v>10200</v>
      </c>
      <c r="N31" s="8">
        <f>+N74*'Proyeccion de Ventas'!$N$19</f>
        <v>10200</v>
      </c>
      <c r="O31" s="3"/>
    </row>
    <row r="32" spans="1:15" s="58" customFormat="1" ht="12.75">
      <c r="A32" s="7" t="s">
        <v>130</v>
      </c>
      <c r="B32" s="67"/>
      <c r="C32" s="8">
        <f t="shared" si="3"/>
        <v>0</v>
      </c>
      <c r="D32" s="8">
        <f>+D75*'Proyeccion de Ventas'!$D$19</f>
        <v>0</v>
      </c>
      <c r="E32" s="8">
        <f>+E75*'Proyeccion de Ventas'!$E$19</f>
        <v>0</v>
      </c>
      <c r="F32" s="8">
        <f>+F75*'Proyeccion de Ventas'!$F$19</f>
        <v>0</v>
      </c>
      <c r="G32" s="8">
        <f>+G75*'Proyeccion de Ventas'!$G$19</f>
        <v>0</v>
      </c>
      <c r="H32" s="8">
        <f>+H75*'Proyeccion de Ventas'!$H$19</f>
        <v>0</v>
      </c>
      <c r="I32" s="8">
        <f>+I75*'Proyeccion de Ventas'!$I$19</f>
        <v>0</v>
      </c>
      <c r="J32" s="8">
        <f>+J75*'Proyeccion de Ventas'!$J$19</f>
        <v>0</v>
      </c>
      <c r="K32" s="8">
        <f>+K75*'Proyeccion de Ventas'!$K$19</f>
        <v>0</v>
      </c>
      <c r="L32" s="8">
        <f>+L75*'Proyeccion de Ventas'!$L$19</f>
        <v>0</v>
      </c>
      <c r="M32" s="8">
        <f>+M75*'Proyeccion de Ventas'!$M$19</f>
        <v>0</v>
      </c>
      <c r="N32" s="8">
        <f>+N75*'Proyeccion de Ventas'!$N$19</f>
        <v>0</v>
      </c>
      <c r="O32" s="3"/>
    </row>
    <row r="33" spans="1:15" s="58" customFormat="1" ht="12.75">
      <c r="A33" s="10"/>
      <c r="B33" s="7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"/>
    </row>
    <row r="34" spans="1:15" s="1" customFormat="1" ht="12.75">
      <c r="A34" s="89" t="s">
        <v>218</v>
      </c>
      <c r="B34" s="90"/>
      <c r="C34" s="91">
        <f>SUM(C35:C43)</f>
        <v>247500</v>
      </c>
      <c r="D34" s="91">
        <f aca="true" t="shared" si="4" ref="D34:N34">SUM(D35:D43)</f>
        <v>0</v>
      </c>
      <c r="E34" s="91">
        <f t="shared" si="4"/>
        <v>38500</v>
      </c>
      <c r="F34" s="91">
        <f t="shared" si="4"/>
        <v>38500</v>
      </c>
      <c r="G34" s="91">
        <f t="shared" si="4"/>
        <v>38500</v>
      </c>
      <c r="H34" s="91">
        <f t="shared" si="4"/>
        <v>44000</v>
      </c>
      <c r="I34" s="91">
        <f t="shared" si="4"/>
        <v>44000</v>
      </c>
      <c r="J34" s="91">
        <f t="shared" si="4"/>
        <v>44000</v>
      </c>
      <c r="K34" s="91">
        <f t="shared" si="4"/>
        <v>561000</v>
      </c>
      <c r="L34" s="91">
        <f t="shared" si="4"/>
        <v>561000</v>
      </c>
      <c r="M34" s="91">
        <f t="shared" si="4"/>
        <v>561000</v>
      </c>
      <c r="N34" s="91">
        <f t="shared" si="4"/>
        <v>561000</v>
      </c>
      <c r="O34" s="65"/>
    </row>
    <row r="35" spans="1:15" s="58" customFormat="1" ht="12.75">
      <c r="A35" s="7" t="s">
        <v>131</v>
      </c>
      <c r="B35" s="67"/>
      <c r="C35" s="8">
        <f aca="true" t="shared" si="5" ref="C35:C43">SUM(D35:J35)</f>
        <v>117000</v>
      </c>
      <c r="D35" s="8">
        <f>+D78*'Proyeccion de Ventas'!$D$19</f>
        <v>0</v>
      </c>
      <c r="E35" s="8">
        <f>+E78*'Proyeccion de Ventas'!$E$19</f>
        <v>18200</v>
      </c>
      <c r="F35" s="8">
        <f>+F78*'Proyeccion de Ventas'!$F$19</f>
        <v>18200</v>
      </c>
      <c r="G35" s="8">
        <f>+G78*'Proyeccion de Ventas'!$G$19</f>
        <v>18200</v>
      </c>
      <c r="H35" s="8">
        <f>+H78*'Proyeccion de Ventas'!$H$19</f>
        <v>20800</v>
      </c>
      <c r="I35" s="8">
        <f>+I78*'Proyeccion de Ventas'!$I$19</f>
        <v>20800</v>
      </c>
      <c r="J35" s="8">
        <f>+J78*'Proyeccion de Ventas'!$J$19</f>
        <v>20800</v>
      </c>
      <c r="K35" s="8">
        <f>+K78*'Proyeccion de Ventas'!$K$19</f>
        <v>265200</v>
      </c>
      <c r="L35" s="8">
        <f>+L78*'Proyeccion de Ventas'!$L$19</f>
        <v>265200</v>
      </c>
      <c r="M35" s="8">
        <f>+M78*'Proyeccion de Ventas'!$M$19</f>
        <v>265200</v>
      </c>
      <c r="N35" s="8">
        <f>+N78*'Proyeccion de Ventas'!$N$19</f>
        <v>265200</v>
      </c>
      <c r="O35" s="3"/>
    </row>
    <row r="36" spans="1:15" s="58" customFormat="1" ht="12.75">
      <c r="A36" s="7" t="s">
        <v>132</v>
      </c>
      <c r="B36" s="67"/>
      <c r="C36" s="8">
        <f t="shared" si="5"/>
        <v>22500</v>
      </c>
      <c r="D36" s="8">
        <f>+D79*'Proyeccion de Ventas'!$D$19</f>
        <v>0</v>
      </c>
      <c r="E36" s="8">
        <f>+E79*'Proyeccion de Ventas'!$E$19</f>
        <v>3500</v>
      </c>
      <c r="F36" s="8">
        <f>+F79*'Proyeccion de Ventas'!$F$19</f>
        <v>3500</v>
      </c>
      <c r="G36" s="8">
        <f>+G79*'Proyeccion de Ventas'!$G$19</f>
        <v>3500</v>
      </c>
      <c r="H36" s="8">
        <f>+H79*'Proyeccion de Ventas'!$H$19</f>
        <v>4000</v>
      </c>
      <c r="I36" s="8">
        <f>+I79*'Proyeccion de Ventas'!$I$19</f>
        <v>4000</v>
      </c>
      <c r="J36" s="8">
        <f>+J79*'Proyeccion de Ventas'!$J$19</f>
        <v>4000</v>
      </c>
      <c r="K36" s="8">
        <f>+K79*'Proyeccion de Ventas'!$K$19</f>
        <v>51000</v>
      </c>
      <c r="L36" s="8">
        <f>+L79*'Proyeccion de Ventas'!$L$19</f>
        <v>51000</v>
      </c>
      <c r="M36" s="8">
        <f>+M79*'Proyeccion de Ventas'!$M$19</f>
        <v>51000</v>
      </c>
      <c r="N36" s="8">
        <f>+N79*'Proyeccion de Ventas'!$N$19</f>
        <v>51000</v>
      </c>
      <c r="O36" s="3"/>
    </row>
    <row r="37" spans="1:15" s="58" customFormat="1" ht="12.75">
      <c r="A37" s="7" t="s">
        <v>133</v>
      </c>
      <c r="B37" s="67"/>
      <c r="C37" s="8">
        <f t="shared" si="5"/>
        <v>4500</v>
      </c>
      <c r="D37" s="8">
        <f>+D80*'Proyeccion de Ventas'!$D$19</f>
        <v>0</v>
      </c>
      <c r="E37" s="8">
        <f>+E80*'Proyeccion de Ventas'!$E$19</f>
        <v>700</v>
      </c>
      <c r="F37" s="8">
        <f>+F80*'Proyeccion de Ventas'!$F$19</f>
        <v>700</v>
      </c>
      <c r="G37" s="8">
        <f>+G80*'Proyeccion de Ventas'!$G$19</f>
        <v>700</v>
      </c>
      <c r="H37" s="8">
        <f>+H80*'Proyeccion de Ventas'!$H$19</f>
        <v>800</v>
      </c>
      <c r="I37" s="8">
        <f>+I80*'Proyeccion de Ventas'!$I$19</f>
        <v>800</v>
      </c>
      <c r="J37" s="8">
        <f>+J80*'Proyeccion de Ventas'!$J$19</f>
        <v>800</v>
      </c>
      <c r="K37" s="8">
        <f>+K80*'Proyeccion de Ventas'!$K$19</f>
        <v>10200</v>
      </c>
      <c r="L37" s="8">
        <f>+L80*'Proyeccion de Ventas'!$L$19</f>
        <v>10200</v>
      </c>
      <c r="M37" s="8">
        <f>+M80*'Proyeccion de Ventas'!$M$19</f>
        <v>10200</v>
      </c>
      <c r="N37" s="8">
        <f>+N80*'Proyeccion de Ventas'!$N$19</f>
        <v>10200</v>
      </c>
      <c r="O37" s="3"/>
    </row>
    <row r="38" spans="1:15" s="58" customFormat="1" ht="12.75">
      <c r="A38" s="7" t="s">
        <v>134</v>
      </c>
      <c r="B38" s="67"/>
      <c r="C38" s="8">
        <f t="shared" si="5"/>
        <v>22500</v>
      </c>
      <c r="D38" s="8">
        <f>+D81*'Proyeccion de Ventas'!$D$19</f>
        <v>0</v>
      </c>
      <c r="E38" s="8">
        <f>+E81*'Proyeccion de Ventas'!$E$19</f>
        <v>3500</v>
      </c>
      <c r="F38" s="8">
        <f>+F81*'Proyeccion de Ventas'!$F$19</f>
        <v>3500</v>
      </c>
      <c r="G38" s="8">
        <f>+G81*'Proyeccion de Ventas'!$G$19</f>
        <v>3500</v>
      </c>
      <c r="H38" s="8">
        <f>+H81*'Proyeccion de Ventas'!$H$19</f>
        <v>4000</v>
      </c>
      <c r="I38" s="8">
        <f>+I81*'Proyeccion de Ventas'!$I$19</f>
        <v>4000</v>
      </c>
      <c r="J38" s="8">
        <f>+J81*'Proyeccion de Ventas'!$J$19</f>
        <v>4000</v>
      </c>
      <c r="K38" s="8">
        <f>+K81*'Proyeccion de Ventas'!$K$19</f>
        <v>51000</v>
      </c>
      <c r="L38" s="8">
        <f>+L81*'Proyeccion de Ventas'!$L$19</f>
        <v>51000</v>
      </c>
      <c r="M38" s="8">
        <f>+M81*'Proyeccion de Ventas'!$M$19</f>
        <v>51000</v>
      </c>
      <c r="N38" s="8">
        <f>+N81*'Proyeccion de Ventas'!$N$19</f>
        <v>51000</v>
      </c>
      <c r="O38" s="3"/>
    </row>
    <row r="39" spans="1:15" s="58" customFormat="1" ht="12.75">
      <c r="A39" s="7" t="s">
        <v>135</v>
      </c>
      <c r="B39" s="67"/>
      <c r="C39" s="8">
        <f t="shared" si="5"/>
        <v>13500</v>
      </c>
      <c r="D39" s="8">
        <f>+D82*'Proyeccion de Ventas'!$D$19</f>
        <v>0</v>
      </c>
      <c r="E39" s="8">
        <f>+E82*'Proyeccion de Ventas'!$E$19</f>
        <v>2100</v>
      </c>
      <c r="F39" s="8">
        <f>+F82*'Proyeccion de Ventas'!$F$19</f>
        <v>2100</v>
      </c>
      <c r="G39" s="8">
        <f>+G82*'Proyeccion de Ventas'!$G$19</f>
        <v>2100</v>
      </c>
      <c r="H39" s="8">
        <f>+H82*'Proyeccion de Ventas'!$H$19</f>
        <v>2400</v>
      </c>
      <c r="I39" s="8">
        <f>+I82*'Proyeccion de Ventas'!$I$19</f>
        <v>2400</v>
      </c>
      <c r="J39" s="8">
        <f>+J82*'Proyeccion de Ventas'!$J$19</f>
        <v>2400</v>
      </c>
      <c r="K39" s="8">
        <f>+K82*'Proyeccion de Ventas'!$K$19</f>
        <v>30600</v>
      </c>
      <c r="L39" s="8">
        <f>+L82*'Proyeccion de Ventas'!$L$19</f>
        <v>30600</v>
      </c>
      <c r="M39" s="8">
        <f>+M82*'Proyeccion de Ventas'!$M$19</f>
        <v>30600</v>
      </c>
      <c r="N39" s="8">
        <f>+N82*'Proyeccion de Ventas'!$N$19</f>
        <v>30600</v>
      </c>
      <c r="O39" s="3"/>
    </row>
    <row r="40" spans="1:15" s="58" customFormat="1" ht="12.75">
      <c r="A40" s="7" t="s">
        <v>136</v>
      </c>
      <c r="B40" s="67"/>
      <c r="C40" s="8">
        <f t="shared" si="5"/>
        <v>9000</v>
      </c>
      <c r="D40" s="8">
        <f>+D83*'Proyeccion de Ventas'!$D$19</f>
        <v>0</v>
      </c>
      <c r="E40" s="8">
        <f>+E83*'Proyeccion de Ventas'!$E$19</f>
        <v>1400</v>
      </c>
      <c r="F40" s="8">
        <f>+F83*'Proyeccion de Ventas'!$F$19</f>
        <v>1400</v>
      </c>
      <c r="G40" s="8">
        <f>+G83*'Proyeccion de Ventas'!$G$19</f>
        <v>1400</v>
      </c>
      <c r="H40" s="8">
        <f>+H83*'Proyeccion de Ventas'!$H$19</f>
        <v>1600</v>
      </c>
      <c r="I40" s="8">
        <f>+I83*'Proyeccion de Ventas'!$I$19</f>
        <v>1600</v>
      </c>
      <c r="J40" s="8">
        <f>+J83*'Proyeccion de Ventas'!$J$19</f>
        <v>1600</v>
      </c>
      <c r="K40" s="8">
        <f>+K83*'Proyeccion de Ventas'!$K$19</f>
        <v>20400</v>
      </c>
      <c r="L40" s="8">
        <f>+L83*'Proyeccion de Ventas'!$L$19</f>
        <v>20400</v>
      </c>
      <c r="M40" s="8">
        <f>+M83*'Proyeccion de Ventas'!$M$19</f>
        <v>20400</v>
      </c>
      <c r="N40" s="8">
        <f>+N83*'Proyeccion de Ventas'!$N$19</f>
        <v>20400</v>
      </c>
      <c r="O40" s="3"/>
    </row>
    <row r="41" spans="1:15" s="58" customFormat="1" ht="12.75">
      <c r="A41" s="7" t="s">
        <v>137</v>
      </c>
      <c r="B41" s="67"/>
      <c r="C41" s="8">
        <f t="shared" si="5"/>
        <v>18000</v>
      </c>
      <c r="D41" s="8">
        <f>+D84*'Proyeccion de Ventas'!$D$19</f>
        <v>0</v>
      </c>
      <c r="E41" s="8">
        <f>+E84*'Proyeccion de Ventas'!$E$19</f>
        <v>2800</v>
      </c>
      <c r="F41" s="8">
        <f>+F84*'Proyeccion de Ventas'!$F$19</f>
        <v>2800</v>
      </c>
      <c r="G41" s="8">
        <f>+G84*'Proyeccion de Ventas'!$G$19</f>
        <v>2800</v>
      </c>
      <c r="H41" s="8">
        <f>+H84*'Proyeccion de Ventas'!$H$19</f>
        <v>3200</v>
      </c>
      <c r="I41" s="8">
        <f>+I84*'Proyeccion de Ventas'!$I$19</f>
        <v>3200</v>
      </c>
      <c r="J41" s="8">
        <f>+J84*'Proyeccion de Ventas'!$J$19</f>
        <v>3200</v>
      </c>
      <c r="K41" s="8">
        <f>+K84*'Proyeccion de Ventas'!$K$19</f>
        <v>40800</v>
      </c>
      <c r="L41" s="8">
        <f>+L84*'Proyeccion de Ventas'!$L$19</f>
        <v>40800</v>
      </c>
      <c r="M41" s="8">
        <f>+M84*'Proyeccion de Ventas'!$M$19</f>
        <v>40800</v>
      </c>
      <c r="N41" s="8">
        <f>+N84*'Proyeccion de Ventas'!$N$19</f>
        <v>40800</v>
      </c>
      <c r="O41" s="3"/>
    </row>
    <row r="42" spans="1:15" s="58" customFormat="1" ht="12.75">
      <c r="A42" s="7" t="s">
        <v>138</v>
      </c>
      <c r="B42" s="67"/>
      <c r="C42" s="8">
        <f t="shared" si="5"/>
        <v>22500</v>
      </c>
      <c r="D42" s="8">
        <f>+D85*'Proyeccion de Ventas'!$D$19</f>
        <v>0</v>
      </c>
      <c r="E42" s="8">
        <f>+E85*'Proyeccion de Ventas'!$E$19</f>
        <v>3500</v>
      </c>
      <c r="F42" s="8">
        <f>+F85*'Proyeccion de Ventas'!$F$19</f>
        <v>3500</v>
      </c>
      <c r="G42" s="8">
        <f>+G85*'Proyeccion de Ventas'!$G$19</f>
        <v>3500</v>
      </c>
      <c r="H42" s="8">
        <f>+H85*'Proyeccion de Ventas'!$H$19</f>
        <v>4000</v>
      </c>
      <c r="I42" s="8">
        <f>+I85*'Proyeccion de Ventas'!$I$19</f>
        <v>4000</v>
      </c>
      <c r="J42" s="8">
        <f>+J85*'Proyeccion de Ventas'!$J$19</f>
        <v>4000</v>
      </c>
      <c r="K42" s="8">
        <f>+K85*'Proyeccion de Ventas'!$K$19</f>
        <v>51000</v>
      </c>
      <c r="L42" s="8">
        <f>+L85*'Proyeccion de Ventas'!$L$19</f>
        <v>51000</v>
      </c>
      <c r="M42" s="8">
        <f>+M85*'Proyeccion de Ventas'!$M$19</f>
        <v>51000</v>
      </c>
      <c r="N42" s="8">
        <f>+N85*'Proyeccion de Ventas'!$N$19</f>
        <v>51000</v>
      </c>
      <c r="O42" s="3"/>
    </row>
    <row r="43" spans="1:15" s="58" customFormat="1" ht="12.75">
      <c r="A43" s="7" t="s">
        <v>139</v>
      </c>
      <c r="B43" s="67"/>
      <c r="C43" s="8">
        <f t="shared" si="5"/>
        <v>18000</v>
      </c>
      <c r="D43" s="8">
        <f>+D86*'Proyeccion de Ventas'!$D$19</f>
        <v>0</v>
      </c>
      <c r="E43" s="8">
        <f>+E86*'Proyeccion de Ventas'!$E$19</f>
        <v>2800</v>
      </c>
      <c r="F43" s="8">
        <f>+F86*'Proyeccion de Ventas'!$F$19</f>
        <v>2800</v>
      </c>
      <c r="G43" s="8">
        <f>+G86*'Proyeccion de Ventas'!$G$19</f>
        <v>2800</v>
      </c>
      <c r="H43" s="8">
        <f>+H86*'Proyeccion de Ventas'!$H$19</f>
        <v>3200</v>
      </c>
      <c r="I43" s="8">
        <f>+I86*'Proyeccion de Ventas'!$I$19</f>
        <v>3200</v>
      </c>
      <c r="J43" s="8">
        <f>+J86*'Proyeccion de Ventas'!$J$19</f>
        <v>3200</v>
      </c>
      <c r="K43" s="8">
        <f>+K86*'Proyeccion de Ventas'!$K$19</f>
        <v>40800</v>
      </c>
      <c r="L43" s="8">
        <f>+L86*'Proyeccion de Ventas'!$L$19</f>
        <v>40800</v>
      </c>
      <c r="M43" s="8">
        <f>+M86*'Proyeccion de Ventas'!$M$19</f>
        <v>40800</v>
      </c>
      <c r="N43" s="8">
        <f>+N86*'Proyeccion de Ventas'!$N$19</f>
        <v>40800</v>
      </c>
      <c r="O43" s="3"/>
    </row>
    <row r="46" spans="1:15" s="58" customFormat="1" ht="12.75">
      <c r="A46" s="73" t="s">
        <v>219</v>
      </c>
      <c r="B46" s="74"/>
      <c r="C46" s="70"/>
      <c r="D46" s="70">
        <f aca="true" t="shared" si="6" ref="D46:N46">+D48+D77</f>
        <v>0</v>
      </c>
      <c r="E46" s="70">
        <f t="shared" si="6"/>
        <v>589</v>
      </c>
      <c r="F46" s="70">
        <f t="shared" si="6"/>
        <v>701</v>
      </c>
      <c r="G46" s="70">
        <f t="shared" si="6"/>
        <v>701</v>
      </c>
      <c r="H46" s="70">
        <f t="shared" si="6"/>
        <v>701</v>
      </c>
      <c r="I46" s="70">
        <f t="shared" si="6"/>
        <v>701</v>
      </c>
      <c r="J46" s="70">
        <f t="shared" si="6"/>
        <v>701</v>
      </c>
      <c r="K46" s="70">
        <f t="shared" si="6"/>
        <v>701</v>
      </c>
      <c r="L46" s="70">
        <f t="shared" si="6"/>
        <v>701</v>
      </c>
      <c r="M46" s="70">
        <f t="shared" si="6"/>
        <v>701</v>
      </c>
      <c r="N46" s="70">
        <f t="shared" si="6"/>
        <v>701</v>
      </c>
      <c r="O46" s="3"/>
    </row>
    <row r="47" spans="1:15" s="1" customFormat="1" ht="12.75">
      <c r="A47" s="97"/>
      <c r="B47" s="83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65"/>
    </row>
    <row r="48" spans="1:15" s="1" customFormat="1" ht="12.75">
      <c r="A48" s="89" t="s">
        <v>140</v>
      </c>
      <c r="B48" s="90"/>
      <c r="C48" s="91"/>
      <c r="D48" s="91">
        <f aca="true" t="shared" si="7" ref="D48:N48">SUM(D49:D75)</f>
        <v>0</v>
      </c>
      <c r="E48" s="91">
        <v>534</v>
      </c>
      <c r="F48" s="91">
        <f t="shared" si="7"/>
        <v>646</v>
      </c>
      <c r="G48" s="91">
        <f t="shared" si="7"/>
        <v>646</v>
      </c>
      <c r="H48" s="91">
        <f t="shared" si="7"/>
        <v>646</v>
      </c>
      <c r="I48" s="91">
        <f t="shared" si="7"/>
        <v>646</v>
      </c>
      <c r="J48" s="91">
        <f t="shared" si="7"/>
        <v>646</v>
      </c>
      <c r="K48" s="91">
        <f t="shared" si="7"/>
        <v>646</v>
      </c>
      <c r="L48" s="91">
        <f t="shared" si="7"/>
        <v>646</v>
      </c>
      <c r="M48" s="91">
        <f t="shared" si="7"/>
        <v>646</v>
      </c>
      <c r="N48" s="91">
        <f t="shared" si="7"/>
        <v>646</v>
      </c>
      <c r="O48" s="65"/>
    </row>
    <row r="49" spans="1:15" s="58" customFormat="1" ht="12.75">
      <c r="A49" s="7" t="s">
        <v>104</v>
      </c>
      <c r="B49" s="67"/>
      <c r="C49" s="8"/>
      <c r="D49" s="8"/>
      <c r="E49" s="8">
        <v>265</v>
      </c>
      <c r="F49" s="8">
        <v>265</v>
      </c>
      <c r="G49" s="8">
        <v>265</v>
      </c>
      <c r="H49" s="8">
        <v>265</v>
      </c>
      <c r="I49" s="8">
        <v>265</v>
      </c>
      <c r="J49" s="8">
        <v>265</v>
      </c>
      <c r="K49" s="8">
        <v>265</v>
      </c>
      <c r="L49" s="8">
        <v>265</v>
      </c>
      <c r="M49" s="8">
        <v>265</v>
      </c>
      <c r="N49" s="8">
        <v>265</v>
      </c>
      <c r="O49" s="3"/>
    </row>
    <row r="50" spans="1:15" s="58" customFormat="1" ht="12.75">
      <c r="A50" s="7" t="s">
        <v>105</v>
      </c>
      <c r="B50" s="67"/>
      <c r="C50" s="8"/>
      <c r="D50" s="8"/>
      <c r="E50" s="8">
        <v>181</v>
      </c>
      <c r="F50" s="8">
        <v>181</v>
      </c>
      <c r="G50" s="8">
        <v>181</v>
      </c>
      <c r="H50" s="8">
        <v>181</v>
      </c>
      <c r="I50" s="8">
        <v>181</v>
      </c>
      <c r="J50" s="8">
        <v>181</v>
      </c>
      <c r="K50" s="8">
        <v>181</v>
      </c>
      <c r="L50" s="8">
        <v>181</v>
      </c>
      <c r="M50" s="8">
        <v>181</v>
      </c>
      <c r="N50" s="8">
        <v>181</v>
      </c>
      <c r="O50" s="3"/>
    </row>
    <row r="51" spans="1:15" s="58" customFormat="1" ht="12.75">
      <c r="A51" s="7" t="s">
        <v>106</v>
      </c>
      <c r="B51" s="67"/>
      <c r="C51" s="8"/>
      <c r="D51" s="8"/>
      <c r="E51" s="8">
        <v>135</v>
      </c>
      <c r="F51" s="8">
        <v>135</v>
      </c>
      <c r="G51" s="8">
        <v>135</v>
      </c>
      <c r="H51" s="8">
        <v>135</v>
      </c>
      <c r="I51" s="8">
        <v>135</v>
      </c>
      <c r="J51" s="8">
        <v>135</v>
      </c>
      <c r="K51" s="8">
        <v>135</v>
      </c>
      <c r="L51" s="8">
        <v>135</v>
      </c>
      <c r="M51" s="8">
        <v>135</v>
      </c>
      <c r="N51" s="8">
        <v>135</v>
      </c>
      <c r="O51" s="3"/>
    </row>
    <row r="52" spans="1:15" s="58" customFormat="1" ht="12.75">
      <c r="A52" s="7" t="s">
        <v>107</v>
      </c>
      <c r="B52" s="67"/>
      <c r="C52" s="8"/>
      <c r="D52" s="8"/>
      <c r="E52" s="8">
        <v>5</v>
      </c>
      <c r="F52" s="8">
        <v>5</v>
      </c>
      <c r="G52" s="8">
        <v>5</v>
      </c>
      <c r="H52" s="8">
        <v>5</v>
      </c>
      <c r="I52" s="8">
        <v>5</v>
      </c>
      <c r="J52" s="8">
        <v>5</v>
      </c>
      <c r="K52" s="8">
        <v>5</v>
      </c>
      <c r="L52" s="8">
        <v>5</v>
      </c>
      <c r="M52" s="8">
        <v>5</v>
      </c>
      <c r="N52" s="8">
        <v>5</v>
      </c>
      <c r="O52" s="3"/>
    </row>
    <row r="53" spans="1:15" s="58" customFormat="1" ht="12.75">
      <c r="A53" s="7" t="s">
        <v>108</v>
      </c>
      <c r="B53" s="67"/>
      <c r="C53" s="8"/>
      <c r="D53" s="8"/>
      <c r="E53" s="8">
        <v>6</v>
      </c>
      <c r="F53" s="8">
        <v>6</v>
      </c>
      <c r="G53" s="8">
        <v>6</v>
      </c>
      <c r="H53" s="8">
        <v>6</v>
      </c>
      <c r="I53" s="8">
        <v>6</v>
      </c>
      <c r="J53" s="8">
        <v>6</v>
      </c>
      <c r="K53" s="8">
        <v>6</v>
      </c>
      <c r="L53" s="8">
        <v>6</v>
      </c>
      <c r="M53" s="8">
        <v>6</v>
      </c>
      <c r="N53" s="8">
        <v>6</v>
      </c>
      <c r="O53" s="3"/>
    </row>
    <row r="54" spans="1:15" s="58" customFormat="1" ht="12.75">
      <c r="A54" s="7" t="s">
        <v>109</v>
      </c>
      <c r="B54" s="67"/>
      <c r="C54" s="8"/>
      <c r="D54" s="8"/>
      <c r="E54" s="8">
        <v>2</v>
      </c>
      <c r="F54" s="8">
        <v>2</v>
      </c>
      <c r="G54" s="8">
        <v>2</v>
      </c>
      <c r="H54" s="8">
        <v>2</v>
      </c>
      <c r="I54" s="8">
        <v>2</v>
      </c>
      <c r="J54" s="8">
        <v>2</v>
      </c>
      <c r="K54" s="8">
        <v>2</v>
      </c>
      <c r="L54" s="8">
        <v>2</v>
      </c>
      <c r="M54" s="8">
        <v>2</v>
      </c>
      <c r="N54" s="8">
        <v>2</v>
      </c>
      <c r="O54" s="3"/>
    </row>
    <row r="55" spans="1:15" s="58" customFormat="1" ht="12.75">
      <c r="A55" s="7" t="s">
        <v>110</v>
      </c>
      <c r="B55" s="67"/>
      <c r="C55" s="8"/>
      <c r="D55" s="8"/>
      <c r="E55" s="8">
        <v>4</v>
      </c>
      <c r="F55" s="8">
        <v>4</v>
      </c>
      <c r="G55" s="8">
        <v>4</v>
      </c>
      <c r="H55" s="8">
        <v>4</v>
      </c>
      <c r="I55" s="8">
        <v>4</v>
      </c>
      <c r="J55" s="8">
        <v>4</v>
      </c>
      <c r="K55" s="8">
        <v>4</v>
      </c>
      <c r="L55" s="8">
        <v>4</v>
      </c>
      <c r="M55" s="8">
        <v>4</v>
      </c>
      <c r="N55" s="8">
        <v>4</v>
      </c>
      <c r="O55" s="3"/>
    </row>
    <row r="56" spans="1:15" s="58" customFormat="1" ht="12.75">
      <c r="A56" s="7" t="s">
        <v>111</v>
      </c>
      <c r="B56" s="67"/>
      <c r="C56" s="8"/>
      <c r="D56" s="8"/>
      <c r="E56" s="8">
        <v>4</v>
      </c>
      <c r="F56" s="8">
        <v>4</v>
      </c>
      <c r="G56" s="8">
        <v>4</v>
      </c>
      <c r="H56" s="8">
        <v>4</v>
      </c>
      <c r="I56" s="8">
        <v>4</v>
      </c>
      <c r="J56" s="8">
        <v>4</v>
      </c>
      <c r="K56" s="8">
        <v>4</v>
      </c>
      <c r="L56" s="8">
        <v>4</v>
      </c>
      <c r="M56" s="8">
        <v>4</v>
      </c>
      <c r="N56" s="8">
        <v>4</v>
      </c>
      <c r="O56" s="3"/>
    </row>
    <row r="57" spans="1:15" s="58" customFormat="1" ht="12.75">
      <c r="A57" s="7" t="s">
        <v>112</v>
      </c>
      <c r="B57" s="67"/>
      <c r="C57" s="8"/>
      <c r="D57" s="8"/>
      <c r="E57" s="8">
        <v>2</v>
      </c>
      <c r="F57" s="8">
        <v>2</v>
      </c>
      <c r="G57" s="8">
        <v>2</v>
      </c>
      <c r="H57" s="8">
        <v>2</v>
      </c>
      <c r="I57" s="8">
        <v>2</v>
      </c>
      <c r="J57" s="8">
        <v>2</v>
      </c>
      <c r="K57" s="8">
        <v>2</v>
      </c>
      <c r="L57" s="8">
        <v>2</v>
      </c>
      <c r="M57" s="8">
        <v>2</v>
      </c>
      <c r="N57" s="8">
        <v>2</v>
      </c>
      <c r="O57" s="3"/>
    </row>
    <row r="58" spans="1:15" s="58" customFormat="1" ht="12.75">
      <c r="A58" s="7" t="s">
        <v>113</v>
      </c>
      <c r="B58" s="67"/>
      <c r="C58" s="8"/>
      <c r="D58" s="8"/>
      <c r="E58" s="8">
        <v>3</v>
      </c>
      <c r="F58" s="8">
        <v>3</v>
      </c>
      <c r="G58" s="8">
        <v>3</v>
      </c>
      <c r="H58" s="8">
        <v>3</v>
      </c>
      <c r="I58" s="8">
        <v>3</v>
      </c>
      <c r="J58" s="8">
        <v>3</v>
      </c>
      <c r="K58" s="8">
        <v>3</v>
      </c>
      <c r="L58" s="8">
        <v>3</v>
      </c>
      <c r="M58" s="8">
        <v>3</v>
      </c>
      <c r="N58" s="8">
        <v>3</v>
      </c>
      <c r="O58" s="3"/>
    </row>
    <row r="59" spans="1:15" s="58" customFormat="1" ht="12.75">
      <c r="A59" s="7" t="s">
        <v>114</v>
      </c>
      <c r="B59" s="67"/>
      <c r="C59" s="8"/>
      <c r="D59" s="8"/>
      <c r="E59" s="8">
        <v>5</v>
      </c>
      <c r="F59" s="8">
        <v>5</v>
      </c>
      <c r="G59" s="8">
        <v>5</v>
      </c>
      <c r="H59" s="8">
        <v>5</v>
      </c>
      <c r="I59" s="8">
        <v>5</v>
      </c>
      <c r="J59" s="8">
        <v>5</v>
      </c>
      <c r="K59" s="8">
        <v>5</v>
      </c>
      <c r="L59" s="8">
        <v>5</v>
      </c>
      <c r="M59" s="8">
        <v>5</v>
      </c>
      <c r="N59" s="8">
        <v>5</v>
      </c>
      <c r="O59" s="3"/>
    </row>
    <row r="60" spans="1:15" s="58" customFormat="1" ht="12.75">
      <c r="A60" s="7" t="s">
        <v>115</v>
      </c>
      <c r="B60" s="67"/>
      <c r="C60" s="8"/>
      <c r="D60" s="8"/>
      <c r="E60" s="8">
        <v>4</v>
      </c>
      <c r="F60" s="8">
        <v>4</v>
      </c>
      <c r="G60" s="8">
        <v>4</v>
      </c>
      <c r="H60" s="8">
        <v>4</v>
      </c>
      <c r="I60" s="8">
        <v>4</v>
      </c>
      <c r="J60" s="8">
        <v>4</v>
      </c>
      <c r="K60" s="8">
        <v>4</v>
      </c>
      <c r="L60" s="8">
        <v>4</v>
      </c>
      <c r="M60" s="8">
        <v>4</v>
      </c>
      <c r="N60" s="8">
        <v>4</v>
      </c>
      <c r="O60" s="3"/>
    </row>
    <row r="61" spans="1:15" s="58" customFormat="1" ht="12.75">
      <c r="A61" s="7" t="s">
        <v>116</v>
      </c>
      <c r="B61" s="67"/>
      <c r="C61" s="8"/>
      <c r="D61" s="8"/>
      <c r="E61" s="8">
        <v>4</v>
      </c>
      <c r="F61" s="8">
        <v>4</v>
      </c>
      <c r="G61" s="8">
        <v>4</v>
      </c>
      <c r="H61" s="8">
        <v>4</v>
      </c>
      <c r="I61" s="8">
        <v>4</v>
      </c>
      <c r="J61" s="8">
        <v>4</v>
      </c>
      <c r="K61" s="8">
        <v>4</v>
      </c>
      <c r="L61" s="8">
        <v>4</v>
      </c>
      <c r="M61" s="8">
        <v>4</v>
      </c>
      <c r="N61" s="8">
        <v>4</v>
      </c>
      <c r="O61" s="3"/>
    </row>
    <row r="62" spans="1:15" s="58" customFormat="1" ht="12.75">
      <c r="A62" s="7" t="s">
        <v>117</v>
      </c>
      <c r="B62" s="67"/>
      <c r="C62" s="8"/>
      <c r="D62" s="8"/>
      <c r="E62" s="8">
        <v>2</v>
      </c>
      <c r="F62" s="8">
        <v>2</v>
      </c>
      <c r="G62" s="8">
        <v>2</v>
      </c>
      <c r="H62" s="8">
        <v>2</v>
      </c>
      <c r="I62" s="8">
        <v>2</v>
      </c>
      <c r="J62" s="8">
        <v>2</v>
      </c>
      <c r="K62" s="8">
        <v>2</v>
      </c>
      <c r="L62" s="8">
        <v>2</v>
      </c>
      <c r="M62" s="8">
        <v>2</v>
      </c>
      <c r="N62" s="8">
        <v>2</v>
      </c>
      <c r="O62" s="3"/>
    </row>
    <row r="63" spans="1:15" s="58" customFormat="1" ht="12.75">
      <c r="A63" s="7" t="s">
        <v>118</v>
      </c>
      <c r="B63" s="6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3"/>
    </row>
    <row r="64" spans="1:15" s="58" customFormat="1" ht="12.75">
      <c r="A64" s="7" t="s">
        <v>119</v>
      </c>
      <c r="B64" s="67"/>
      <c r="C64" s="8"/>
      <c r="D64" s="8"/>
      <c r="E64" s="8">
        <v>5</v>
      </c>
      <c r="F64" s="8">
        <v>5</v>
      </c>
      <c r="G64" s="8">
        <v>5</v>
      </c>
      <c r="H64" s="8">
        <v>5</v>
      </c>
      <c r="I64" s="8">
        <v>5</v>
      </c>
      <c r="J64" s="8">
        <v>5</v>
      </c>
      <c r="K64" s="8">
        <v>5</v>
      </c>
      <c r="L64" s="8">
        <v>5</v>
      </c>
      <c r="M64" s="8">
        <v>5</v>
      </c>
      <c r="N64" s="8">
        <v>5</v>
      </c>
      <c r="O64" s="3"/>
    </row>
    <row r="65" spans="1:15" s="58" customFormat="1" ht="12.75">
      <c r="A65" s="7" t="s">
        <v>120</v>
      </c>
      <c r="B65" s="67"/>
      <c r="C65" s="8"/>
      <c r="D65" s="8"/>
      <c r="E65" s="8">
        <v>2</v>
      </c>
      <c r="F65" s="8">
        <v>2</v>
      </c>
      <c r="G65" s="8">
        <v>2</v>
      </c>
      <c r="H65" s="8">
        <v>2</v>
      </c>
      <c r="I65" s="8">
        <v>2</v>
      </c>
      <c r="J65" s="8">
        <v>2</v>
      </c>
      <c r="K65" s="8">
        <v>2</v>
      </c>
      <c r="L65" s="8">
        <v>2</v>
      </c>
      <c r="M65" s="8">
        <v>2</v>
      </c>
      <c r="N65" s="8">
        <v>2</v>
      </c>
      <c r="O65" s="3"/>
    </row>
    <row r="66" spans="1:15" s="58" customFormat="1" ht="12.75">
      <c r="A66" s="7" t="s">
        <v>121</v>
      </c>
      <c r="B66" s="67"/>
      <c r="C66" s="8"/>
      <c r="D66" s="8"/>
      <c r="E66" s="8">
        <v>4</v>
      </c>
      <c r="F66" s="8">
        <v>4</v>
      </c>
      <c r="G66" s="8">
        <v>4</v>
      </c>
      <c r="H66" s="8">
        <v>4</v>
      </c>
      <c r="I66" s="8">
        <v>4</v>
      </c>
      <c r="J66" s="8">
        <v>4</v>
      </c>
      <c r="K66" s="8">
        <v>4</v>
      </c>
      <c r="L66" s="8">
        <v>4</v>
      </c>
      <c r="M66" s="8">
        <v>4</v>
      </c>
      <c r="N66" s="8">
        <v>4</v>
      </c>
      <c r="O66" s="3"/>
    </row>
    <row r="67" spans="1:15" s="58" customFormat="1" ht="12.75">
      <c r="A67" s="7" t="s">
        <v>122</v>
      </c>
      <c r="B67" s="67"/>
      <c r="C67" s="8"/>
      <c r="D67" s="8"/>
      <c r="E67" s="8">
        <v>5</v>
      </c>
      <c r="F67" s="8">
        <v>5</v>
      </c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  <c r="M67" s="8">
        <v>5</v>
      </c>
      <c r="N67" s="8">
        <v>5</v>
      </c>
      <c r="O67" s="3"/>
    </row>
    <row r="68" spans="1:15" s="58" customFormat="1" ht="12.75">
      <c r="A68" s="7" t="s">
        <v>123</v>
      </c>
      <c r="B68" s="67"/>
      <c r="C68" s="8"/>
      <c r="D68" s="8"/>
      <c r="E68" s="8">
        <v>2</v>
      </c>
      <c r="F68" s="8">
        <v>2</v>
      </c>
      <c r="G68" s="8">
        <v>2</v>
      </c>
      <c r="H68" s="8">
        <v>2</v>
      </c>
      <c r="I68" s="8">
        <v>2</v>
      </c>
      <c r="J68" s="8">
        <v>2</v>
      </c>
      <c r="K68" s="8">
        <v>2</v>
      </c>
      <c r="L68" s="8">
        <v>2</v>
      </c>
      <c r="M68" s="8">
        <v>2</v>
      </c>
      <c r="N68" s="8">
        <v>2</v>
      </c>
      <c r="O68" s="3"/>
    </row>
    <row r="69" spans="1:15" s="58" customFormat="1" ht="12.75">
      <c r="A69" s="7" t="s">
        <v>124</v>
      </c>
      <c r="B69" s="67"/>
      <c r="C69" s="8"/>
      <c r="D69" s="8"/>
      <c r="E69" s="8">
        <v>2</v>
      </c>
      <c r="F69" s="8">
        <v>2</v>
      </c>
      <c r="G69" s="8">
        <v>2</v>
      </c>
      <c r="H69" s="8">
        <v>2</v>
      </c>
      <c r="I69" s="8">
        <v>2</v>
      </c>
      <c r="J69" s="8">
        <v>2</v>
      </c>
      <c r="K69" s="8">
        <v>2</v>
      </c>
      <c r="L69" s="8">
        <v>2</v>
      </c>
      <c r="M69" s="8">
        <v>2</v>
      </c>
      <c r="N69" s="8">
        <v>2</v>
      </c>
      <c r="O69" s="3"/>
    </row>
    <row r="70" spans="1:15" s="58" customFormat="1" ht="12.75">
      <c r="A70" s="7" t="s">
        <v>125</v>
      </c>
      <c r="B70" s="67"/>
      <c r="C70" s="8"/>
      <c r="D70" s="8"/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3"/>
    </row>
    <row r="71" spans="1:15" s="58" customFormat="1" ht="12.75">
      <c r="A71" s="7" t="s">
        <v>126</v>
      </c>
      <c r="B71" s="67"/>
      <c r="C71" s="8"/>
      <c r="D71" s="8"/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3"/>
    </row>
    <row r="72" spans="1:15" s="58" customFormat="1" ht="12.75">
      <c r="A72" s="7" t="s">
        <v>127</v>
      </c>
      <c r="B72" s="67"/>
      <c r="C72" s="8"/>
      <c r="D72" s="8"/>
      <c r="E72" s="8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3"/>
    </row>
    <row r="73" spans="1:15" s="58" customFormat="1" ht="12.75">
      <c r="A73" s="7" t="s">
        <v>128</v>
      </c>
      <c r="B73" s="6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3"/>
    </row>
    <row r="74" spans="1:15" s="58" customFormat="1" ht="12.75">
      <c r="A74" s="7" t="s">
        <v>129</v>
      </c>
      <c r="B74" s="67"/>
      <c r="C74" s="8"/>
      <c r="D74" s="8"/>
      <c r="E74" s="8">
        <v>1</v>
      </c>
      <c r="F74" s="8">
        <v>1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3"/>
    </row>
    <row r="75" spans="1:15" s="58" customFormat="1" ht="12.75">
      <c r="A75" s="7" t="s">
        <v>130</v>
      </c>
      <c r="B75" s="6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"/>
    </row>
    <row r="76" spans="1:15" s="58" customFormat="1" ht="12.75">
      <c r="A76" s="10"/>
      <c r="B76" s="72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"/>
    </row>
    <row r="77" spans="1:15" s="1" customFormat="1" ht="12.75">
      <c r="A77" s="89" t="s">
        <v>218</v>
      </c>
      <c r="B77" s="90"/>
      <c r="C77" s="91"/>
      <c r="D77" s="91">
        <f aca="true" t="shared" si="8" ref="D77:N77">SUM(D78:D86)</f>
        <v>0</v>
      </c>
      <c r="E77" s="91">
        <f t="shared" si="8"/>
        <v>55</v>
      </c>
      <c r="F77" s="91">
        <f t="shared" si="8"/>
        <v>55</v>
      </c>
      <c r="G77" s="91">
        <f t="shared" si="8"/>
        <v>55</v>
      </c>
      <c r="H77" s="91">
        <f t="shared" si="8"/>
        <v>55</v>
      </c>
      <c r="I77" s="91">
        <f t="shared" si="8"/>
        <v>55</v>
      </c>
      <c r="J77" s="91">
        <f t="shared" si="8"/>
        <v>55</v>
      </c>
      <c r="K77" s="91">
        <f t="shared" si="8"/>
        <v>55</v>
      </c>
      <c r="L77" s="91">
        <f t="shared" si="8"/>
        <v>55</v>
      </c>
      <c r="M77" s="91">
        <f t="shared" si="8"/>
        <v>55</v>
      </c>
      <c r="N77" s="91">
        <f t="shared" si="8"/>
        <v>55</v>
      </c>
      <c r="O77" s="65"/>
    </row>
    <row r="78" spans="1:15" s="58" customFormat="1" ht="12.75">
      <c r="A78" s="7" t="s">
        <v>131</v>
      </c>
      <c r="B78" s="67"/>
      <c r="C78" s="8"/>
      <c r="D78" s="8"/>
      <c r="E78" s="8">
        <v>26</v>
      </c>
      <c r="F78" s="8">
        <v>26</v>
      </c>
      <c r="G78" s="8">
        <v>26</v>
      </c>
      <c r="H78" s="8">
        <v>26</v>
      </c>
      <c r="I78" s="8">
        <v>26</v>
      </c>
      <c r="J78" s="8">
        <v>26</v>
      </c>
      <c r="K78" s="8">
        <v>26</v>
      </c>
      <c r="L78" s="8">
        <v>26</v>
      </c>
      <c r="M78" s="8">
        <v>26</v>
      </c>
      <c r="N78" s="8">
        <v>26</v>
      </c>
      <c r="O78" s="3"/>
    </row>
    <row r="79" spans="1:15" s="58" customFormat="1" ht="12.75">
      <c r="A79" s="7" t="s">
        <v>132</v>
      </c>
      <c r="B79" s="67"/>
      <c r="C79" s="8"/>
      <c r="D79" s="8"/>
      <c r="E79" s="8">
        <v>5</v>
      </c>
      <c r="F79" s="8">
        <v>5</v>
      </c>
      <c r="G79" s="8">
        <v>5</v>
      </c>
      <c r="H79" s="8">
        <v>5</v>
      </c>
      <c r="I79" s="8">
        <v>5</v>
      </c>
      <c r="J79" s="8">
        <v>5</v>
      </c>
      <c r="K79" s="8">
        <v>5</v>
      </c>
      <c r="L79" s="8">
        <v>5</v>
      </c>
      <c r="M79" s="8">
        <v>5</v>
      </c>
      <c r="N79" s="8">
        <v>5</v>
      </c>
      <c r="O79" s="3"/>
    </row>
    <row r="80" spans="1:15" s="58" customFormat="1" ht="12.75">
      <c r="A80" s="7" t="s">
        <v>133</v>
      </c>
      <c r="B80" s="67"/>
      <c r="C80" s="8"/>
      <c r="D80" s="8"/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  <c r="K80" s="8">
        <v>1</v>
      </c>
      <c r="L80" s="8">
        <v>1</v>
      </c>
      <c r="M80" s="8">
        <v>1</v>
      </c>
      <c r="N80" s="8">
        <v>1</v>
      </c>
      <c r="O80" s="3"/>
    </row>
    <row r="81" spans="1:15" s="58" customFormat="1" ht="12.75">
      <c r="A81" s="7" t="s">
        <v>134</v>
      </c>
      <c r="B81" s="67"/>
      <c r="C81" s="8"/>
      <c r="D81" s="8"/>
      <c r="E81" s="8">
        <v>5</v>
      </c>
      <c r="F81" s="8">
        <v>5</v>
      </c>
      <c r="G81" s="8">
        <v>5</v>
      </c>
      <c r="H81" s="8">
        <v>5</v>
      </c>
      <c r="I81" s="8">
        <v>5</v>
      </c>
      <c r="J81" s="8">
        <v>5</v>
      </c>
      <c r="K81" s="8">
        <v>5</v>
      </c>
      <c r="L81" s="8">
        <v>5</v>
      </c>
      <c r="M81" s="8">
        <v>5</v>
      </c>
      <c r="N81" s="8">
        <v>5</v>
      </c>
      <c r="O81" s="3"/>
    </row>
    <row r="82" spans="1:15" s="58" customFormat="1" ht="12.75">
      <c r="A82" s="7" t="s">
        <v>135</v>
      </c>
      <c r="B82" s="67"/>
      <c r="C82" s="8"/>
      <c r="D82" s="8"/>
      <c r="E82" s="8">
        <v>3</v>
      </c>
      <c r="F82" s="8">
        <v>3</v>
      </c>
      <c r="G82" s="8">
        <v>3</v>
      </c>
      <c r="H82" s="8">
        <v>3</v>
      </c>
      <c r="I82" s="8">
        <v>3</v>
      </c>
      <c r="J82" s="8">
        <v>3</v>
      </c>
      <c r="K82" s="8">
        <v>3</v>
      </c>
      <c r="L82" s="8">
        <v>3</v>
      </c>
      <c r="M82" s="8">
        <v>3</v>
      </c>
      <c r="N82" s="8">
        <v>3</v>
      </c>
      <c r="O82" s="3"/>
    </row>
    <row r="83" spans="1:15" s="58" customFormat="1" ht="12.75">
      <c r="A83" s="7" t="s">
        <v>136</v>
      </c>
      <c r="B83" s="67"/>
      <c r="C83" s="8"/>
      <c r="D83" s="8"/>
      <c r="E83" s="8">
        <v>2</v>
      </c>
      <c r="F83" s="8">
        <v>2</v>
      </c>
      <c r="G83" s="8">
        <v>2</v>
      </c>
      <c r="H83" s="8">
        <v>2</v>
      </c>
      <c r="I83" s="8">
        <v>2</v>
      </c>
      <c r="J83" s="8">
        <v>2</v>
      </c>
      <c r="K83" s="8">
        <v>2</v>
      </c>
      <c r="L83" s="8">
        <v>2</v>
      </c>
      <c r="M83" s="8">
        <v>2</v>
      </c>
      <c r="N83" s="8">
        <v>2</v>
      </c>
      <c r="O83" s="3"/>
    </row>
    <row r="84" spans="1:15" s="58" customFormat="1" ht="12.75">
      <c r="A84" s="7" t="s">
        <v>137</v>
      </c>
      <c r="B84" s="67"/>
      <c r="C84" s="8"/>
      <c r="D84" s="8"/>
      <c r="E84" s="8">
        <v>4</v>
      </c>
      <c r="F84" s="8">
        <v>4</v>
      </c>
      <c r="G84" s="8">
        <v>4</v>
      </c>
      <c r="H84" s="8">
        <v>4</v>
      </c>
      <c r="I84" s="8">
        <v>4</v>
      </c>
      <c r="J84" s="8">
        <v>4</v>
      </c>
      <c r="K84" s="8">
        <v>4</v>
      </c>
      <c r="L84" s="8">
        <v>4</v>
      </c>
      <c r="M84" s="8">
        <v>4</v>
      </c>
      <c r="N84" s="8">
        <v>4</v>
      </c>
      <c r="O84" s="3"/>
    </row>
    <row r="85" spans="1:15" s="58" customFormat="1" ht="12.75">
      <c r="A85" s="7" t="s">
        <v>138</v>
      </c>
      <c r="B85" s="67"/>
      <c r="C85" s="8"/>
      <c r="D85" s="8"/>
      <c r="E85" s="8">
        <v>5</v>
      </c>
      <c r="F85" s="8">
        <v>5</v>
      </c>
      <c r="G85" s="8">
        <v>5</v>
      </c>
      <c r="H85" s="8">
        <v>5</v>
      </c>
      <c r="I85" s="8">
        <v>5</v>
      </c>
      <c r="J85" s="8">
        <v>5</v>
      </c>
      <c r="K85" s="8">
        <v>5</v>
      </c>
      <c r="L85" s="8">
        <v>5</v>
      </c>
      <c r="M85" s="8">
        <v>5</v>
      </c>
      <c r="N85" s="8">
        <v>5</v>
      </c>
      <c r="O85" s="3"/>
    </row>
    <row r="86" spans="1:15" s="58" customFormat="1" ht="12.75">
      <c r="A86" s="7" t="s">
        <v>139</v>
      </c>
      <c r="B86" s="67"/>
      <c r="C86" s="8"/>
      <c r="D86" s="8"/>
      <c r="E86" s="8">
        <v>4</v>
      </c>
      <c r="F86" s="8">
        <v>4</v>
      </c>
      <c r="G86" s="8">
        <v>4</v>
      </c>
      <c r="H86" s="8">
        <v>4</v>
      </c>
      <c r="I86" s="8">
        <v>4</v>
      </c>
      <c r="J86" s="8">
        <v>4</v>
      </c>
      <c r="K86" s="8">
        <v>4</v>
      </c>
      <c r="L86" s="8">
        <v>4</v>
      </c>
      <c r="M86" s="8">
        <v>4</v>
      </c>
      <c r="N86" s="8">
        <v>4</v>
      </c>
      <c r="O8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7.00390625" style="139" bestFit="1" customWidth="1"/>
    <col min="2" max="16384" width="11.421875" style="139" customWidth="1"/>
  </cols>
  <sheetData>
    <row r="1" spans="1:6" ht="18.75">
      <c r="A1" s="148" t="s">
        <v>320</v>
      </c>
      <c r="B1" s="148"/>
      <c r="C1" s="148"/>
      <c r="D1" s="148"/>
      <c r="E1" s="148"/>
      <c r="F1" s="148"/>
    </row>
    <row r="2" spans="1:6" ht="15">
      <c r="A2" s="149" t="s">
        <v>321</v>
      </c>
      <c r="B2" s="149"/>
      <c r="C2" s="149"/>
      <c r="D2" s="149"/>
      <c r="E2" s="149"/>
      <c r="F2" s="149"/>
    </row>
    <row r="3" spans="1:6" ht="12.75">
      <c r="A3" s="143"/>
      <c r="B3" s="143"/>
      <c r="C3" s="143"/>
      <c r="D3" s="143"/>
      <c r="E3" s="143"/>
      <c r="F3" s="143"/>
    </row>
    <row r="4" spans="1:6" s="157" customFormat="1" ht="15">
      <c r="A4" s="159" t="s">
        <v>158</v>
      </c>
      <c r="B4" s="158" t="s">
        <v>314</v>
      </c>
      <c r="C4" s="158" t="s">
        <v>315</v>
      </c>
      <c r="D4" s="158" t="s">
        <v>316</v>
      </c>
      <c r="E4" s="158" t="s">
        <v>317</v>
      </c>
      <c r="F4" s="158" t="s">
        <v>318</v>
      </c>
    </row>
    <row r="5" spans="2:6" ht="12.75">
      <c r="B5" s="141"/>
      <c r="C5" s="141"/>
      <c r="D5" s="141"/>
      <c r="E5" s="141"/>
      <c r="F5" s="141"/>
    </row>
    <row r="6" spans="1:6" ht="12.75">
      <c r="A6" s="140" t="s">
        <v>209</v>
      </c>
      <c r="B6" s="142">
        <f>'Información Est. de Resultados'!E7</f>
        <v>101250000</v>
      </c>
      <c r="C6" s="142">
        <f>'Información Est. de Resultados'!M7</f>
        <v>231000000</v>
      </c>
      <c r="D6" s="142">
        <f>'Información Est. de Resultados'!N7</f>
        <v>231000000</v>
      </c>
      <c r="E6" s="142">
        <f>'Información Est. de Resultados'!O7</f>
        <v>231000000</v>
      </c>
      <c r="F6" s="142">
        <f>'Información Est. de Resultados'!P7</f>
        <v>231000000</v>
      </c>
    </row>
    <row r="7" spans="1:6" ht="12.75">
      <c r="A7" s="140"/>
      <c r="B7" s="142"/>
      <c r="C7" s="142"/>
      <c r="D7" s="142"/>
      <c r="E7" s="142"/>
      <c r="F7" s="142"/>
    </row>
    <row r="8" spans="1:6" ht="12.75">
      <c r="A8" s="140" t="s">
        <v>306</v>
      </c>
      <c r="B8" s="142">
        <f>'Información Est. de Resultados'!E28</f>
        <v>58750563.333333336</v>
      </c>
      <c r="C8" s="142">
        <f>'Información Est. de Resultados'!M28</f>
        <v>124647993.33333333</v>
      </c>
      <c r="D8" s="142">
        <f>'Información Est. de Resultados'!N28</f>
        <v>127531326.66666667</v>
      </c>
      <c r="E8" s="142">
        <f>'Información Est. de Resultados'!O28</f>
        <v>127531326.66666667</v>
      </c>
      <c r="F8" s="142">
        <f>'Información Est. de Resultados'!P28</f>
        <v>127531326.66666667</v>
      </c>
    </row>
    <row r="9" ht="12.75">
      <c r="A9" s="140"/>
    </row>
    <row r="10" spans="1:6" ht="12.75">
      <c r="A10" s="140" t="s">
        <v>303</v>
      </c>
      <c r="B10" s="142">
        <f>B6-B8</f>
        <v>42499436.666666664</v>
      </c>
      <c r="C10" s="142">
        <f>C6-C8</f>
        <v>106352006.66666667</v>
      </c>
      <c r="D10" s="142">
        <f>D6-D8</f>
        <v>103468673.33333333</v>
      </c>
      <c r="E10" s="142">
        <f>E6-E8</f>
        <v>103468673.33333333</v>
      </c>
      <c r="F10" s="142">
        <f>F6-F8</f>
        <v>103468673.33333333</v>
      </c>
    </row>
    <row r="11" ht="12.75">
      <c r="A11" s="140"/>
    </row>
    <row r="12" spans="1:6" ht="12.75">
      <c r="A12" s="140" t="s">
        <v>326</v>
      </c>
      <c r="B12" s="142">
        <f>'Información Est. de Resultados'!E33</f>
        <v>36112483.333333336</v>
      </c>
      <c r="C12" s="142">
        <f>'Información Est. de Resultados'!M33</f>
        <v>77024966.66666667</v>
      </c>
      <c r="D12" s="142">
        <f>'Información Est. de Resultados'!N33</f>
        <v>77024966.66666667</v>
      </c>
      <c r="E12" s="142">
        <f>'Información Est. de Resultados'!O33</f>
        <v>77024966.66666667</v>
      </c>
      <c r="F12" s="142">
        <f>'Información Est. de Resultados'!P33</f>
        <v>77024966.66666667</v>
      </c>
    </row>
    <row r="13" ht="12.75">
      <c r="A13" s="140"/>
    </row>
    <row r="14" spans="1:6" ht="12.75">
      <c r="A14" s="140" t="s">
        <v>288</v>
      </c>
      <c r="B14" s="142">
        <f>B10-B12</f>
        <v>6386953.333333328</v>
      </c>
      <c r="C14" s="142">
        <f>C10-C12</f>
        <v>29327040</v>
      </c>
      <c r="D14" s="142">
        <f>D10-D12</f>
        <v>26443706.666666657</v>
      </c>
      <c r="E14" s="142">
        <f>E10-E12</f>
        <v>26443706.666666657</v>
      </c>
      <c r="F14" s="142">
        <f>F10-F12</f>
        <v>26443706.666666657</v>
      </c>
    </row>
    <row r="15" ht="12.75">
      <c r="A15" s="140"/>
    </row>
    <row r="16" spans="1:6" ht="12.75">
      <c r="A16" s="140" t="s">
        <v>304</v>
      </c>
      <c r="B16" s="142">
        <f>'Información Est. de Resultados'!E64</f>
        <v>2595376.0192870856</v>
      </c>
      <c r="C16" s="142">
        <f>'Información Est. de Resultados'!M64</f>
        <v>4257544.676907105</v>
      </c>
      <c r="D16" s="142">
        <f>'Información Est. de Resultados'!N64</f>
        <v>2719049.079046641</v>
      </c>
      <c r="E16" s="142">
        <f>'Información Est. de Resultados'!O64</f>
        <v>1186416.3203842393</v>
      </c>
      <c r="F16" s="142">
        <f>'Información Est. de Resultados'!P64</f>
        <v>188038.51783737107</v>
      </c>
    </row>
    <row r="17" ht="12.75">
      <c r="A17" s="140"/>
    </row>
    <row r="18" spans="1:6" ht="12.75">
      <c r="A18" s="140" t="s">
        <v>307</v>
      </c>
      <c r="B18" s="142">
        <f>B14-B16</f>
        <v>3791577.3140462427</v>
      </c>
      <c r="C18" s="142">
        <f>C14-C16</f>
        <v>25069495.323092893</v>
      </c>
      <c r="D18" s="142">
        <f>D14-D16</f>
        <v>23724657.587620016</v>
      </c>
      <c r="E18" s="142">
        <f>E14-E16</f>
        <v>25257290.34628242</v>
      </c>
      <c r="F18" s="142">
        <f>F14-F16</f>
        <v>26255668.148829285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zoomScalePageLayoutView="0" workbookViewId="0" topLeftCell="A11">
      <selection activeCell="H18" sqref="H18"/>
    </sheetView>
  </sheetViews>
  <sheetFormatPr defaultColWidth="10.421875" defaultRowHeight="12.75"/>
  <cols>
    <col min="1" max="1" width="1.7109375" style="2" customWidth="1"/>
    <col min="2" max="2" width="2.28125" style="18" customWidth="1"/>
    <col min="3" max="3" width="46.421875" style="58" bestFit="1" customWidth="1"/>
    <col min="4" max="4" width="3.28125" style="58" customWidth="1"/>
    <col min="5" max="5" width="11.7109375" style="58" bestFit="1" customWidth="1"/>
    <col min="6" max="6" width="10.140625" style="58" bestFit="1" customWidth="1"/>
    <col min="7" max="7" width="10.7109375" style="58" bestFit="1" customWidth="1"/>
    <col min="8" max="8" width="10.140625" style="58" bestFit="1" customWidth="1"/>
    <col min="9" max="9" width="13.7109375" style="58" bestFit="1" customWidth="1"/>
    <col min="10" max="10" width="10.421875" style="58" bestFit="1" customWidth="1"/>
    <col min="11" max="11" width="13.28125" style="58" bestFit="1" customWidth="1"/>
    <col min="12" max="12" width="12.7109375" style="58" bestFit="1" customWidth="1"/>
    <col min="13" max="15" width="11.140625" style="58" bestFit="1" customWidth="1"/>
    <col min="16" max="16" width="11.140625" style="58" hidden="1" customWidth="1"/>
    <col min="17" max="18" width="3.28125" style="58" customWidth="1"/>
    <col min="19" max="16384" width="10.421875" style="58" customWidth="1"/>
  </cols>
  <sheetData>
    <row r="1" spans="3:17" s="17" customFormat="1" ht="15">
      <c r="C1" s="145" t="str">
        <f>+'Notas B G'!C2:F2</f>
        <v>CIOCCOLATO AMBER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3:17" s="17" customFormat="1" ht="12.75">
      <c r="C2" s="147" t="s">
        <v>325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3:16" s="17" customFormat="1" ht="15">
      <c r="C3" s="8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8" ht="12.75">
      <c r="B4" s="55"/>
      <c r="C4" s="56"/>
      <c r="D4" s="57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19"/>
    </row>
    <row r="5" spans="1:17" s="17" customFormat="1" ht="12.75">
      <c r="A5" s="2"/>
      <c r="B5" s="59"/>
      <c r="E5" s="5" t="s">
        <v>154</v>
      </c>
      <c r="F5" s="5">
        <v>41061</v>
      </c>
      <c r="G5" s="5">
        <v>41091</v>
      </c>
      <c r="H5" s="5">
        <v>41122</v>
      </c>
      <c r="I5" s="5">
        <v>41153</v>
      </c>
      <c r="J5" s="5">
        <v>41183</v>
      </c>
      <c r="K5" s="5">
        <v>41214</v>
      </c>
      <c r="L5" s="5">
        <v>41244</v>
      </c>
      <c r="M5" s="5" t="s">
        <v>155</v>
      </c>
      <c r="N5" s="5" t="s">
        <v>156</v>
      </c>
      <c r="O5" s="5" t="s">
        <v>157</v>
      </c>
      <c r="P5" s="5" t="s">
        <v>193</v>
      </c>
      <c r="Q5" s="3"/>
    </row>
    <row r="6" spans="2:17" ht="12.75">
      <c r="B6" s="59"/>
      <c r="C6" s="60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</row>
    <row r="7" spans="2:17" s="2" customFormat="1" ht="12.75">
      <c r="B7" s="61"/>
      <c r="C7" s="62" t="s">
        <v>3</v>
      </c>
      <c r="D7" s="63"/>
      <c r="E7" s="64">
        <f>+E8+E9-E11-E12+E10</f>
        <v>182250000</v>
      </c>
      <c r="F7" s="64">
        <f aca="true" t="shared" si="0" ref="F7:O7">+F8+F9-F11-F12+F10</f>
        <v>81000000</v>
      </c>
      <c r="G7" s="64">
        <f>+G8+G9-G11-G12+G10</f>
        <v>16000000</v>
      </c>
      <c r="H7" s="64">
        <f t="shared" si="0"/>
        <v>16000000</v>
      </c>
      <c r="I7" s="64">
        <f t="shared" si="0"/>
        <v>16000000</v>
      </c>
      <c r="J7" s="64">
        <f t="shared" si="0"/>
        <v>17750000</v>
      </c>
      <c r="K7" s="64">
        <f t="shared" si="0"/>
        <v>17750000</v>
      </c>
      <c r="L7" s="64">
        <f t="shared" si="0"/>
        <v>17750000</v>
      </c>
      <c r="M7" s="64">
        <f t="shared" si="0"/>
        <v>231000000</v>
      </c>
      <c r="N7" s="64">
        <f t="shared" si="0"/>
        <v>231000000</v>
      </c>
      <c r="O7" s="64">
        <f t="shared" si="0"/>
        <v>231000000</v>
      </c>
      <c r="P7" s="64">
        <f>+P8+P9-P11-P12</f>
        <v>231000000</v>
      </c>
      <c r="Q7" s="65"/>
    </row>
    <row r="8" spans="2:17" ht="12.75">
      <c r="B8" s="66"/>
      <c r="C8" s="7" t="s">
        <v>102</v>
      </c>
      <c r="D8" s="67"/>
      <c r="E8" s="8">
        <f>SUM(F8:L8)</f>
        <v>78750000</v>
      </c>
      <c r="F8" s="8">
        <f>+'Proyeccion de Ventas'!D6</f>
        <v>0</v>
      </c>
      <c r="G8" s="8">
        <f>+'Proyeccion de Ventas'!E6</f>
        <v>12500000</v>
      </c>
      <c r="H8" s="8">
        <f>+'Proyeccion de Ventas'!F6</f>
        <v>12500000</v>
      </c>
      <c r="I8" s="8">
        <f>+'Proyeccion de Ventas'!G6</f>
        <v>12500000</v>
      </c>
      <c r="J8" s="8">
        <f>+'Proyeccion de Ventas'!H6</f>
        <v>13750000</v>
      </c>
      <c r="K8" s="8">
        <f>+'Proyeccion de Ventas'!I6</f>
        <v>13750000</v>
      </c>
      <c r="L8" s="8">
        <f>+'Proyeccion de Ventas'!J6</f>
        <v>13750000</v>
      </c>
      <c r="M8" s="8">
        <f>+'Proyeccion de Ventas'!K6</f>
        <v>180000000</v>
      </c>
      <c r="N8" s="8">
        <f>+'Proyeccion de Ventas'!L6</f>
        <v>180000000</v>
      </c>
      <c r="O8" s="8">
        <f>+'Proyeccion de Ventas'!M6</f>
        <v>180000000</v>
      </c>
      <c r="P8" s="8">
        <f>+'Proyeccion de Ventas'!N6</f>
        <v>180000000</v>
      </c>
      <c r="Q8" s="3"/>
    </row>
    <row r="9" spans="2:17" ht="12.75">
      <c r="B9" s="66"/>
      <c r="C9" s="7" t="s">
        <v>214</v>
      </c>
      <c r="D9" s="67"/>
      <c r="E9" s="8">
        <f>SUM(F9:L9)</f>
        <v>22500000</v>
      </c>
      <c r="F9" s="8">
        <f>+'Proyeccion de Ventas'!D7</f>
        <v>0</v>
      </c>
      <c r="G9" s="8">
        <f>+'Proyeccion de Ventas'!E7</f>
        <v>3500000</v>
      </c>
      <c r="H9" s="8">
        <f>+'Proyeccion de Ventas'!F7</f>
        <v>3500000</v>
      </c>
      <c r="I9" s="8">
        <f>+'Proyeccion de Ventas'!G7</f>
        <v>3500000</v>
      </c>
      <c r="J9" s="8">
        <f>+'Proyeccion de Ventas'!H7</f>
        <v>4000000</v>
      </c>
      <c r="K9" s="8">
        <f>+'Proyeccion de Ventas'!I7</f>
        <v>4000000</v>
      </c>
      <c r="L9" s="8">
        <f>+'Proyeccion de Ventas'!J7</f>
        <v>4000000</v>
      </c>
      <c r="M9" s="8">
        <f>+'Proyeccion de Ventas'!K7</f>
        <v>51000000</v>
      </c>
      <c r="N9" s="8">
        <f>+'Proyeccion de Ventas'!L7</f>
        <v>51000000</v>
      </c>
      <c r="O9" s="8">
        <f>+'Proyeccion de Ventas'!M7</f>
        <v>51000000</v>
      </c>
      <c r="P9" s="8">
        <f>+'Proyeccion de Ventas'!N7</f>
        <v>51000000</v>
      </c>
      <c r="Q9" s="3"/>
    </row>
    <row r="10" spans="2:17" ht="12.75">
      <c r="B10" s="66"/>
      <c r="C10" s="7" t="s">
        <v>328</v>
      </c>
      <c r="D10" s="67"/>
      <c r="E10" s="8">
        <v>81000000</v>
      </c>
      <c r="F10" s="8">
        <v>81000000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3"/>
    </row>
    <row r="11" spans="2:17" ht="12.75">
      <c r="B11" s="66"/>
      <c r="C11" s="7" t="s">
        <v>213</v>
      </c>
      <c r="D11" s="67"/>
      <c r="E11" s="8">
        <v>0</v>
      </c>
      <c r="F11" s="8">
        <f>+'Proyeccion de Ventas'!D8</f>
        <v>0</v>
      </c>
      <c r="G11" s="8">
        <f>+'Proyeccion de Ventas'!E8</f>
        <v>0</v>
      </c>
      <c r="H11" s="8">
        <f>+'Proyeccion de Ventas'!F8</f>
        <v>0</v>
      </c>
      <c r="I11" s="8">
        <f>+'Proyeccion de Ventas'!G8</f>
        <v>0</v>
      </c>
      <c r="J11" s="8">
        <f>+'Proyeccion de Ventas'!H8</f>
        <v>0</v>
      </c>
      <c r="K11" s="8">
        <f>+'Proyeccion de Ventas'!I8</f>
        <v>0</v>
      </c>
      <c r="L11" s="8">
        <f>+'Proyeccion de Ventas'!J8</f>
        <v>0</v>
      </c>
      <c r="M11" s="8">
        <f>+'Proyeccion de Ventas'!K8</f>
        <v>0</v>
      </c>
      <c r="N11" s="8">
        <f>+'Proyeccion de Ventas'!L8</f>
        <v>0</v>
      </c>
      <c r="O11" s="8">
        <f>+'Proyeccion de Ventas'!M8</f>
        <v>0</v>
      </c>
      <c r="P11" s="8">
        <f>+'Proyeccion de Ventas'!N8</f>
        <v>0</v>
      </c>
      <c r="Q11" s="3"/>
    </row>
    <row r="12" spans="2:17" ht="12.75">
      <c r="B12" s="66"/>
      <c r="C12" s="7" t="s">
        <v>215</v>
      </c>
      <c r="D12" s="67"/>
      <c r="E12" s="8">
        <v>0</v>
      </c>
      <c r="F12" s="8">
        <f>+'Proyeccion de Ventas'!D9</f>
        <v>0</v>
      </c>
      <c r="G12" s="8">
        <f>+'Proyeccion de Ventas'!E9</f>
        <v>0</v>
      </c>
      <c r="H12" s="8">
        <f>+'Proyeccion de Ventas'!F9</f>
        <v>0</v>
      </c>
      <c r="I12" s="8">
        <f>+'Proyeccion de Ventas'!G9</f>
        <v>0</v>
      </c>
      <c r="J12" s="8">
        <f>+'Proyeccion de Ventas'!H9</f>
        <v>0</v>
      </c>
      <c r="K12" s="8">
        <f>+'Proyeccion de Ventas'!I9</f>
        <v>0</v>
      </c>
      <c r="L12" s="8">
        <f>+'Proyeccion de Ventas'!J9</f>
        <v>0</v>
      </c>
      <c r="M12" s="8">
        <f>+'Proyeccion de Ventas'!K9</f>
        <v>0</v>
      </c>
      <c r="N12" s="8">
        <f>+'Proyeccion de Ventas'!L9</f>
        <v>0</v>
      </c>
      <c r="O12" s="8">
        <f>+'Proyeccion de Ventas'!M9</f>
        <v>0</v>
      </c>
      <c r="P12" s="8">
        <f>+'Proyeccion de Ventas'!N9</f>
        <v>0</v>
      </c>
      <c r="Q12" s="3"/>
    </row>
    <row r="13" spans="2:17" s="2" customFormat="1" ht="12.75">
      <c r="B13" s="6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5"/>
    </row>
    <row r="14" spans="2:17" s="2" customFormat="1" ht="12.75">
      <c r="B14" s="66"/>
      <c r="C14" s="68" t="s">
        <v>184</v>
      </c>
      <c r="D14" s="69"/>
      <c r="E14" s="70">
        <f aca="true" t="shared" si="1" ref="E14:P14">+E7</f>
        <v>182250000</v>
      </c>
      <c r="F14" s="70">
        <f t="shared" si="1"/>
        <v>81000000</v>
      </c>
      <c r="G14" s="70">
        <f t="shared" si="1"/>
        <v>16000000</v>
      </c>
      <c r="H14" s="70">
        <f t="shared" si="1"/>
        <v>16000000</v>
      </c>
      <c r="I14" s="70">
        <f t="shared" si="1"/>
        <v>16000000</v>
      </c>
      <c r="J14" s="70">
        <f t="shared" si="1"/>
        <v>17750000</v>
      </c>
      <c r="K14" s="70">
        <f t="shared" si="1"/>
        <v>17750000</v>
      </c>
      <c r="L14" s="70">
        <f t="shared" si="1"/>
        <v>17750000</v>
      </c>
      <c r="M14" s="70">
        <f t="shared" si="1"/>
        <v>231000000</v>
      </c>
      <c r="N14" s="70">
        <f t="shared" si="1"/>
        <v>231000000</v>
      </c>
      <c r="O14" s="70">
        <f t="shared" si="1"/>
        <v>231000000</v>
      </c>
      <c r="P14" s="70">
        <f t="shared" si="1"/>
        <v>231000000</v>
      </c>
      <c r="Q14" s="65"/>
    </row>
    <row r="15" spans="2:17" s="2" customFormat="1" ht="12.75">
      <c r="B15" s="66"/>
      <c r="C15" s="9"/>
      <c r="D15" s="10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5"/>
    </row>
    <row r="16" spans="2:17" s="2" customFormat="1" ht="12.75">
      <c r="B16" s="66"/>
      <c r="C16" s="60" t="s">
        <v>185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65"/>
    </row>
    <row r="17" spans="2:17" s="2" customFormat="1" ht="12.75">
      <c r="B17" s="66"/>
      <c r="C17" s="68" t="s">
        <v>271</v>
      </c>
      <c r="D17" s="63"/>
      <c r="E17" s="70">
        <f aca="true" t="shared" si="2" ref="E17:P17">SUM(E18:E23)</f>
        <v>54317880</v>
      </c>
      <c r="F17" s="70">
        <f t="shared" si="2"/>
        <v>0</v>
      </c>
      <c r="G17" s="70">
        <f t="shared" si="2"/>
        <v>9052980</v>
      </c>
      <c r="H17" s="70">
        <f t="shared" si="2"/>
        <v>9052980</v>
      </c>
      <c r="I17" s="70">
        <f t="shared" si="2"/>
        <v>9052980</v>
      </c>
      <c r="J17" s="70">
        <f t="shared" si="2"/>
        <v>9052980</v>
      </c>
      <c r="K17" s="70">
        <f t="shared" si="2"/>
        <v>9052980</v>
      </c>
      <c r="L17" s="70">
        <f t="shared" si="2"/>
        <v>9052980</v>
      </c>
      <c r="M17" s="70">
        <f t="shared" si="2"/>
        <v>108635760</v>
      </c>
      <c r="N17" s="70">
        <f t="shared" si="2"/>
        <v>108635760</v>
      </c>
      <c r="O17" s="70">
        <f t="shared" si="2"/>
        <v>108635760</v>
      </c>
      <c r="P17" s="70">
        <f t="shared" si="2"/>
        <v>108635760</v>
      </c>
      <c r="Q17" s="65"/>
    </row>
    <row r="18" spans="2:17" s="2" customFormat="1" ht="12.75">
      <c r="B18" s="66"/>
      <c r="C18" s="7" t="s">
        <v>272</v>
      </c>
      <c r="D18" s="67"/>
      <c r="E18" s="8">
        <f aca="true" t="shared" si="3" ref="E18:E23">SUM(F18:L18)</f>
        <v>43517880</v>
      </c>
      <c r="F18" s="8"/>
      <c r="G18" s="8">
        <f>+'Honorarios y Servicios'!D11</f>
        <v>7252980</v>
      </c>
      <c r="H18" s="8">
        <f>+'Honorarios y Servicios'!E11</f>
        <v>7252980</v>
      </c>
      <c r="I18" s="8">
        <f>+'Honorarios y Servicios'!F11</f>
        <v>7252980</v>
      </c>
      <c r="J18" s="8">
        <f>+'Honorarios y Servicios'!G11</f>
        <v>7252980</v>
      </c>
      <c r="K18" s="8">
        <f>+'Honorarios y Servicios'!H11</f>
        <v>7252980</v>
      </c>
      <c r="L18" s="8">
        <f>+'Honorarios y Servicios'!I11</f>
        <v>7252980</v>
      </c>
      <c r="M18" s="8">
        <f>+'Honorarios y Servicios'!J11</f>
        <v>87035760</v>
      </c>
      <c r="N18" s="8">
        <f>+'Honorarios y Servicios'!K11</f>
        <v>87035760</v>
      </c>
      <c r="O18" s="8">
        <f>+'Honorarios y Servicios'!L11</f>
        <v>87035760</v>
      </c>
      <c r="P18" s="8">
        <f>+'Honorarios y Servicios'!M11</f>
        <v>87035760</v>
      </c>
      <c r="Q18" s="65"/>
    </row>
    <row r="19" spans="2:17" s="2" customFormat="1" ht="12.75">
      <c r="B19" s="66"/>
      <c r="C19" s="7" t="s">
        <v>187</v>
      </c>
      <c r="D19" s="67"/>
      <c r="E19" s="8">
        <f t="shared" si="3"/>
        <v>0</v>
      </c>
      <c r="F19" s="8"/>
      <c r="G19" s="8">
        <v>0</v>
      </c>
      <c r="H19" s="8"/>
      <c r="I19" s="8"/>
      <c r="J19" s="8"/>
      <c r="K19" s="8"/>
      <c r="L19" s="8"/>
      <c r="M19" s="8"/>
      <c r="N19" s="8"/>
      <c r="O19" s="8"/>
      <c r="P19" s="8"/>
      <c r="Q19" s="65"/>
    </row>
    <row r="20" spans="2:17" s="2" customFormat="1" ht="12.75">
      <c r="B20" s="66"/>
      <c r="C20" s="7" t="s">
        <v>63</v>
      </c>
      <c r="D20" s="67"/>
      <c r="E20" s="8">
        <f t="shared" si="3"/>
        <v>6000000</v>
      </c>
      <c r="F20" s="8"/>
      <c r="G20" s="8">
        <v>1000000</v>
      </c>
      <c r="H20" s="8">
        <v>1000000</v>
      </c>
      <c r="I20" s="8">
        <v>1000000</v>
      </c>
      <c r="J20" s="8">
        <v>1000000</v>
      </c>
      <c r="K20" s="8">
        <v>1000000</v>
      </c>
      <c r="L20" s="8">
        <v>1000000</v>
      </c>
      <c r="M20" s="8">
        <f>+L20*12</f>
        <v>12000000</v>
      </c>
      <c r="N20" s="8">
        <f aca="true" t="shared" si="4" ref="N20:P21">+M20</f>
        <v>12000000</v>
      </c>
      <c r="O20" s="8">
        <f t="shared" si="4"/>
        <v>12000000</v>
      </c>
      <c r="P20" s="8">
        <f t="shared" si="4"/>
        <v>12000000</v>
      </c>
      <c r="Q20" s="65"/>
    </row>
    <row r="21" spans="2:17" s="2" customFormat="1" ht="12.75">
      <c r="B21" s="66"/>
      <c r="C21" s="7" t="s">
        <v>205</v>
      </c>
      <c r="D21" s="67"/>
      <c r="E21" s="8">
        <f t="shared" si="3"/>
        <v>4800000</v>
      </c>
      <c r="F21" s="8"/>
      <c r="G21" s="8">
        <v>800000</v>
      </c>
      <c r="H21" s="8">
        <f>+G21</f>
        <v>800000</v>
      </c>
      <c r="I21" s="8">
        <f>+H21</f>
        <v>800000</v>
      </c>
      <c r="J21" s="8">
        <f>+I21</f>
        <v>800000</v>
      </c>
      <c r="K21" s="8">
        <f>+J21</f>
        <v>800000</v>
      </c>
      <c r="L21" s="8">
        <f>+K21</f>
        <v>800000</v>
      </c>
      <c r="M21" s="8">
        <f>+L21*12</f>
        <v>9600000</v>
      </c>
      <c r="N21" s="8">
        <f t="shared" si="4"/>
        <v>9600000</v>
      </c>
      <c r="O21" s="8">
        <f t="shared" si="4"/>
        <v>9600000</v>
      </c>
      <c r="P21" s="8">
        <f t="shared" si="4"/>
        <v>9600000</v>
      </c>
      <c r="Q21" s="65"/>
    </row>
    <row r="22" spans="2:17" s="2" customFormat="1" ht="12.75" hidden="1">
      <c r="B22" s="66"/>
      <c r="C22" s="7" t="s">
        <v>83</v>
      </c>
      <c r="D22" s="67"/>
      <c r="E22" s="8">
        <f t="shared" si="3"/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5"/>
    </row>
    <row r="23" spans="2:17" s="2" customFormat="1" ht="12.75">
      <c r="B23" s="66"/>
      <c r="C23" s="7"/>
      <c r="D23" s="67"/>
      <c r="E23" s="8">
        <f t="shared" si="3"/>
        <v>0</v>
      </c>
      <c r="F23" s="8"/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65"/>
    </row>
    <row r="24" spans="2:17" s="2" customFormat="1" ht="12.75">
      <c r="B24" s="66"/>
      <c r="C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5"/>
    </row>
    <row r="25" spans="2:17" s="2" customFormat="1" ht="12.75">
      <c r="B25" s="66"/>
      <c r="C25" s="71" t="s">
        <v>4</v>
      </c>
      <c r="E25" s="70">
        <f>SUM(E26:E47)</f>
        <v>4992500</v>
      </c>
      <c r="F25" s="70">
        <f aca="true" t="shared" si="5" ref="F25:P25">SUM(F26:F46)</f>
        <v>0</v>
      </c>
      <c r="G25" s="70">
        <f t="shared" si="5"/>
        <v>2833333.3333333335</v>
      </c>
      <c r="H25" s="70">
        <f t="shared" si="5"/>
        <v>333333.3333333333</v>
      </c>
      <c r="I25" s="70">
        <f t="shared" si="5"/>
        <v>333333.3333333333</v>
      </c>
      <c r="J25" s="70">
        <f t="shared" si="5"/>
        <v>333333.3333333333</v>
      </c>
      <c r="K25" s="70">
        <f t="shared" si="5"/>
        <v>333333.3333333333</v>
      </c>
      <c r="L25" s="70">
        <f t="shared" si="5"/>
        <v>333333.3333333333</v>
      </c>
      <c r="M25" s="70">
        <f t="shared" si="5"/>
        <v>4000000</v>
      </c>
      <c r="N25" s="70">
        <f t="shared" si="5"/>
        <v>4000000</v>
      </c>
      <c r="O25" s="70">
        <f t="shared" si="5"/>
        <v>4000000</v>
      </c>
      <c r="P25" s="70">
        <f t="shared" si="5"/>
        <v>3000000</v>
      </c>
      <c r="Q25" s="65"/>
    </row>
    <row r="26" spans="2:17" ht="12.75">
      <c r="B26" s="59"/>
      <c r="C26" s="7" t="s">
        <v>82</v>
      </c>
      <c r="D26" s="67"/>
      <c r="E26" s="8">
        <f aca="true" t="shared" si="6" ref="E26:E46">SUM(F26:L26)</f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"/>
    </row>
    <row r="27" spans="2:17" ht="12.75">
      <c r="B27" s="59"/>
      <c r="C27" s="7" t="s">
        <v>189</v>
      </c>
      <c r="D27" s="67"/>
      <c r="E27" s="8">
        <f t="shared" si="6"/>
        <v>187500</v>
      </c>
      <c r="F27" s="8"/>
      <c r="G27" s="8">
        <f>'Información Est. de Resultados'!G39</f>
        <v>31250</v>
      </c>
      <c r="H27" s="8">
        <f>'Información Est. de Resultados'!H39</f>
        <v>31250</v>
      </c>
      <c r="I27" s="8">
        <f>'Información Est. de Resultados'!I39</f>
        <v>31250</v>
      </c>
      <c r="J27" s="8">
        <f>'Información Est. de Resultados'!J39</f>
        <v>31250</v>
      </c>
      <c r="K27" s="8">
        <f>'Información Est. de Resultados'!K39</f>
        <v>31250</v>
      </c>
      <c r="L27" s="8">
        <f>'Información Est. de Resultados'!L39</f>
        <v>31250</v>
      </c>
      <c r="M27" s="8">
        <f>'Información Est. de Resultados'!M39</f>
        <v>375000</v>
      </c>
      <c r="N27" s="8">
        <f>'Información Est. de Resultados'!N39</f>
        <v>375000</v>
      </c>
      <c r="O27" s="8">
        <f>'Información Est. de Resultados'!O39</f>
        <v>375000</v>
      </c>
      <c r="P27" s="8"/>
      <c r="Q27" s="3"/>
    </row>
    <row r="28" spans="2:17" ht="12.75">
      <c r="B28" s="59"/>
      <c r="C28" s="7" t="s">
        <v>71</v>
      </c>
      <c r="D28" s="67"/>
      <c r="E28" s="8">
        <f t="shared" si="6"/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"/>
    </row>
    <row r="29" spans="2:17" ht="12.75">
      <c r="B29" s="59"/>
      <c r="C29" s="7" t="s">
        <v>72</v>
      </c>
      <c r="D29" s="67"/>
      <c r="E29" s="8">
        <f t="shared" si="6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"/>
    </row>
    <row r="30" spans="1:17" ht="12.75">
      <c r="A30" s="58"/>
      <c r="B30" s="59"/>
      <c r="C30" s="7" t="s">
        <v>73</v>
      </c>
      <c r="D30" s="67"/>
      <c r="E30" s="8">
        <f t="shared" si="6"/>
        <v>249999.99999999997</v>
      </c>
      <c r="F30" s="8"/>
      <c r="G30" s="8">
        <f>'Información Est. de Resultados'!G42</f>
        <v>41666.666666666664</v>
      </c>
      <c r="H30" s="8">
        <f>'Información Est. de Resultados'!H42</f>
        <v>41666.666666666664</v>
      </c>
      <c r="I30" s="8">
        <f>'Información Est. de Resultados'!I42</f>
        <v>41666.666666666664</v>
      </c>
      <c r="J30" s="8">
        <f>'Información Est. de Resultados'!J42</f>
        <v>41666.666666666664</v>
      </c>
      <c r="K30" s="8">
        <f>'Información Est. de Resultados'!K42</f>
        <v>41666.666666666664</v>
      </c>
      <c r="L30" s="8">
        <f>'Información Est. de Resultados'!L42</f>
        <v>41666.666666666664</v>
      </c>
      <c r="M30" s="8">
        <f>'Información Est. de Resultados'!M42</f>
        <v>500000</v>
      </c>
      <c r="N30" s="8">
        <f>'Información Est. de Resultados'!N42</f>
        <v>500000</v>
      </c>
      <c r="O30" s="8">
        <f>'Información Est. de Resultados'!O42</f>
        <v>500000</v>
      </c>
      <c r="P30" s="8"/>
      <c r="Q30" s="3"/>
    </row>
    <row r="31" spans="1:17" ht="12.75" hidden="1">
      <c r="A31" s="58"/>
      <c r="B31" s="59"/>
      <c r="C31" s="7" t="s">
        <v>14</v>
      </c>
      <c r="D31" s="67"/>
      <c r="E31" s="8">
        <f t="shared" si="6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"/>
    </row>
    <row r="32" spans="1:17" ht="12.75">
      <c r="A32" s="58"/>
      <c r="B32" s="59"/>
      <c r="C32" s="7" t="s">
        <v>305</v>
      </c>
      <c r="D32" s="67"/>
      <c r="E32" s="8">
        <f t="shared" si="6"/>
        <v>62499.99999999999</v>
      </c>
      <c r="F32" s="8"/>
      <c r="G32" s="8">
        <f>'Información Est. de Resultados'!G44</f>
        <v>10416.666666666666</v>
      </c>
      <c r="H32" s="8">
        <f>'Información Est. de Resultados'!H44</f>
        <v>10416.666666666666</v>
      </c>
      <c r="I32" s="8">
        <f>'Información Est. de Resultados'!I44</f>
        <v>10416.666666666666</v>
      </c>
      <c r="J32" s="8">
        <f>'Información Est. de Resultados'!J44</f>
        <v>10416.666666666666</v>
      </c>
      <c r="K32" s="8">
        <f>'Información Est. de Resultados'!K44</f>
        <v>10416.666666666666</v>
      </c>
      <c r="L32" s="8">
        <f>'Información Est. de Resultados'!L44</f>
        <v>10416.666666666666</v>
      </c>
      <c r="M32" s="8">
        <f>'Información Est. de Resultados'!M44</f>
        <v>125000</v>
      </c>
      <c r="N32" s="8">
        <f>'Información Est. de Resultados'!N44</f>
        <v>125000</v>
      </c>
      <c r="O32" s="8">
        <f>'Información Est. de Resultados'!O44</f>
        <v>125000</v>
      </c>
      <c r="P32" s="8"/>
      <c r="Q32" s="3"/>
    </row>
    <row r="33" spans="2:17" ht="12.75" hidden="1">
      <c r="B33" s="59"/>
      <c r="C33" s="7" t="s">
        <v>5</v>
      </c>
      <c r="D33" s="67"/>
      <c r="E33" s="8">
        <f t="shared" si="6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"/>
    </row>
    <row r="34" spans="2:17" ht="12.75" hidden="1">
      <c r="B34" s="59"/>
      <c r="C34" s="7" t="s">
        <v>74</v>
      </c>
      <c r="D34" s="67"/>
      <c r="E34" s="8">
        <f t="shared" si="6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"/>
    </row>
    <row r="35" spans="2:17" ht="12.75">
      <c r="B35" s="59"/>
      <c r="C35" s="7" t="s">
        <v>65</v>
      </c>
      <c r="D35" s="67"/>
      <c r="E35" s="8">
        <f t="shared" si="6"/>
        <v>1500000</v>
      </c>
      <c r="F35" s="8"/>
      <c r="G35" s="8">
        <v>250000</v>
      </c>
      <c r="H35" s="8">
        <v>250000</v>
      </c>
      <c r="I35" s="8">
        <v>250000</v>
      </c>
      <c r="J35" s="8">
        <v>250000</v>
      </c>
      <c r="K35" s="8">
        <v>250000</v>
      </c>
      <c r="L35" s="8">
        <v>250000</v>
      </c>
      <c r="M35" s="8">
        <f>+L35*12</f>
        <v>3000000</v>
      </c>
      <c r="N35" s="8">
        <f>+M35</f>
        <v>3000000</v>
      </c>
      <c r="O35" s="8">
        <f>+N35</f>
        <v>3000000</v>
      </c>
      <c r="P35" s="8">
        <f>+O35</f>
        <v>3000000</v>
      </c>
      <c r="Q35" s="3"/>
    </row>
    <row r="36" spans="1:17" ht="12.75" hidden="1">
      <c r="A36" s="58"/>
      <c r="B36" s="59"/>
      <c r="C36" s="7" t="s">
        <v>67</v>
      </c>
      <c r="D36" s="67"/>
      <c r="E36" s="8">
        <f t="shared" si="6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"/>
    </row>
    <row r="37" spans="1:17" ht="12.75" hidden="1">
      <c r="A37" s="58"/>
      <c r="B37" s="59"/>
      <c r="C37" s="7" t="s">
        <v>7</v>
      </c>
      <c r="D37" s="67"/>
      <c r="E37" s="8">
        <f t="shared" si="6"/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"/>
    </row>
    <row r="38" spans="1:17" ht="12.75" hidden="1">
      <c r="A38" s="58"/>
      <c r="B38" s="59"/>
      <c r="C38" s="7" t="s">
        <v>8</v>
      </c>
      <c r="D38" s="67"/>
      <c r="E38" s="8">
        <f t="shared" si="6"/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"/>
    </row>
    <row r="39" spans="1:17" ht="12.75" hidden="1">
      <c r="A39" s="58"/>
      <c r="B39" s="59"/>
      <c r="C39" s="7" t="s">
        <v>9</v>
      </c>
      <c r="D39" s="67"/>
      <c r="E39" s="8">
        <f t="shared" si="6"/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"/>
    </row>
    <row r="40" spans="2:17" ht="12.75" hidden="1">
      <c r="B40" s="59"/>
      <c r="C40" s="7" t="s">
        <v>10</v>
      </c>
      <c r="D40" s="67"/>
      <c r="E40" s="8">
        <f t="shared" si="6"/>
        <v>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"/>
    </row>
    <row r="41" spans="1:17" ht="12.75" hidden="1">
      <c r="A41" s="58"/>
      <c r="B41" s="59"/>
      <c r="C41" s="7" t="s">
        <v>11</v>
      </c>
      <c r="D41" s="67"/>
      <c r="E41" s="8">
        <f t="shared" si="6"/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"/>
    </row>
    <row r="42" spans="1:17" ht="12.75" hidden="1">
      <c r="A42" s="58"/>
      <c r="B42" s="59"/>
      <c r="C42" s="7" t="s">
        <v>68</v>
      </c>
      <c r="D42" s="67"/>
      <c r="E42" s="8">
        <f t="shared" si="6"/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"/>
    </row>
    <row r="43" spans="2:17" ht="12.75" hidden="1">
      <c r="B43" s="59"/>
      <c r="C43" s="7" t="s">
        <v>12</v>
      </c>
      <c r="D43" s="67"/>
      <c r="E43" s="8">
        <f t="shared" si="6"/>
        <v>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"/>
    </row>
    <row r="44" spans="2:17" ht="12.75" hidden="1">
      <c r="B44" s="59"/>
      <c r="C44" s="7" t="s">
        <v>13</v>
      </c>
      <c r="D44" s="67"/>
      <c r="E44" s="8">
        <f t="shared" si="6"/>
        <v>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"/>
    </row>
    <row r="45" spans="2:17" ht="12.75">
      <c r="B45" s="59"/>
      <c r="C45" s="7" t="s">
        <v>190</v>
      </c>
      <c r="D45" s="67"/>
      <c r="E45" s="8">
        <f>'Información Est. de Resultados'!E19+'Información Est. de Resultados'!E27</f>
        <v>2679999.9999999995</v>
      </c>
      <c r="F45" s="8"/>
      <c r="G45" s="8">
        <v>2500000</v>
      </c>
      <c r="H45" s="8"/>
      <c r="I45" s="8"/>
      <c r="J45" s="8"/>
      <c r="K45" s="8"/>
      <c r="L45" s="8"/>
      <c r="M45" s="8"/>
      <c r="N45" s="8"/>
      <c r="O45" s="8"/>
      <c r="P45" s="8"/>
      <c r="Q45" s="3"/>
    </row>
    <row r="46" spans="1:17" ht="12.75" hidden="1">
      <c r="A46" s="58"/>
      <c r="B46" s="59"/>
      <c r="C46" s="7" t="s">
        <v>69</v>
      </c>
      <c r="D46" s="67"/>
      <c r="E46" s="8">
        <f t="shared" si="6"/>
        <v>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"/>
    </row>
    <row r="47" spans="1:17" ht="12.75">
      <c r="A47" s="58"/>
      <c r="B47" s="59"/>
      <c r="C47" s="7" t="s">
        <v>13</v>
      </c>
      <c r="D47" s="72"/>
      <c r="E47" s="8">
        <f>SUM(G47:L47)</f>
        <v>312500</v>
      </c>
      <c r="F47" s="8"/>
      <c r="G47" s="8">
        <f>'Información Est. de Resultados'!G57</f>
        <v>52083.333333333336</v>
      </c>
      <c r="H47" s="8">
        <f>'Información Est. de Resultados'!H57</f>
        <v>52083.333333333336</v>
      </c>
      <c r="I47" s="8">
        <f>'Información Est. de Resultados'!I57</f>
        <v>52083.333333333336</v>
      </c>
      <c r="J47" s="8">
        <f>'Información Est. de Resultados'!J57</f>
        <v>52083.333333333336</v>
      </c>
      <c r="K47" s="8">
        <f>'Información Est. de Resultados'!K57</f>
        <v>52083.333333333336</v>
      </c>
      <c r="L47" s="8">
        <f>'Información Est. de Resultados'!L57</f>
        <v>52083.333333333336</v>
      </c>
      <c r="M47" s="8">
        <f>'Información Est. de Resultados'!M57</f>
        <v>625000</v>
      </c>
      <c r="N47" s="8">
        <f>'Información Est. de Resultados'!N57</f>
        <v>625000</v>
      </c>
      <c r="O47" s="8">
        <f>'Información Est. de Resultados'!O57</f>
        <v>625000</v>
      </c>
      <c r="P47" s="34"/>
      <c r="Q47" s="3"/>
    </row>
    <row r="48" spans="2:17" ht="12.75">
      <c r="B48" s="59"/>
      <c r="C48" s="10"/>
      <c r="D48" s="72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"/>
    </row>
    <row r="49" spans="2:17" ht="12.75">
      <c r="B49" s="59"/>
      <c r="C49" s="73" t="s">
        <v>294</v>
      </c>
      <c r="D49" s="74"/>
      <c r="E49" s="70">
        <f>+E51</f>
        <v>33840000</v>
      </c>
      <c r="F49" s="70">
        <f aca="true" t="shared" si="7" ref="F49:P49">+F51+F80</f>
        <v>0</v>
      </c>
      <c r="G49" s="70">
        <f t="shared" si="7"/>
        <v>5595700</v>
      </c>
      <c r="H49" s="70">
        <f t="shared" si="7"/>
        <v>5595700</v>
      </c>
      <c r="I49" s="70">
        <f t="shared" si="7"/>
        <v>5595700</v>
      </c>
      <c r="J49" s="70">
        <f t="shared" si="7"/>
        <v>6176300</v>
      </c>
      <c r="K49" s="70">
        <f t="shared" si="7"/>
        <v>6176300</v>
      </c>
      <c r="L49" s="70">
        <f t="shared" si="7"/>
        <v>6176300</v>
      </c>
      <c r="M49" s="70">
        <f t="shared" si="7"/>
        <v>80662200</v>
      </c>
      <c r="N49" s="70">
        <f t="shared" si="7"/>
        <v>80662200</v>
      </c>
      <c r="O49" s="70">
        <f t="shared" si="7"/>
        <v>80662200</v>
      </c>
      <c r="P49" s="70">
        <f t="shared" si="7"/>
        <v>80662200</v>
      </c>
      <c r="Q49" s="3"/>
    </row>
    <row r="50" spans="1:17" s="1" customFormat="1" ht="12.75">
      <c r="A50" s="2"/>
      <c r="B50" s="59"/>
      <c r="C50" s="97"/>
      <c r="D50" s="83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65"/>
    </row>
    <row r="51" spans="1:17" s="1" customFormat="1" ht="12.75">
      <c r="A51" s="2"/>
      <c r="B51" s="59"/>
      <c r="C51" s="89" t="s">
        <v>140</v>
      </c>
      <c r="D51" s="90"/>
      <c r="E51" s="91">
        <f>SUM(E52:E78)</f>
        <v>33840000</v>
      </c>
      <c r="F51" s="91">
        <f aca="true" t="shared" si="8" ref="F51:P51">SUM(F52:F78)</f>
        <v>0</v>
      </c>
      <c r="G51" s="91">
        <f t="shared" si="8"/>
        <v>5362200</v>
      </c>
      <c r="H51" s="91">
        <f t="shared" si="8"/>
        <v>5362200</v>
      </c>
      <c r="I51" s="91">
        <f t="shared" si="8"/>
        <v>5362200</v>
      </c>
      <c r="J51" s="91">
        <f t="shared" si="8"/>
        <v>5917800</v>
      </c>
      <c r="K51" s="91">
        <f t="shared" si="8"/>
        <v>5917800</v>
      </c>
      <c r="L51" s="91">
        <f t="shared" si="8"/>
        <v>5917800</v>
      </c>
      <c r="M51" s="91">
        <f t="shared" si="8"/>
        <v>77293200</v>
      </c>
      <c r="N51" s="91">
        <f t="shared" si="8"/>
        <v>77293200</v>
      </c>
      <c r="O51" s="91">
        <f t="shared" si="8"/>
        <v>77293200</v>
      </c>
      <c r="P51" s="91">
        <f t="shared" si="8"/>
        <v>77293200</v>
      </c>
      <c r="Q51" s="65"/>
    </row>
    <row r="52" spans="2:17" ht="12.75">
      <c r="B52" s="59"/>
      <c r="C52" s="7" t="s">
        <v>104</v>
      </c>
      <c r="D52" s="67"/>
      <c r="E52" s="8">
        <f aca="true" t="shared" si="9" ref="E52:E78">SUM(F52:L52)</f>
        <v>15556500</v>
      </c>
      <c r="F52" s="8">
        <f>+'Proyeccion de Costos Trufas'!D6+'Proyeccion de Costos Figuras'!D6</f>
        <v>0</v>
      </c>
      <c r="G52" s="8">
        <f>+'Proyeccion de Costos Trufas'!E6+'Proyeccion de Costos Figuras'!E6</f>
        <v>2465500</v>
      </c>
      <c r="H52" s="8">
        <f>+'Proyeccion de Costos Trufas'!F6+'Proyeccion de Costos Figuras'!F6</f>
        <v>2465500</v>
      </c>
      <c r="I52" s="8">
        <f>+'Proyeccion de Costos Trufas'!G6+'Proyeccion de Costos Figuras'!G6</f>
        <v>2465500</v>
      </c>
      <c r="J52" s="8">
        <f>+'Proyeccion de Costos Trufas'!H6+'Proyeccion de Costos Figuras'!H6</f>
        <v>2720000</v>
      </c>
      <c r="K52" s="8">
        <f>+'Proyeccion de Costos Trufas'!I6+'Proyeccion de Costos Figuras'!I6</f>
        <v>2720000</v>
      </c>
      <c r="L52" s="8">
        <f>+'Proyeccion de Costos Trufas'!J6+'Proyeccion de Costos Figuras'!J6</f>
        <v>2720000</v>
      </c>
      <c r="M52" s="8">
        <f>+'Proyeccion de Costos Trufas'!K6+'Proyeccion de Costos Figuras'!K6</f>
        <v>35535000</v>
      </c>
      <c r="N52" s="8">
        <f>+'Proyeccion de Costos Trufas'!L6+'Proyeccion de Costos Figuras'!L6</f>
        <v>35535000</v>
      </c>
      <c r="O52" s="8">
        <f>+'Proyeccion de Costos Trufas'!M6+'Proyeccion de Costos Figuras'!M6</f>
        <v>35535000</v>
      </c>
      <c r="P52" s="8">
        <f>+'Proyeccion de Costos Trufas'!N6+'Proyeccion de Costos Figuras'!N6</f>
        <v>35535000</v>
      </c>
      <c r="Q52" s="3"/>
    </row>
    <row r="53" spans="2:17" ht="12.75">
      <c r="B53" s="59"/>
      <c r="C53" s="7" t="s">
        <v>105</v>
      </c>
      <c r="D53" s="67"/>
      <c r="E53" s="8">
        <f t="shared" si="9"/>
        <v>6894000</v>
      </c>
      <c r="F53" s="8">
        <f>+'Proyeccion de Costos Trufas'!D7+'Proyeccion de Costos Figuras'!D7</f>
        <v>0</v>
      </c>
      <c r="G53" s="8">
        <f>+'Proyeccion de Costos Trufas'!E7+'Proyeccion de Costos Figuras'!E7</f>
        <v>1091700</v>
      </c>
      <c r="H53" s="8">
        <f>+'Proyeccion de Costos Trufas'!F7+'Proyeccion de Costos Figuras'!F7</f>
        <v>1091700</v>
      </c>
      <c r="I53" s="8">
        <f>+'Proyeccion de Costos Trufas'!G7+'Proyeccion de Costos Figuras'!G7</f>
        <v>1091700</v>
      </c>
      <c r="J53" s="8">
        <f>+'Proyeccion de Costos Trufas'!H7+'Proyeccion de Costos Figuras'!H7</f>
        <v>1206300</v>
      </c>
      <c r="K53" s="8">
        <f>+'Proyeccion de Costos Trufas'!I7+'Proyeccion de Costos Figuras'!I7</f>
        <v>1206300</v>
      </c>
      <c r="L53" s="8">
        <f>+'Proyeccion de Costos Trufas'!J7+'Proyeccion de Costos Figuras'!J7</f>
        <v>1206300</v>
      </c>
      <c r="M53" s="8">
        <f>+'Proyeccion de Costos Trufas'!K7+'Proyeccion de Costos Figuras'!K7</f>
        <v>15742200</v>
      </c>
      <c r="N53" s="8">
        <f>+'Proyeccion de Costos Trufas'!L7+'Proyeccion de Costos Figuras'!L7</f>
        <v>15742200</v>
      </c>
      <c r="O53" s="8">
        <f>+'Proyeccion de Costos Trufas'!M7+'Proyeccion de Costos Figuras'!M7</f>
        <v>15742200</v>
      </c>
      <c r="P53" s="8">
        <f>+'Proyeccion de Costos Trufas'!N7+'Proyeccion de Costos Figuras'!N7</f>
        <v>15742200</v>
      </c>
      <c r="Q53" s="3"/>
    </row>
    <row r="54" spans="2:17" ht="12.75">
      <c r="B54" s="59"/>
      <c r="C54" s="7" t="s">
        <v>106</v>
      </c>
      <c r="D54" s="67"/>
      <c r="E54" s="8">
        <f t="shared" si="9"/>
        <v>4167000</v>
      </c>
      <c r="F54" s="8">
        <f>+'Proyeccion de Costos Trufas'!D8+'Proyeccion de Costos Figuras'!D8</f>
        <v>0</v>
      </c>
      <c r="G54" s="8">
        <f>+'Proyeccion de Costos Trufas'!E8+'Proyeccion de Costos Figuras'!E8</f>
        <v>659500</v>
      </c>
      <c r="H54" s="8">
        <f>+'Proyeccion de Costos Trufas'!F8+'Proyeccion de Costos Figuras'!F8</f>
        <v>659500</v>
      </c>
      <c r="I54" s="8">
        <f>+'Proyeccion de Costos Trufas'!G8+'Proyeccion de Costos Figuras'!G8</f>
        <v>659500</v>
      </c>
      <c r="J54" s="8">
        <f>+'Proyeccion de Costos Trufas'!H8+'Proyeccion de Costos Figuras'!H8</f>
        <v>729500</v>
      </c>
      <c r="K54" s="8">
        <f>+'Proyeccion de Costos Trufas'!I8+'Proyeccion de Costos Figuras'!I8</f>
        <v>729500</v>
      </c>
      <c r="L54" s="8">
        <f>+'Proyeccion de Costos Trufas'!J8+'Proyeccion de Costos Figuras'!J8</f>
        <v>729500</v>
      </c>
      <c r="M54" s="8">
        <f>+'Proyeccion de Costos Trufas'!K8+'Proyeccion de Costos Figuras'!K8</f>
        <v>9513000</v>
      </c>
      <c r="N54" s="8">
        <f>+'Proyeccion de Costos Trufas'!L8+'Proyeccion de Costos Figuras'!L8</f>
        <v>9513000</v>
      </c>
      <c r="O54" s="8">
        <f>+'Proyeccion de Costos Trufas'!M8+'Proyeccion de Costos Figuras'!M8</f>
        <v>9513000</v>
      </c>
      <c r="P54" s="8">
        <f>+'Proyeccion de Costos Trufas'!N8+'Proyeccion de Costos Figuras'!N8</f>
        <v>9513000</v>
      </c>
      <c r="Q54" s="3"/>
    </row>
    <row r="55" spans="2:17" ht="12.75">
      <c r="B55" s="59"/>
      <c r="C55" s="7" t="s">
        <v>107</v>
      </c>
      <c r="D55" s="67"/>
      <c r="E55" s="8">
        <f t="shared" si="9"/>
        <v>4275000</v>
      </c>
      <c r="F55" s="8">
        <f>+'Proyeccion de Costos Trufas'!D9+'Proyeccion de Costos Figuras'!D9</f>
        <v>0</v>
      </c>
      <c r="G55" s="8">
        <f>+'Proyeccion de Costos Trufas'!E9+'Proyeccion de Costos Figuras'!E9</f>
        <v>678500</v>
      </c>
      <c r="H55" s="8">
        <f>+'Proyeccion de Costos Trufas'!F9+'Proyeccion de Costos Figuras'!F9</f>
        <v>678500</v>
      </c>
      <c r="I55" s="8">
        <f>+'Proyeccion de Costos Trufas'!G9+'Proyeccion de Costos Figuras'!G9</f>
        <v>678500</v>
      </c>
      <c r="J55" s="8">
        <f>+'Proyeccion de Costos Trufas'!H9+'Proyeccion de Costos Figuras'!H9</f>
        <v>746500</v>
      </c>
      <c r="K55" s="8">
        <f>+'Proyeccion de Costos Trufas'!I9+'Proyeccion de Costos Figuras'!I9</f>
        <v>746500</v>
      </c>
      <c r="L55" s="8">
        <f>+'Proyeccion de Costos Trufas'!J9+'Proyeccion de Costos Figuras'!J9</f>
        <v>746500</v>
      </c>
      <c r="M55" s="8">
        <f>+'Proyeccion de Costos Trufas'!K9+'Proyeccion de Costos Figuras'!K9</f>
        <v>9771000</v>
      </c>
      <c r="N55" s="8">
        <f>+'Proyeccion de Costos Trufas'!L9+'Proyeccion de Costos Figuras'!L9</f>
        <v>9771000</v>
      </c>
      <c r="O55" s="8">
        <f>+'Proyeccion de Costos Trufas'!M9+'Proyeccion de Costos Figuras'!M9</f>
        <v>9771000</v>
      </c>
      <c r="P55" s="8">
        <f>+'Proyeccion de Costos Trufas'!N9+'Proyeccion de Costos Figuras'!N9</f>
        <v>9771000</v>
      </c>
      <c r="Q55" s="3"/>
    </row>
    <row r="56" spans="2:17" ht="12.75">
      <c r="B56" s="59"/>
      <c r="C56" s="7" t="s">
        <v>108</v>
      </c>
      <c r="D56" s="67"/>
      <c r="E56" s="8">
        <f t="shared" si="9"/>
        <v>373500</v>
      </c>
      <c r="F56" s="8">
        <f>+'Proyeccion de Costos Trufas'!D10+'Proyeccion de Costos Figuras'!D10</f>
        <v>0</v>
      </c>
      <c r="G56" s="8">
        <f>+'Proyeccion de Costos Trufas'!E10+'Proyeccion de Costos Figuras'!E10</f>
        <v>59200</v>
      </c>
      <c r="H56" s="8">
        <f>+'Proyeccion de Costos Trufas'!F10+'Proyeccion de Costos Figuras'!F10</f>
        <v>59200</v>
      </c>
      <c r="I56" s="8">
        <f>+'Proyeccion de Costos Trufas'!G10+'Proyeccion de Costos Figuras'!G10</f>
        <v>59200</v>
      </c>
      <c r="J56" s="8">
        <f>+'Proyeccion de Costos Trufas'!H10+'Proyeccion de Costos Figuras'!H10</f>
        <v>65300</v>
      </c>
      <c r="K56" s="8">
        <f>+'Proyeccion de Costos Trufas'!I10+'Proyeccion de Costos Figuras'!I10</f>
        <v>65300</v>
      </c>
      <c r="L56" s="8">
        <f>+'Proyeccion de Costos Trufas'!J10+'Proyeccion de Costos Figuras'!J10</f>
        <v>65300</v>
      </c>
      <c r="M56" s="8">
        <f>+'Proyeccion de Costos Trufas'!K10+'Proyeccion de Costos Figuras'!K10</f>
        <v>853200</v>
      </c>
      <c r="N56" s="8">
        <f>+'Proyeccion de Costos Trufas'!L10+'Proyeccion de Costos Figuras'!L10</f>
        <v>853200</v>
      </c>
      <c r="O56" s="8">
        <f>+'Proyeccion de Costos Trufas'!M10+'Proyeccion de Costos Figuras'!M10</f>
        <v>853200</v>
      </c>
      <c r="P56" s="8">
        <f>+'Proyeccion de Costos Trufas'!N10+'Proyeccion de Costos Figuras'!N10</f>
        <v>853200</v>
      </c>
      <c r="Q56" s="3"/>
    </row>
    <row r="57" spans="2:17" ht="12.75">
      <c r="B57" s="59"/>
      <c r="C57" s="7" t="s">
        <v>109</v>
      </c>
      <c r="D57" s="67"/>
      <c r="E57" s="8">
        <f t="shared" si="9"/>
        <v>198000</v>
      </c>
      <c r="F57" s="8">
        <f>+'Proyeccion de Costos Trufas'!D11+'Proyeccion de Costos Figuras'!D11</f>
        <v>0</v>
      </c>
      <c r="G57" s="8">
        <f>+'Proyeccion de Costos Trufas'!E11+'Proyeccion de Costos Figuras'!E11</f>
        <v>31400</v>
      </c>
      <c r="H57" s="8">
        <f>+'Proyeccion de Costos Trufas'!F11+'Proyeccion de Costos Figuras'!F11</f>
        <v>31400</v>
      </c>
      <c r="I57" s="8">
        <f>+'Proyeccion de Costos Trufas'!G11+'Proyeccion de Costos Figuras'!G11</f>
        <v>31400</v>
      </c>
      <c r="J57" s="8">
        <f>+'Proyeccion de Costos Trufas'!H11+'Proyeccion de Costos Figuras'!H11</f>
        <v>34600</v>
      </c>
      <c r="K57" s="8">
        <f>+'Proyeccion de Costos Trufas'!I11+'Proyeccion de Costos Figuras'!I11</f>
        <v>34600</v>
      </c>
      <c r="L57" s="8">
        <f>+'Proyeccion de Costos Trufas'!J11+'Proyeccion de Costos Figuras'!J11</f>
        <v>34600</v>
      </c>
      <c r="M57" s="8">
        <f>+'Proyeccion de Costos Trufas'!K11+'Proyeccion de Costos Figuras'!K11</f>
        <v>452400</v>
      </c>
      <c r="N57" s="8">
        <f>+'Proyeccion de Costos Trufas'!L11+'Proyeccion de Costos Figuras'!L11</f>
        <v>452400</v>
      </c>
      <c r="O57" s="8">
        <f>+'Proyeccion de Costos Trufas'!M11+'Proyeccion de Costos Figuras'!M11</f>
        <v>452400</v>
      </c>
      <c r="P57" s="8">
        <f>+'Proyeccion de Costos Trufas'!N11+'Proyeccion de Costos Figuras'!N11</f>
        <v>452400</v>
      </c>
      <c r="Q57" s="3"/>
    </row>
    <row r="58" spans="2:17" ht="12.75">
      <c r="B58" s="59"/>
      <c r="C58" s="7" t="s">
        <v>110</v>
      </c>
      <c r="D58" s="67"/>
      <c r="E58" s="8">
        <f t="shared" si="9"/>
        <v>207000</v>
      </c>
      <c r="F58" s="8">
        <f>+'Proyeccion de Costos Trufas'!D12+'Proyeccion de Costos Figuras'!D12</f>
        <v>0</v>
      </c>
      <c r="G58" s="8">
        <f>+'Proyeccion de Costos Trufas'!E12+'Proyeccion de Costos Figuras'!E12</f>
        <v>32800</v>
      </c>
      <c r="H58" s="8">
        <f>+'Proyeccion de Costos Trufas'!F12+'Proyeccion de Costos Figuras'!F12</f>
        <v>32800</v>
      </c>
      <c r="I58" s="8">
        <f>+'Proyeccion de Costos Trufas'!G12+'Proyeccion de Costos Figuras'!G12</f>
        <v>32800</v>
      </c>
      <c r="J58" s="8">
        <f>+'Proyeccion de Costos Trufas'!H12+'Proyeccion de Costos Figuras'!H12</f>
        <v>36200</v>
      </c>
      <c r="K58" s="8">
        <f>+'Proyeccion de Costos Trufas'!I12+'Proyeccion de Costos Figuras'!I12</f>
        <v>36200</v>
      </c>
      <c r="L58" s="8">
        <f>+'Proyeccion de Costos Trufas'!J12+'Proyeccion de Costos Figuras'!J12</f>
        <v>36200</v>
      </c>
      <c r="M58" s="8">
        <f>+'Proyeccion de Costos Trufas'!K12+'Proyeccion de Costos Figuras'!K12</f>
        <v>472800</v>
      </c>
      <c r="N58" s="8">
        <f>+'Proyeccion de Costos Trufas'!L12+'Proyeccion de Costos Figuras'!L12</f>
        <v>472800</v>
      </c>
      <c r="O58" s="8">
        <f>+'Proyeccion de Costos Trufas'!M12+'Proyeccion de Costos Figuras'!M12</f>
        <v>472800</v>
      </c>
      <c r="P58" s="8">
        <f>+'Proyeccion de Costos Trufas'!N12+'Proyeccion de Costos Figuras'!N12</f>
        <v>472800</v>
      </c>
      <c r="Q58" s="3"/>
    </row>
    <row r="59" spans="2:17" ht="12.75">
      <c r="B59" s="59"/>
      <c r="C59" s="7" t="s">
        <v>111</v>
      </c>
      <c r="D59" s="67"/>
      <c r="E59" s="8">
        <f t="shared" si="9"/>
        <v>270000</v>
      </c>
      <c r="F59" s="8">
        <f>+'Proyeccion de Costos Trufas'!D13+'Proyeccion de Costos Figuras'!D13</f>
        <v>0</v>
      </c>
      <c r="G59" s="8">
        <f>+'Proyeccion de Costos Trufas'!E13+'Proyeccion de Costos Figuras'!E13</f>
        <v>42800</v>
      </c>
      <c r="H59" s="8">
        <f>+'Proyeccion de Costos Trufas'!F13+'Proyeccion de Costos Figuras'!F13</f>
        <v>42800</v>
      </c>
      <c r="I59" s="8">
        <f>+'Proyeccion de Costos Trufas'!G13+'Proyeccion de Costos Figuras'!G13</f>
        <v>42800</v>
      </c>
      <c r="J59" s="8">
        <f>+'Proyeccion de Costos Trufas'!H13+'Proyeccion de Costos Figuras'!H13</f>
        <v>47200</v>
      </c>
      <c r="K59" s="8">
        <f>+'Proyeccion de Costos Trufas'!I13+'Proyeccion de Costos Figuras'!I13</f>
        <v>47200</v>
      </c>
      <c r="L59" s="8">
        <f>+'Proyeccion de Costos Trufas'!J13+'Proyeccion de Costos Figuras'!J13</f>
        <v>47200</v>
      </c>
      <c r="M59" s="8">
        <f>+'Proyeccion de Costos Trufas'!K13+'Proyeccion de Costos Figuras'!K13</f>
        <v>616800</v>
      </c>
      <c r="N59" s="8">
        <f>+'Proyeccion de Costos Trufas'!L13+'Proyeccion de Costos Figuras'!L13</f>
        <v>616800</v>
      </c>
      <c r="O59" s="8">
        <f>+'Proyeccion de Costos Trufas'!M13+'Proyeccion de Costos Figuras'!M13</f>
        <v>616800</v>
      </c>
      <c r="P59" s="8">
        <f>+'Proyeccion de Costos Trufas'!N13+'Proyeccion de Costos Figuras'!N13</f>
        <v>616800</v>
      </c>
      <c r="Q59" s="3"/>
    </row>
    <row r="60" spans="2:17" ht="12.75">
      <c r="B60" s="59"/>
      <c r="C60" s="7" t="s">
        <v>112</v>
      </c>
      <c r="D60" s="67"/>
      <c r="E60" s="8">
        <f t="shared" si="9"/>
        <v>135000</v>
      </c>
      <c r="F60" s="8">
        <f>+'Proyeccion de Costos Trufas'!D14+'Proyeccion de Costos Figuras'!D14</f>
        <v>0</v>
      </c>
      <c r="G60" s="8">
        <f>+'Proyeccion de Costos Trufas'!E14+'Proyeccion de Costos Figuras'!E14</f>
        <v>21400</v>
      </c>
      <c r="H60" s="8">
        <f>+'Proyeccion de Costos Trufas'!F14+'Proyeccion de Costos Figuras'!F14</f>
        <v>21400</v>
      </c>
      <c r="I60" s="8">
        <f>+'Proyeccion de Costos Trufas'!G14+'Proyeccion de Costos Figuras'!G14</f>
        <v>21400</v>
      </c>
      <c r="J60" s="8">
        <f>+'Proyeccion de Costos Trufas'!H14+'Proyeccion de Costos Figuras'!H14</f>
        <v>23600</v>
      </c>
      <c r="K60" s="8">
        <f>+'Proyeccion de Costos Trufas'!I14+'Proyeccion de Costos Figuras'!I14</f>
        <v>23600</v>
      </c>
      <c r="L60" s="8">
        <f>+'Proyeccion de Costos Trufas'!J14+'Proyeccion de Costos Figuras'!J14</f>
        <v>23600</v>
      </c>
      <c r="M60" s="8">
        <f>+'Proyeccion de Costos Trufas'!K14+'Proyeccion de Costos Figuras'!K14</f>
        <v>308400</v>
      </c>
      <c r="N60" s="8">
        <f>+'Proyeccion de Costos Trufas'!L14+'Proyeccion de Costos Figuras'!L14</f>
        <v>308400</v>
      </c>
      <c r="O60" s="8">
        <f>+'Proyeccion de Costos Trufas'!M14+'Proyeccion de Costos Figuras'!M14</f>
        <v>308400</v>
      </c>
      <c r="P60" s="8">
        <f>+'Proyeccion de Costos Trufas'!N14+'Proyeccion de Costos Figuras'!N14</f>
        <v>308400</v>
      </c>
      <c r="Q60" s="3"/>
    </row>
    <row r="61" spans="2:17" ht="12.75">
      <c r="B61" s="59"/>
      <c r="C61" s="7" t="s">
        <v>113</v>
      </c>
      <c r="D61" s="67"/>
      <c r="E61" s="8">
        <f t="shared" si="9"/>
        <v>202500</v>
      </c>
      <c r="F61" s="8">
        <f>+'Proyeccion de Costos Trufas'!D15+'Proyeccion de Costos Figuras'!D15</f>
        <v>0</v>
      </c>
      <c r="G61" s="8">
        <f>+'Proyeccion de Costos Trufas'!E15+'Proyeccion de Costos Figuras'!E15</f>
        <v>32100</v>
      </c>
      <c r="H61" s="8">
        <f>+'Proyeccion de Costos Trufas'!F15+'Proyeccion de Costos Figuras'!F15</f>
        <v>32100</v>
      </c>
      <c r="I61" s="8">
        <f>+'Proyeccion de Costos Trufas'!G15+'Proyeccion de Costos Figuras'!G15</f>
        <v>32100</v>
      </c>
      <c r="J61" s="8">
        <f>+'Proyeccion de Costos Trufas'!H15+'Proyeccion de Costos Figuras'!H15</f>
        <v>35400</v>
      </c>
      <c r="K61" s="8">
        <f>+'Proyeccion de Costos Trufas'!I15+'Proyeccion de Costos Figuras'!I15</f>
        <v>35400</v>
      </c>
      <c r="L61" s="8">
        <f>+'Proyeccion de Costos Trufas'!J15+'Proyeccion de Costos Figuras'!J15</f>
        <v>35400</v>
      </c>
      <c r="M61" s="8">
        <f>+'Proyeccion de Costos Trufas'!K15+'Proyeccion de Costos Figuras'!K15</f>
        <v>462600</v>
      </c>
      <c r="N61" s="8">
        <f>+'Proyeccion de Costos Trufas'!L15+'Proyeccion de Costos Figuras'!L15</f>
        <v>462600</v>
      </c>
      <c r="O61" s="8">
        <f>+'Proyeccion de Costos Trufas'!M15+'Proyeccion de Costos Figuras'!M15</f>
        <v>462600</v>
      </c>
      <c r="P61" s="8">
        <f>+'Proyeccion de Costos Trufas'!N15+'Proyeccion de Costos Figuras'!N15</f>
        <v>462600</v>
      </c>
      <c r="Q61" s="3"/>
    </row>
    <row r="62" spans="2:17" ht="12.75">
      <c r="B62" s="59"/>
      <c r="C62" s="7" t="s">
        <v>114</v>
      </c>
      <c r="D62" s="67"/>
      <c r="E62" s="8">
        <f t="shared" si="9"/>
        <v>54000</v>
      </c>
      <c r="F62" s="8">
        <f>+'Proyeccion de Costos Trufas'!D16+'Proyeccion de Costos Figuras'!D16</f>
        <v>0</v>
      </c>
      <c r="G62" s="8">
        <f>+'Proyeccion de Costos Trufas'!E16+'Proyeccion de Costos Figuras'!E16</f>
        <v>8500</v>
      </c>
      <c r="H62" s="8">
        <f>+'Proyeccion de Costos Trufas'!F16+'Proyeccion de Costos Figuras'!F16</f>
        <v>8500</v>
      </c>
      <c r="I62" s="8">
        <f>+'Proyeccion de Costos Trufas'!G16+'Proyeccion de Costos Figuras'!G16</f>
        <v>8500</v>
      </c>
      <c r="J62" s="8">
        <f>+'Proyeccion de Costos Trufas'!H16+'Proyeccion de Costos Figuras'!H16</f>
        <v>9500</v>
      </c>
      <c r="K62" s="8">
        <f>+'Proyeccion de Costos Trufas'!I16+'Proyeccion de Costos Figuras'!I16</f>
        <v>9500</v>
      </c>
      <c r="L62" s="8">
        <f>+'Proyeccion de Costos Trufas'!J16+'Proyeccion de Costos Figuras'!J16</f>
        <v>9500</v>
      </c>
      <c r="M62" s="8">
        <f>+'Proyeccion de Costos Trufas'!K16+'Proyeccion de Costos Figuras'!K16</f>
        <v>123000</v>
      </c>
      <c r="N62" s="8">
        <f>+'Proyeccion de Costos Trufas'!L16+'Proyeccion de Costos Figuras'!L16</f>
        <v>123000</v>
      </c>
      <c r="O62" s="8">
        <f>+'Proyeccion de Costos Trufas'!M16+'Proyeccion de Costos Figuras'!M16</f>
        <v>123000</v>
      </c>
      <c r="P62" s="8">
        <f>+'Proyeccion de Costos Trufas'!N16+'Proyeccion de Costos Figuras'!N16</f>
        <v>123000</v>
      </c>
      <c r="Q62" s="3"/>
    </row>
    <row r="63" spans="2:17" ht="12.75">
      <c r="B63" s="59"/>
      <c r="C63" s="7" t="s">
        <v>115</v>
      </c>
      <c r="D63" s="67"/>
      <c r="E63" s="8">
        <f t="shared" si="9"/>
        <v>81000</v>
      </c>
      <c r="F63" s="8">
        <f>+'Proyeccion de Costos Trufas'!D17+'Proyeccion de Costos Figuras'!D17</f>
        <v>0</v>
      </c>
      <c r="G63" s="8">
        <f>+'Proyeccion de Costos Trufas'!E17+'Proyeccion de Costos Figuras'!E17</f>
        <v>12800</v>
      </c>
      <c r="H63" s="8">
        <f>+'Proyeccion de Costos Trufas'!F17+'Proyeccion de Costos Figuras'!F17</f>
        <v>12800</v>
      </c>
      <c r="I63" s="8">
        <f>+'Proyeccion de Costos Trufas'!G17+'Proyeccion de Costos Figuras'!G17</f>
        <v>12800</v>
      </c>
      <c r="J63" s="8">
        <f>+'Proyeccion de Costos Trufas'!H17+'Proyeccion de Costos Figuras'!H17</f>
        <v>14200</v>
      </c>
      <c r="K63" s="8">
        <f>+'Proyeccion de Costos Trufas'!I17+'Proyeccion de Costos Figuras'!I17</f>
        <v>14200</v>
      </c>
      <c r="L63" s="8">
        <f>+'Proyeccion de Costos Trufas'!J17+'Proyeccion de Costos Figuras'!J17</f>
        <v>14200</v>
      </c>
      <c r="M63" s="8">
        <f>+'Proyeccion de Costos Trufas'!K17+'Proyeccion de Costos Figuras'!K17</f>
        <v>184800</v>
      </c>
      <c r="N63" s="8">
        <f>+'Proyeccion de Costos Trufas'!L17+'Proyeccion de Costos Figuras'!L17</f>
        <v>184800</v>
      </c>
      <c r="O63" s="8">
        <f>+'Proyeccion de Costos Trufas'!M17+'Proyeccion de Costos Figuras'!M17</f>
        <v>184800</v>
      </c>
      <c r="P63" s="8">
        <f>+'Proyeccion de Costos Trufas'!N17+'Proyeccion de Costos Figuras'!N17</f>
        <v>184800</v>
      </c>
      <c r="Q63" s="3"/>
    </row>
    <row r="64" spans="2:17" ht="12.75">
      <c r="B64" s="59"/>
      <c r="C64" s="7" t="s">
        <v>116</v>
      </c>
      <c r="D64" s="67"/>
      <c r="E64" s="8">
        <f t="shared" si="9"/>
        <v>81000</v>
      </c>
      <c r="F64" s="8">
        <f>+'Proyeccion de Costos Trufas'!D18+'Proyeccion de Costos Figuras'!D18</f>
        <v>0</v>
      </c>
      <c r="G64" s="8">
        <f>+'Proyeccion de Costos Trufas'!E18+'Proyeccion de Costos Figuras'!E18</f>
        <v>12800</v>
      </c>
      <c r="H64" s="8">
        <f>+'Proyeccion de Costos Trufas'!F18+'Proyeccion de Costos Figuras'!F18</f>
        <v>12800</v>
      </c>
      <c r="I64" s="8">
        <f>+'Proyeccion de Costos Trufas'!G18+'Proyeccion de Costos Figuras'!G18</f>
        <v>12800</v>
      </c>
      <c r="J64" s="8">
        <f>+'Proyeccion de Costos Trufas'!H18+'Proyeccion de Costos Figuras'!H18</f>
        <v>14200</v>
      </c>
      <c r="K64" s="8">
        <f>+'Proyeccion de Costos Trufas'!I18+'Proyeccion de Costos Figuras'!I18</f>
        <v>14200</v>
      </c>
      <c r="L64" s="8">
        <f>+'Proyeccion de Costos Trufas'!J18+'Proyeccion de Costos Figuras'!J18</f>
        <v>14200</v>
      </c>
      <c r="M64" s="8">
        <f>+'Proyeccion de Costos Trufas'!K18+'Proyeccion de Costos Figuras'!K18</f>
        <v>184800</v>
      </c>
      <c r="N64" s="8">
        <f>+'Proyeccion de Costos Trufas'!L18+'Proyeccion de Costos Figuras'!L18</f>
        <v>184800</v>
      </c>
      <c r="O64" s="8">
        <f>+'Proyeccion de Costos Trufas'!M18+'Proyeccion de Costos Figuras'!M18</f>
        <v>184800</v>
      </c>
      <c r="P64" s="8">
        <f>+'Proyeccion de Costos Trufas'!N18+'Proyeccion de Costos Figuras'!N18</f>
        <v>184800</v>
      </c>
      <c r="Q64" s="3"/>
    </row>
    <row r="65" spans="2:17" ht="12.75">
      <c r="B65" s="59"/>
      <c r="C65" s="7" t="s">
        <v>117</v>
      </c>
      <c r="D65" s="67"/>
      <c r="E65" s="8">
        <f t="shared" si="9"/>
        <v>103500</v>
      </c>
      <c r="F65" s="8">
        <f>+'Proyeccion de Costos Trufas'!D19+'Proyeccion de Costos Figuras'!D19</f>
        <v>0</v>
      </c>
      <c r="G65" s="8">
        <f>+'Proyeccion de Costos Trufas'!E19+'Proyeccion de Costos Figuras'!E19</f>
        <v>16400</v>
      </c>
      <c r="H65" s="8">
        <f>+'Proyeccion de Costos Trufas'!F19+'Proyeccion de Costos Figuras'!F19</f>
        <v>16400</v>
      </c>
      <c r="I65" s="8">
        <f>+'Proyeccion de Costos Trufas'!G19+'Proyeccion de Costos Figuras'!G19</f>
        <v>16400</v>
      </c>
      <c r="J65" s="8">
        <f>+'Proyeccion de Costos Trufas'!H19+'Proyeccion de Costos Figuras'!H19</f>
        <v>18100</v>
      </c>
      <c r="K65" s="8">
        <f>+'Proyeccion de Costos Trufas'!I19+'Proyeccion de Costos Figuras'!I19</f>
        <v>18100</v>
      </c>
      <c r="L65" s="8">
        <f>+'Proyeccion de Costos Trufas'!J19+'Proyeccion de Costos Figuras'!J19</f>
        <v>18100</v>
      </c>
      <c r="M65" s="8">
        <f>+'Proyeccion de Costos Trufas'!K19+'Proyeccion de Costos Figuras'!K19</f>
        <v>236400</v>
      </c>
      <c r="N65" s="8">
        <f>+'Proyeccion de Costos Trufas'!L19+'Proyeccion de Costos Figuras'!L19</f>
        <v>236400</v>
      </c>
      <c r="O65" s="8">
        <f>+'Proyeccion de Costos Trufas'!M19+'Proyeccion de Costos Figuras'!M19</f>
        <v>236400</v>
      </c>
      <c r="P65" s="8">
        <f>+'Proyeccion de Costos Trufas'!N19+'Proyeccion de Costos Figuras'!N19</f>
        <v>236400</v>
      </c>
      <c r="Q65" s="3"/>
    </row>
    <row r="66" spans="2:17" ht="12.75">
      <c r="B66" s="59"/>
      <c r="C66" s="7" t="s">
        <v>118</v>
      </c>
      <c r="D66" s="67"/>
      <c r="E66" s="8">
        <f t="shared" si="9"/>
        <v>157500</v>
      </c>
      <c r="F66" s="8">
        <f>+'Proyeccion de Costos Trufas'!D20+'Proyeccion de Costos Figuras'!D20</f>
        <v>0</v>
      </c>
      <c r="G66" s="8">
        <f>+'Proyeccion de Costos Trufas'!E20+'Proyeccion de Costos Figuras'!E20</f>
        <v>25000</v>
      </c>
      <c r="H66" s="8">
        <f>+'Proyeccion de Costos Trufas'!F20+'Proyeccion de Costos Figuras'!F20</f>
        <v>25000</v>
      </c>
      <c r="I66" s="8">
        <f>+'Proyeccion de Costos Trufas'!G20+'Proyeccion de Costos Figuras'!G20</f>
        <v>25000</v>
      </c>
      <c r="J66" s="8">
        <f>+'Proyeccion de Costos Trufas'!H20+'Proyeccion de Costos Figuras'!H20</f>
        <v>27500</v>
      </c>
      <c r="K66" s="8">
        <f>+'Proyeccion de Costos Trufas'!I20+'Proyeccion de Costos Figuras'!I20</f>
        <v>27500</v>
      </c>
      <c r="L66" s="8">
        <f>+'Proyeccion de Costos Trufas'!J20+'Proyeccion de Costos Figuras'!J20</f>
        <v>27500</v>
      </c>
      <c r="M66" s="8">
        <f>+'Proyeccion de Costos Trufas'!K20+'Proyeccion de Costos Figuras'!K20</f>
        <v>360000</v>
      </c>
      <c r="N66" s="8">
        <f>+'Proyeccion de Costos Trufas'!L20+'Proyeccion de Costos Figuras'!L20</f>
        <v>360000</v>
      </c>
      <c r="O66" s="8">
        <f>+'Proyeccion de Costos Trufas'!M20+'Proyeccion de Costos Figuras'!M20</f>
        <v>360000</v>
      </c>
      <c r="P66" s="8">
        <f>+'Proyeccion de Costos Trufas'!N20+'Proyeccion de Costos Figuras'!N20</f>
        <v>360000</v>
      </c>
      <c r="Q66" s="3"/>
    </row>
    <row r="67" spans="2:17" ht="12.75">
      <c r="B67" s="59"/>
      <c r="C67" s="7" t="s">
        <v>119</v>
      </c>
      <c r="D67" s="67"/>
      <c r="E67" s="8">
        <f t="shared" si="9"/>
        <v>211500</v>
      </c>
      <c r="F67" s="8">
        <f>+'Proyeccion de Costos Trufas'!D21+'Proyeccion de Costos Figuras'!D21</f>
        <v>0</v>
      </c>
      <c r="G67" s="8">
        <f>+'Proyeccion de Costos Trufas'!E21+'Proyeccion de Costos Figuras'!E21</f>
        <v>33500</v>
      </c>
      <c r="H67" s="8">
        <f>+'Proyeccion de Costos Trufas'!F21+'Proyeccion de Costos Figuras'!F21</f>
        <v>33500</v>
      </c>
      <c r="I67" s="8">
        <f>+'Proyeccion de Costos Trufas'!G21+'Proyeccion de Costos Figuras'!G21</f>
        <v>33500</v>
      </c>
      <c r="J67" s="8">
        <f>+'Proyeccion de Costos Trufas'!H21+'Proyeccion de Costos Figuras'!H21</f>
        <v>37000</v>
      </c>
      <c r="K67" s="8">
        <f>+'Proyeccion de Costos Trufas'!I21+'Proyeccion de Costos Figuras'!I21</f>
        <v>37000</v>
      </c>
      <c r="L67" s="8">
        <f>+'Proyeccion de Costos Trufas'!J21+'Proyeccion de Costos Figuras'!J21</f>
        <v>37000</v>
      </c>
      <c r="M67" s="8">
        <f>+'Proyeccion de Costos Trufas'!K21+'Proyeccion de Costos Figuras'!K21</f>
        <v>483000</v>
      </c>
      <c r="N67" s="8">
        <f>+'Proyeccion de Costos Trufas'!L21+'Proyeccion de Costos Figuras'!L21</f>
        <v>483000</v>
      </c>
      <c r="O67" s="8">
        <f>+'Proyeccion de Costos Trufas'!M21+'Proyeccion de Costos Figuras'!M21</f>
        <v>483000</v>
      </c>
      <c r="P67" s="8">
        <f>+'Proyeccion de Costos Trufas'!N21+'Proyeccion de Costos Figuras'!N21</f>
        <v>483000</v>
      </c>
      <c r="Q67" s="3"/>
    </row>
    <row r="68" spans="2:17" ht="12.75">
      <c r="B68" s="59"/>
      <c r="C68" s="7" t="s">
        <v>120</v>
      </c>
      <c r="D68" s="67"/>
      <c r="E68" s="8">
        <f t="shared" si="9"/>
        <v>103500</v>
      </c>
      <c r="F68" s="8">
        <f>+'Proyeccion de Costos Trufas'!D22+'Proyeccion de Costos Figuras'!D22</f>
        <v>0</v>
      </c>
      <c r="G68" s="8">
        <f>+'Proyeccion de Costos Trufas'!E22+'Proyeccion de Costos Figuras'!E22</f>
        <v>16400</v>
      </c>
      <c r="H68" s="8">
        <f>+'Proyeccion de Costos Trufas'!F22+'Proyeccion de Costos Figuras'!F22</f>
        <v>16400</v>
      </c>
      <c r="I68" s="8">
        <f>+'Proyeccion de Costos Trufas'!G22+'Proyeccion de Costos Figuras'!G22</f>
        <v>16400</v>
      </c>
      <c r="J68" s="8">
        <f>+'Proyeccion de Costos Trufas'!H22+'Proyeccion de Costos Figuras'!H22</f>
        <v>18100</v>
      </c>
      <c r="K68" s="8">
        <f>+'Proyeccion de Costos Trufas'!I22+'Proyeccion de Costos Figuras'!I22</f>
        <v>18100</v>
      </c>
      <c r="L68" s="8">
        <f>+'Proyeccion de Costos Trufas'!J22+'Proyeccion de Costos Figuras'!J22</f>
        <v>18100</v>
      </c>
      <c r="M68" s="8">
        <f>+'Proyeccion de Costos Trufas'!K22+'Proyeccion de Costos Figuras'!K22</f>
        <v>236400</v>
      </c>
      <c r="N68" s="8">
        <f>+'Proyeccion de Costos Trufas'!L22+'Proyeccion de Costos Figuras'!L22</f>
        <v>236400</v>
      </c>
      <c r="O68" s="8">
        <f>+'Proyeccion de Costos Trufas'!M22+'Proyeccion de Costos Figuras'!M22</f>
        <v>236400</v>
      </c>
      <c r="P68" s="8">
        <f>+'Proyeccion de Costos Trufas'!N22+'Proyeccion de Costos Figuras'!N22</f>
        <v>236400</v>
      </c>
      <c r="Q68" s="3"/>
    </row>
    <row r="69" spans="2:17" ht="12.75">
      <c r="B69" s="59"/>
      <c r="C69" s="7" t="s">
        <v>121</v>
      </c>
      <c r="D69" s="67"/>
      <c r="E69" s="8">
        <f t="shared" si="9"/>
        <v>81000</v>
      </c>
      <c r="F69" s="8">
        <f>+'Proyeccion de Costos Trufas'!D23+'Proyeccion de Costos Figuras'!D23</f>
        <v>0</v>
      </c>
      <c r="G69" s="8">
        <f>+'Proyeccion de Costos Trufas'!E23+'Proyeccion de Costos Figuras'!E23</f>
        <v>12800</v>
      </c>
      <c r="H69" s="8">
        <f>+'Proyeccion de Costos Trufas'!F23+'Proyeccion de Costos Figuras'!F23</f>
        <v>12800</v>
      </c>
      <c r="I69" s="8">
        <f>+'Proyeccion de Costos Trufas'!G23+'Proyeccion de Costos Figuras'!G23</f>
        <v>12800</v>
      </c>
      <c r="J69" s="8">
        <f>+'Proyeccion de Costos Trufas'!H23+'Proyeccion de Costos Figuras'!H23</f>
        <v>14200</v>
      </c>
      <c r="K69" s="8">
        <f>+'Proyeccion de Costos Trufas'!I23+'Proyeccion de Costos Figuras'!I23</f>
        <v>14200</v>
      </c>
      <c r="L69" s="8">
        <f>+'Proyeccion de Costos Trufas'!J23+'Proyeccion de Costos Figuras'!J23</f>
        <v>14200</v>
      </c>
      <c r="M69" s="8">
        <f>+'Proyeccion de Costos Trufas'!K23+'Proyeccion de Costos Figuras'!K23</f>
        <v>184800</v>
      </c>
      <c r="N69" s="8">
        <f>+'Proyeccion de Costos Trufas'!L23+'Proyeccion de Costos Figuras'!L23</f>
        <v>184800</v>
      </c>
      <c r="O69" s="8">
        <f>+'Proyeccion de Costos Trufas'!M23+'Proyeccion de Costos Figuras'!M23</f>
        <v>184800</v>
      </c>
      <c r="P69" s="8">
        <f>+'Proyeccion de Costos Trufas'!N23+'Proyeccion de Costos Figuras'!N23</f>
        <v>184800</v>
      </c>
      <c r="Q69" s="3"/>
    </row>
    <row r="70" spans="2:17" ht="12.75">
      <c r="B70" s="59"/>
      <c r="C70" s="7" t="s">
        <v>122</v>
      </c>
      <c r="D70" s="67"/>
      <c r="E70" s="8">
        <f t="shared" si="9"/>
        <v>85500</v>
      </c>
      <c r="F70" s="8">
        <f>+'Proyeccion de Costos Trufas'!D24+'Proyeccion de Costos Figuras'!D24</f>
        <v>0</v>
      </c>
      <c r="G70" s="8">
        <f>+'Proyeccion de Costos Trufas'!E24+'Proyeccion de Costos Figuras'!E24</f>
        <v>13500</v>
      </c>
      <c r="H70" s="8">
        <f>+'Proyeccion de Costos Trufas'!F24+'Proyeccion de Costos Figuras'!F24</f>
        <v>13500</v>
      </c>
      <c r="I70" s="8">
        <f>+'Proyeccion de Costos Trufas'!G24+'Proyeccion de Costos Figuras'!G24</f>
        <v>13500</v>
      </c>
      <c r="J70" s="8">
        <f>+'Proyeccion de Costos Trufas'!H24+'Proyeccion de Costos Figuras'!H24</f>
        <v>15000</v>
      </c>
      <c r="K70" s="8">
        <f>+'Proyeccion de Costos Trufas'!I24+'Proyeccion de Costos Figuras'!I24</f>
        <v>15000</v>
      </c>
      <c r="L70" s="8">
        <f>+'Proyeccion de Costos Trufas'!J24+'Proyeccion de Costos Figuras'!J24</f>
        <v>15000</v>
      </c>
      <c r="M70" s="8">
        <f>+'Proyeccion de Costos Trufas'!K24+'Proyeccion de Costos Figuras'!K24</f>
        <v>195000</v>
      </c>
      <c r="N70" s="8">
        <f>+'Proyeccion de Costos Trufas'!L24+'Proyeccion de Costos Figuras'!L24</f>
        <v>195000</v>
      </c>
      <c r="O70" s="8">
        <f>+'Proyeccion de Costos Trufas'!M24+'Proyeccion de Costos Figuras'!M24</f>
        <v>195000</v>
      </c>
      <c r="P70" s="8">
        <f>+'Proyeccion de Costos Trufas'!N24+'Proyeccion de Costos Figuras'!N24</f>
        <v>195000</v>
      </c>
      <c r="Q70" s="3"/>
    </row>
    <row r="71" spans="2:17" ht="12.75">
      <c r="B71" s="59"/>
      <c r="C71" s="7" t="s">
        <v>123</v>
      </c>
      <c r="D71" s="67"/>
      <c r="E71" s="8">
        <f t="shared" si="9"/>
        <v>103500</v>
      </c>
      <c r="F71" s="8">
        <f>+'Proyeccion de Costos Trufas'!D25+'Proyeccion de Costos Figuras'!D25</f>
        <v>0</v>
      </c>
      <c r="G71" s="8">
        <f>+'Proyeccion de Costos Trufas'!E25+'Proyeccion de Costos Figuras'!E25</f>
        <v>16400</v>
      </c>
      <c r="H71" s="8">
        <f>+'Proyeccion de Costos Trufas'!F25+'Proyeccion de Costos Figuras'!F25</f>
        <v>16400</v>
      </c>
      <c r="I71" s="8">
        <f>+'Proyeccion de Costos Trufas'!G25+'Proyeccion de Costos Figuras'!G25</f>
        <v>16400</v>
      </c>
      <c r="J71" s="8">
        <f>+'Proyeccion de Costos Trufas'!H25+'Proyeccion de Costos Figuras'!H25</f>
        <v>18100</v>
      </c>
      <c r="K71" s="8">
        <f>+'Proyeccion de Costos Trufas'!I25+'Proyeccion de Costos Figuras'!I25</f>
        <v>18100</v>
      </c>
      <c r="L71" s="8">
        <f>+'Proyeccion de Costos Trufas'!J25+'Proyeccion de Costos Figuras'!J25</f>
        <v>18100</v>
      </c>
      <c r="M71" s="8">
        <f>+'Proyeccion de Costos Trufas'!K25+'Proyeccion de Costos Figuras'!K25</f>
        <v>236400</v>
      </c>
      <c r="N71" s="8">
        <f>+'Proyeccion de Costos Trufas'!L25+'Proyeccion de Costos Figuras'!L25</f>
        <v>236400</v>
      </c>
      <c r="O71" s="8">
        <f>+'Proyeccion de Costos Trufas'!M25+'Proyeccion de Costos Figuras'!M25</f>
        <v>236400</v>
      </c>
      <c r="P71" s="8">
        <f>+'Proyeccion de Costos Trufas'!N25+'Proyeccion de Costos Figuras'!N25</f>
        <v>236400</v>
      </c>
      <c r="Q71" s="3"/>
    </row>
    <row r="72" spans="2:17" ht="12.75">
      <c r="B72" s="59"/>
      <c r="C72" s="7" t="s">
        <v>124</v>
      </c>
      <c r="D72" s="67"/>
      <c r="E72" s="8">
        <f t="shared" si="9"/>
        <v>135000</v>
      </c>
      <c r="F72" s="8">
        <f>+'Proyeccion de Costos Trufas'!D26+'Proyeccion de Costos Figuras'!D26</f>
        <v>0</v>
      </c>
      <c r="G72" s="8">
        <f>+'Proyeccion de Costos Trufas'!E26+'Proyeccion de Costos Figuras'!E26</f>
        <v>21400</v>
      </c>
      <c r="H72" s="8">
        <f>+'Proyeccion de Costos Trufas'!F26+'Proyeccion de Costos Figuras'!F26</f>
        <v>21400</v>
      </c>
      <c r="I72" s="8">
        <f>+'Proyeccion de Costos Trufas'!G26+'Proyeccion de Costos Figuras'!G26</f>
        <v>21400</v>
      </c>
      <c r="J72" s="8">
        <f>+'Proyeccion de Costos Trufas'!H26+'Proyeccion de Costos Figuras'!H26</f>
        <v>23600</v>
      </c>
      <c r="K72" s="8">
        <f>+'Proyeccion de Costos Trufas'!I26+'Proyeccion de Costos Figuras'!I26</f>
        <v>23600</v>
      </c>
      <c r="L72" s="8">
        <f>+'Proyeccion de Costos Trufas'!J26+'Proyeccion de Costos Figuras'!J26</f>
        <v>23600</v>
      </c>
      <c r="M72" s="8">
        <f>+'Proyeccion de Costos Trufas'!K26+'Proyeccion de Costos Figuras'!K26</f>
        <v>308400</v>
      </c>
      <c r="N72" s="8">
        <f>+'Proyeccion de Costos Trufas'!L26+'Proyeccion de Costos Figuras'!L26</f>
        <v>308400</v>
      </c>
      <c r="O72" s="8">
        <f>+'Proyeccion de Costos Trufas'!M26+'Proyeccion de Costos Figuras'!M26</f>
        <v>308400</v>
      </c>
      <c r="P72" s="8">
        <f>+'Proyeccion de Costos Trufas'!N26+'Proyeccion de Costos Figuras'!N26</f>
        <v>308400</v>
      </c>
      <c r="Q72" s="3"/>
    </row>
    <row r="73" spans="2:17" ht="12.75">
      <c r="B73" s="59"/>
      <c r="C73" s="7" t="s">
        <v>125</v>
      </c>
      <c r="D73" s="67"/>
      <c r="E73" s="8">
        <f t="shared" si="9"/>
        <v>162000</v>
      </c>
      <c r="F73" s="8">
        <f>+'Proyeccion de Costos Trufas'!D27+'Proyeccion de Costos Figuras'!D27</f>
        <v>0</v>
      </c>
      <c r="G73" s="8">
        <f>+'Proyeccion de Costos Trufas'!E27+'Proyeccion de Costos Figuras'!E27</f>
        <v>25700</v>
      </c>
      <c r="H73" s="8">
        <f>+'Proyeccion de Costos Trufas'!F27+'Proyeccion de Costos Figuras'!F27</f>
        <v>25700</v>
      </c>
      <c r="I73" s="8">
        <f>+'Proyeccion de Costos Trufas'!G27+'Proyeccion de Costos Figuras'!G27</f>
        <v>25700</v>
      </c>
      <c r="J73" s="8">
        <f>+'Proyeccion de Costos Trufas'!H27+'Proyeccion de Costos Figuras'!H27</f>
        <v>28300</v>
      </c>
      <c r="K73" s="8">
        <f>+'Proyeccion de Costos Trufas'!I27+'Proyeccion de Costos Figuras'!I27</f>
        <v>28300</v>
      </c>
      <c r="L73" s="8">
        <f>+'Proyeccion de Costos Trufas'!J27+'Proyeccion de Costos Figuras'!J27</f>
        <v>28300</v>
      </c>
      <c r="M73" s="8">
        <f>+'Proyeccion de Costos Trufas'!K27+'Proyeccion de Costos Figuras'!K27</f>
        <v>370200</v>
      </c>
      <c r="N73" s="8">
        <f>+'Proyeccion de Costos Trufas'!L27+'Proyeccion de Costos Figuras'!L27</f>
        <v>370200</v>
      </c>
      <c r="O73" s="8">
        <f>+'Proyeccion de Costos Trufas'!M27+'Proyeccion de Costos Figuras'!M27</f>
        <v>370200</v>
      </c>
      <c r="P73" s="8">
        <f>+'Proyeccion de Costos Trufas'!N27+'Proyeccion de Costos Figuras'!N27</f>
        <v>370200</v>
      </c>
      <c r="Q73" s="3"/>
    </row>
    <row r="74" spans="2:17" ht="12.75">
      <c r="B74" s="59"/>
      <c r="C74" s="7" t="s">
        <v>126</v>
      </c>
      <c r="D74" s="67"/>
      <c r="E74" s="8">
        <f t="shared" si="9"/>
        <v>67500</v>
      </c>
      <c r="F74" s="8">
        <f>+'Proyeccion de Costos Trufas'!D28+'Proyeccion de Costos Figuras'!D28</f>
        <v>0</v>
      </c>
      <c r="G74" s="8">
        <f>+'Proyeccion de Costos Trufas'!E28+'Proyeccion de Costos Figuras'!E28</f>
        <v>10700</v>
      </c>
      <c r="H74" s="8">
        <f>+'Proyeccion de Costos Trufas'!F28+'Proyeccion de Costos Figuras'!F28</f>
        <v>10700</v>
      </c>
      <c r="I74" s="8">
        <f>+'Proyeccion de Costos Trufas'!G28+'Proyeccion de Costos Figuras'!G28</f>
        <v>10700</v>
      </c>
      <c r="J74" s="8">
        <f>+'Proyeccion de Costos Trufas'!H28+'Proyeccion de Costos Figuras'!H28</f>
        <v>11800</v>
      </c>
      <c r="K74" s="8">
        <f>+'Proyeccion de Costos Trufas'!I28+'Proyeccion de Costos Figuras'!I28</f>
        <v>11800</v>
      </c>
      <c r="L74" s="8">
        <f>+'Proyeccion de Costos Trufas'!J28+'Proyeccion de Costos Figuras'!J28</f>
        <v>11800</v>
      </c>
      <c r="M74" s="8">
        <f>+'Proyeccion de Costos Trufas'!K28+'Proyeccion de Costos Figuras'!K28</f>
        <v>154200</v>
      </c>
      <c r="N74" s="8">
        <f>+'Proyeccion de Costos Trufas'!L28+'Proyeccion de Costos Figuras'!L28</f>
        <v>154200</v>
      </c>
      <c r="O74" s="8">
        <f>+'Proyeccion de Costos Trufas'!M28+'Proyeccion de Costos Figuras'!M28</f>
        <v>154200</v>
      </c>
      <c r="P74" s="8">
        <f>+'Proyeccion de Costos Trufas'!N28+'Proyeccion de Costos Figuras'!N28</f>
        <v>154200</v>
      </c>
      <c r="Q74" s="3"/>
    </row>
    <row r="75" spans="2:17" ht="12.75">
      <c r="B75" s="59"/>
      <c r="C75" s="7" t="s">
        <v>127</v>
      </c>
      <c r="D75" s="67"/>
      <c r="E75" s="8">
        <f t="shared" si="9"/>
        <v>36000</v>
      </c>
      <c r="F75" s="8">
        <f>+'Proyeccion de Costos Trufas'!D29+'Proyeccion de Costos Figuras'!D29</f>
        <v>0</v>
      </c>
      <c r="G75" s="8">
        <f>+'Proyeccion de Costos Trufas'!E29+'Proyeccion de Costos Figuras'!E29</f>
        <v>5700</v>
      </c>
      <c r="H75" s="8">
        <f>+'Proyeccion de Costos Trufas'!F29+'Proyeccion de Costos Figuras'!F29</f>
        <v>5700</v>
      </c>
      <c r="I75" s="8">
        <f>+'Proyeccion de Costos Trufas'!G29+'Proyeccion de Costos Figuras'!G29</f>
        <v>5700</v>
      </c>
      <c r="J75" s="8">
        <f>+'Proyeccion de Costos Trufas'!H29+'Proyeccion de Costos Figuras'!H29</f>
        <v>6300</v>
      </c>
      <c r="K75" s="8">
        <f>+'Proyeccion de Costos Trufas'!I29+'Proyeccion de Costos Figuras'!I29</f>
        <v>6300</v>
      </c>
      <c r="L75" s="8">
        <f>+'Proyeccion de Costos Trufas'!J29+'Proyeccion de Costos Figuras'!J29</f>
        <v>6300</v>
      </c>
      <c r="M75" s="8">
        <f>+'Proyeccion de Costos Trufas'!K29+'Proyeccion de Costos Figuras'!K29</f>
        <v>82200</v>
      </c>
      <c r="N75" s="8">
        <f>+'Proyeccion de Costos Trufas'!L29+'Proyeccion de Costos Figuras'!L29</f>
        <v>82200</v>
      </c>
      <c r="O75" s="8">
        <f>+'Proyeccion de Costos Trufas'!M29+'Proyeccion de Costos Figuras'!M29</f>
        <v>82200</v>
      </c>
      <c r="P75" s="8">
        <f>+'Proyeccion de Costos Trufas'!N29+'Proyeccion de Costos Figuras'!N29</f>
        <v>82200</v>
      </c>
      <c r="Q75" s="3"/>
    </row>
    <row r="76" spans="2:17" ht="12.75">
      <c r="B76" s="59"/>
      <c r="C76" s="7" t="s">
        <v>128</v>
      </c>
      <c r="D76" s="67"/>
      <c r="E76" s="8">
        <f t="shared" si="9"/>
        <v>31500</v>
      </c>
      <c r="F76" s="8">
        <f>+'Proyeccion de Costos Trufas'!D30+'Proyeccion de Costos Figuras'!D30</f>
        <v>0</v>
      </c>
      <c r="G76" s="8">
        <f>+'Proyeccion de Costos Trufas'!E30+'Proyeccion de Costos Figuras'!E30</f>
        <v>5000</v>
      </c>
      <c r="H76" s="8">
        <f>+'Proyeccion de Costos Trufas'!F30+'Proyeccion de Costos Figuras'!F30</f>
        <v>5000</v>
      </c>
      <c r="I76" s="8">
        <f>+'Proyeccion de Costos Trufas'!G30+'Proyeccion de Costos Figuras'!G30</f>
        <v>5000</v>
      </c>
      <c r="J76" s="8">
        <f>+'Proyeccion de Costos Trufas'!H30+'Proyeccion de Costos Figuras'!H30</f>
        <v>5500</v>
      </c>
      <c r="K76" s="8">
        <f>+'Proyeccion de Costos Trufas'!I30+'Proyeccion de Costos Figuras'!I30</f>
        <v>5500</v>
      </c>
      <c r="L76" s="8">
        <f>+'Proyeccion de Costos Trufas'!J30+'Proyeccion de Costos Figuras'!J30</f>
        <v>5500</v>
      </c>
      <c r="M76" s="8">
        <f>+'Proyeccion de Costos Trufas'!K30+'Proyeccion de Costos Figuras'!K30</f>
        <v>72000</v>
      </c>
      <c r="N76" s="8">
        <f>+'Proyeccion de Costos Trufas'!L30+'Proyeccion de Costos Figuras'!L30</f>
        <v>72000</v>
      </c>
      <c r="O76" s="8">
        <f>+'Proyeccion de Costos Trufas'!M30+'Proyeccion de Costos Figuras'!M30</f>
        <v>72000</v>
      </c>
      <c r="P76" s="8">
        <f>+'Proyeccion de Costos Trufas'!N30+'Proyeccion de Costos Figuras'!N30</f>
        <v>72000</v>
      </c>
      <c r="Q76" s="3"/>
    </row>
    <row r="77" spans="2:17" ht="12.75">
      <c r="B77" s="59"/>
      <c r="C77" s="7" t="s">
        <v>129</v>
      </c>
      <c r="D77" s="67"/>
      <c r="E77" s="8">
        <f t="shared" si="9"/>
        <v>36000</v>
      </c>
      <c r="F77" s="8">
        <f>+'Proyeccion de Costos Trufas'!D31+'Proyeccion de Costos Figuras'!D31</f>
        <v>0</v>
      </c>
      <c r="G77" s="8">
        <f>+'Proyeccion de Costos Trufas'!E31+'Proyeccion de Costos Figuras'!E31</f>
        <v>5700</v>
      </c>
      <c r="H77" s="8">
        <f>+'Proyeccion de Costos Trufas'!F31+'Proyeccion de Costos Figuras'!F31</f>
        <v>5700</v>
      </c>
      <c r="I77" s="8">
        <f>+'Proyeccion de Costos Trufas'!G31+'Proyeccion de Costos Figuras'!G31</f>
        <v>5700</v>
      </c>
      <c r="J77" s="8">
        <f>+'Proyeccion de Costos Trufas'!H31+'Proyeccion de Costos Figuras'!H31</f>
        <v>6300</v>
      </c>
      <c r="K77" s="8">
        <f>+'Proyeccion de Costos Trufas'!I31+'Proyeccion de Costos Figuras'!I31</f>
        <v>6300</v>
      </c>
      <c r="L77" s="8">
        <f>+'Proyeccion de Costos Trufas'!J31+'Proyeccion de Costos Figuras'!J31</f>
        <v>6300</v>
      </c>
      <c r="M77" s="8">
        <f>+'Proyeccion de Costos Trufas'!K31+'Proyeccion de Costos Figuras'!K31</f>
        <v>82200</v>
      </c>
      <c r="N77" s="8">
        <f>+'Proyeccion de Costos Trufas'!L31+'Proyeccion de Costos Figuras'!L31</f>
        <v>82200</v>
      </c>
      <c r="O77" s="8">
        <f>+'Proyeccion de Costos Trufas'!M31+'Proyeccion de Costos Figuras'!M31</f>
        <v>82200</v>
      </c>
      <c r="P77" s="8">
        <f>+'Proyeccion de Costos Trufas'!N31+'Proyeccion de Costos Figuras'!N31</f>
        <v>82200</v>
      </c>
      <c r="Q77" s="3"/>
    </row>
    <row r="78" spans="2:17" ht="12.75">
      <c r="B78" s="59"/>
      <c r="C78" s="7" t="s">
        <v>130</v>
      </c>
      <c r="D78" s="67"/>
      <c r="E78" s="8">
        <f t="shared" si="9"/>
        <v>31500</v>
      </c>
      <c r="F78" s="8">
        <f>+'Proyeccion de Costos Trufas'!D32+'Proyeccion de Costos Figuras'!D32</f>
        <v>0</v>
      </c>
      <c r="G78" s="8">
        <f>+'Proyeccion de Costos Trufas'!E32+'Proyeccion de Costos Figuras'!E32</f>
        <v>5000</v>
      </c>
      <c r="H78" s="8">
        <f>+'Proyeccion de Costos Trufas'!F32+'Proyeccion de Costos Figuras'!F32</f>
        <v>5000</v>
      </c>
      <c r="I78" s="8">
        <f>+'Proyeccion de Costos Trufas'!G32+'Proyeccion de Costos Figuras'!G32</f>
        <v>5000</v>
      </c>
      <c r="J78" s="8">
        <f>+'Proyeccion de Costos Trufas'!H32+'Proyeccion de Costos Figuras'!H32</f>
        <v>5500</v>
      </c>
      <c r="K78" s="8">
        <f>+'Proyeccion de Costos Trufas'!I32+'Proyeccion de Costos Figuras'!I32</f>
        <v>5500</v>
      </c>
      <c r="L78" s="8">
        <f>+'Proyeccion de Costos Trufas'!J32+'Proyeccion de Costos Figuras'!J32</f>
        <v>5500</v>
      </c>
      <c r="M78" s="8">
        <f>+'Proyeccion de Costos Trufas'!K32+'Proyeccion de Costos Figuras'!K32</f>
        <v>72000</v>
      </c>
      <c r="N78" s="8">
        <f>+'Proyeccion de Costos Trufas'!L32+'Proyeccion de Costos Figuras'!L32</f>
        <v>72000</v>
      </c>
      <c r="O78" s="8">
        <f>+'Proyeccion de Costos Trufas'!M32+'Proyeccion de Costos Figuras'!M32</f>
        <v>72000</v>
      </c>
      <c r="P78" s="8">
        <f>+'Proyeccion de Costos Trufas'!N32+'Proyeccion de Costos Figuras'!N32</f>
        <v>72000</v>
      </c>
      <c r="Q78" s="3"/>
    </row>
    <row r="79" spans="2:17" ht="12.75">
      <c r="B79" s="59"/>
      <c r="C79" s="10"/>
      <c r="D79" s="72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"/>
    </row>
    <row r="80" spans="1:17" s="1" customFormat="1" ht="12.75">
      <c r="A80" s="2"/>
      <c r="B80" s="59"/>
      <c r="C80" s="89" t="s">
        <v>141</v>
      </c>
      <c r="D80" s="90"/>
      <c r="E80" s="91">
        <f>SUM(E81:E89)</f>
        <v>1476000</v>
      </c>
      <c r="F80" s="91">
        <f aca="true" t="shared" si="10" ref="F80:P80">SUM(F81:F89)</f>
        <v>0</v>
      </c>
      <c r="G80" s="91">
        <f t="shared" si="10"/>
        <v>233500</v>
      </c>
      <c r="H80" s="91">
        <f t="shared" si="10"/>
        <v>233500</v>
      </c>
      <c r="I80" s="91">
        <f t="shared" si="10"/>
        <v>233500</v>
      </c>
      <c r="J80" s="91">
        <f t="shared" si="10"/>
        <v>258500</v>
      </c>
      <c r="K80" s="91">
        <f t="shared" si="10"/>
        <v>258500</v>
      </c>
      <c r="L80" s="91">
        <f t="shared" si="10"/>
        <v>258500</v>
      </c>
      <c r="M80" s="91">
        <f t="shared" si="10"/>
        <v>3369000</v>
      </c>
      <c r="N80" s="91">
        <f t="shared" si="10"/>
        <v>3369000</v>
      </c>
      <c r="O80" s="91">
        <f t="shared" si="10"/>
        <v>3369000</v>
      </c>
      <c r="P80" s="91">
        <f t="shared" si="10"/>
        <v>3369000</v>
      </c>
      <c r="Q80" s="65"/>
    </row>
    <row r="81" spans="2:17" ht="12.75">
      <c r="B81" s="59"/>
      <c r="C81" s="7" t="s">
        <v>131</v>
      </c>
      <c r="D81" s="67"/>
      <c r="E81" s="8">
        <f>SUM(G81:L81)</f>
        <v>369000</v>
      </c>
      <c r="F81" s="8">
        <f>+'Proyeccion de Costos Trufas'!D35+'Proyeccion de Costos Figuras'!D35</f>
        <v>0</v>
      </c>
      <c r="G81" s="8">
        <f>+'Proyeccion de Costos Trufas'!E35+'Proyeccion de Costos Figuras'!E35</f>
        <v>58200</v>
      </c>
      <c r="H81" s="8">
        <f>+'Proyeccion de Costos Trufas'!F35+'Proyeccion de Costos Figuras'!F35</f>
        <v>58200</v>
      </c>
      <c r="I81" s="8">
        <f>+'Proyeccion de Costos Trufas'!G35+'Proyeccion de Costos Figuras'!G35</f>
        <v>58200</v>
      </c>
      <c r="J81" s="8">
        <f>+'Proyeccion de Costos Trufas'!H35+'Proyeccion de Costos Figuras'!H35</f>
        <v>64800</v>
      </c>
      <c r="K81" s="8">
        <f>+'Proyeccion de Costos Trufas'!I35+'Proyeccion de Costos Figuras'!I35</f>
        <v>64800</v>
      </c>
      <c r="L81" s="8">
        <f>+'Proyeccion de Costos Trufas'!J35+'Proyeccion de Costos Figuras'!J35</f>
        <v>64800</v>
      </c>
      <c r="M81" s="8">
        <f>+'Proyeccion de Costos Trufas'!K35+'Proyeccion de Costos Figuras'!K35</f>
        <v>841200</v>
      </c>
      <c r="N81" s="8">
        <f>+'Proyeccion de Costos Trufas'!L35+'Proyeccion de Costos Figuras'!L35</f>
        <v>841200</v>
      </c>
      <c r="O81" s="8">
        <f>+'Proyeccion de Costos Trufas'!M35+'Proyeccion de Costos Figuras'!M35</f>
        <v>841200</v>
      </c>
      <c r="P81" s="8">
        <f>+'Proyeccion de Costos Trufas'!N35+'Proyeccion de Costos Figuras'!N35</f>
        <v>841200</v>
      </c>
      <c r="Q81" s="3"/>
    </row>
    <row r="82" spans="2:17" ht="12.75">
      <c r="B82" s="59"/>
      <c r="C82" s="7" t="s">
        <v>132</v>
      </c>
      <c r="D82" s="67"/>
      <c r="E82" s="8">
        <f aca="true" t="shared" si="11" ref="E82:E89">SUM(G82:L82)</f>
        <v>54000</v>
      </c>
      <c r="F82" s="8">
        <f>+'Proyeccion de Costos Trufas'!D36+'Proyeccion de Costos Figuras'!D36</f>
        <v>0</v>
      </c>
      <c r="G82" s="8">
        <f>+'Proyeccion de Costos Trufas'!E36+'Proyeccion de Costos Figuras'!E36</f>
        <v>8500</v>
      </c>
      <c r="H82" s="8">
        <f>+'Proyeccion de Costos Trufas'!F36+'Proyeccion de Costos Figuras'!F36</f>
        <v>8500</v>
      </c>
      <c r="I82" s="8">
        <f>+'Proyeccion de Costos Trufas'!G36+'Proyeccion de Costos Figuras'!G36</f>
        <v>8500</v>
      </c>
      <c r="J82" s="8">
        <f>+'Proyeccion de Costos Trufas'!H36+'Proyeccion de Costos Figuras'!H36</f>
        <v>9500</v>
      </c>
      <c r="K82" s="8">
        <f>+'Proyeccion de Costos Trufas'!I36+'Proyeccion de Costos Figuras'!I36</f>
        <v>9500</v>
      </c>
      <c r="L82" s="8">
        <f>+'Proyeccion de Costos Trufas'!J36+'Proyeccion de Costos Figuras'!J36</f>
        <v>9500</v>
      </c>
      <c r="M82" s="8">
        <f>+'Proyeccion de Costos Trufas'!K36+'Proyeccion de Costos Figuras'!K36</f>
        <v>123000</v>
      </c>
      <c r="N82" s="8">
        <f>+'Proyeccion de Costos Trufas'!L36+'Proyeccion de Costos Figuras'!L36</f>
        <v>123000</v>
      </c>
      <c r="O82" s="8">
        <f>+'Proyeccion de Costos Trufas'!M36+'Proyeccion de Costos Figuras'!M36</f>
        <v>123000</v>
      </c>
      <c r="P82" s="8">
        <f>+'Proyeccion de Costos Trufas'!N36+'Proyeccion de Costos Figuras'!N36</f>
        <v>123000</v>
      </c>
      <c r="Q82" s="3"/>
    </row>
    <row r="83" spans="2:17" ht="12.75">
      <c r="B83" s="59"/>
      <c r="C83" s="7" t="s">
        <v>133</v>
      </c>
      <c r="D83" s="67"/>
      <c r="E83" s="8">
        <f t="shared" si="11"/>
        <v>162000</v>
      </c>
      <c r="F83" s="8">
        <f>+'Proyeccion de Costos Trufas'!D37+'Proyeccion de Costos Figuras'!D37</f>
        <v>0</v>
      </c>
      <c r="G83" s="8">
        <f>+'Proyeccion de Costos Trufas'!E37+'Proyeccion de Costos Figuras'!E37</f>
        <v>25700</v>
      </c>
      <c r="H83" s="8">
        <f>+'Proyeccion de Costos Trufas'!F37+'Proyeccion de Costos Figuras'!F37</f>
        <v>25700</v>
      </c>
      <c r="I83" s="8">
        <f>+'Proyeccion de Costos Trufas'!G37+'Proyeccion de Costos Figuras'!G37</f>
        <v>25700</v>
      </c>
      <c r="J83" s="8">
        <f>+'Proyeccion de Costos Trufas'!H37+'Proyeccion de Costos Figuras'!H37</f>
        <v>28300</v>
      </c>
      <c r="K83" s="8">
        <f>+'Proyeccion de Costos Trufas'!I37+'Proyeccion de Costos Figuras'!I37</f>
        <v>28300</v>
      </c>
      <c r="L83" s="8">
        <f>+'Proyeccion de Costos Trufas'!J37+'Proyeccion de Costos Figuras'!J37</f>
        <v>28300</v>
      </c>
      <c r="M83" s="8">
        <f>+'Proyeccion de Costos Trufas'!K37+'Proyeccion de Costos Figuras'!K37</f>
        <v>370200</v>
      </c>
      <c r="N83" s="8">
        <f>+'Proyeccion de Costos Trufas'!L37+'Proyeccion de Costos Figuras'!L37</f>
        <v>370200</v>
      </c>
      <c r="O83" s="8">
        <f>+'Proyeccion de Costos Trufas'!M37+'Proyeccion de Costos Figuras'!M37</f>
        <v>370200</v>
      </c>
      <c r="P83" s="8">
        <f>+'Proyeccion de Costos Trufas'!N37+'Proyeccion de Costos Figuras'!N37</f>
        <v>370200</v>
      </c>
      <c r="Q83" s="3"/>
    </row>
    <row r="84" spans="2:17" ht="12.75">
      <c r="B84" s="59"/>
      <c r="C84" s="7" t="s">
        <v>134</v>
      </c>
      <c r="D84" s="67"/>
      <c r="E84" s="8">
        <f t="shared" si="11"/>
        <v>180000</v>
      </c>
      <c r="F84" s="8">
        <f>+'Proyeccion de Costos Trufas'!D38+'Proyeccion de Costos Figuras'!D38</f>
        <v>0</v>
      </c>
      <c r="G84" s="8">
        <f>+'Proyeccion de Costos Trufas'!E38+'Proyeccion de Costos Figuras'!E38</f>
        <v>28500</v>
      </c>
      <c r="H84" s="8">
        <f>+'Proyeccion de Costos Trufas'!F38+'Proyeccion de Costos Figuras'!F38</f>
        <v>28500</v>
      </c>
      <c r="I84" s="8">
        <f>+'Proyeccion de Costos Trufas'!G38+'Proyeccion de Costos Figuras'!G38</f>
        <v>28500</v>
      </c>
      <c r="J84" s="8">
        <f>+'Proyeccion de Costos Trufas'!H38+'Proyeccion de Costos Figuras'!H38</f>
        <v>31500</v>
      </c>
      <c r="K84" s="8">
        <f>+'Proyeccion de Costos Trufas'!I38+'Proyeccion de Costos Figuras'!I38</f>
        <v>31500</v>
      </c>
      <c r="L84" s="8">
        <f>+'Proyeccion de Costos Trufas'!J38+'Proyeccion de Costos Figuras'!J38</f>
        <v>31500</v>
      </c>
      <c r="M84" s="8">
        <f>+'Proyeccion de Costos Trufas'!K38+'Proyeccion de Costos Figuras'!K38</f>
        <v>411000</v>
      </c>
      <c r="N84" s="8">
        <f>+'Proyeccion de Costos Trufas'!L38+'Proyeccion de Costos Figuras'!L38</f>
        <v>411000</v>
      </c>
      <c r="O84" s="8">
        <f>+'Proyeccion de Costos Trufas'!M38+'Proyeccion de Costos Figuras'!M38</f>
        <v>411000</v>
      </c>
      <c r="P84" s="8">
        <f>+'Proyeccion de Costos Trufas'!N38+'Proyeccion de Costos Figuras'!N38</f>
        <v>411000</v>
      </c>
      <c r="Q84" s="3"/>
    </row>
    <row r="85" spans="2:17" ht="12.75">
      <c r="B85" s="59"/>
      <c r="C85" s="7" t="s">
        <v>135</v>
      </c>
      <c r="D85" s="67"/>
      <c r="E85" s="8">
        <f t="shared" si="11"/>
        <v>202500</v>
      </c>
      <c r="F85" s="8">
        <f>+'Proyeccion de Costos Trufas'!D39+'Proyeccion de Costos Figuras'!D39</f>
        <v>0</v>
      </c>
      <c r="G85" s="8">
        <f>+'Proyeccion de Costos Trufas'!E39+'Proyeccion de Costos Figuras'!E39</f>
        <v>32100</v>
      </c>
      <c r="H85" s="8">
        <f>+'Proyeccion de Costos Trufas'!F39+'Proyeccion de Costos Figuras'!F39</f>
        <v>32100</v>
      </c>
      <c r="I85" s="8">
        <f>+'Proyeccion de Costos Trufas'!G39+'Proyeccion de Costos Figuras'!G39</f>
        <v>32100</v>
      </c>
      <c r="J85" s="8">
        <f>+'Proyeccion de Costos Trufas'!H39+'Proyeccion de Costos Figuras'!H39</f>
        <v>35400</v>
      </c>
      <c r="K85" s="8">
        <f>+'Proyeccion de Costos Trufas'!I39+'Proyeccion de Costos Figuras'!I39</f>
        <v>35400</v>
      </c>
      <c r="L85" s="8">
        <f>+'Proyeccion de Costos Trufas'!J39+'Proyeccion de Costos Figuras'!J39</f>
        <v>35400</v>
      </c>
      <c r="M85" s="8">
        <f>+'Proyeccion de Costos Trufas'!K39+'Proyeccion de Costos Figuras'!K39</f>
        <v>462600</v>
      </c>
      <c r="N85" s="8">
        <f>+'Proyeccion de Costos Trufas'!L39+'Proyeccion de Costos Figuras'!L39</f>
        <v>462600</v>
      </c>
      <c r="O85" s="8">
        <f>+'Proyeccion de Costos Trufas'!M39+'Proyeccion de Costos Figuras'!M39</f>
        <v>462600</v>
      </c>
      <c r="P85" s="8">
        <f>+'Proyeccion de Costos Trufas'!N39+'Proyeccion de Costos Figuras'!N39</f>
        <v>462600</v>
      </c>
      <c r="Q85" s="3"/>
    </row>
    <row r="86" spans="2:17" ht="12.75">
      <c r="B86" s="59"/>
      <c r="C86" s="7" t="s">
        <v>136</v>
      </c>
      <c r="D86" s="67"/>
      <c r="E86" s="8">
        <f t="shared" si="11"/>
        <v>135000</v>
      </c>
      <c r="F86" s="8">
        <f>+'Proyeccion de Costos Trufas'!D40+'Proyeccion de Costos Figuras'!D40</f>
        <v>0</v>
      </c>
      <c r="G86" s="8">
        <f>+'Proyeccion de Costos Trufas'!E40+'Proyeccion de Costos Figuras'!E40</f>
        <v>21400</v>
      </c>
      <c r="H86" s="8">
        <f>+'Proyeccion de Costos Trufas'!F40+'Proyeccion de Costos Figuras'!F40</f>
        <v>21400</v>
      </c>
      <c r="I86" s="8">
        <f>+'Proyeccion de Costos Trufas'!G40+'Proyeccion de Costos Figuras'!G40</f>
        <v>21400</v>
      </c>
      <c r="J86" s="8">
        <f>+'Proyeccion de Costos Trufas'!H40+'Proyeccion de Costos Figuras'!H40</f>
        <v>23600</v>
      </c>
      <c r="K86" s="8">
        <f>+'Proyeccion de Costos Trufas'!I40+'Proyeccion de Costos Figuras'!I40</f>
        <v>23600</v>
      </c>
      <c r="L86" s="8">
        <f>+'Proyeccion de Costos Trufas'!J40+'Proyeccion de Costos Figuras'!J40</f>
        <v>23600</v>
      </c>
      <c r="M86" s="8">
        <f>+'Proyeccion de Costos Trufas'!K40+'Proyeccion de Costos Figuras'!K40</f>
        <v>308400</v>
      </c>
      <c r="N86" s="8">
        <f>+'Proyeccion de Costos Trufas'!L40+'Proyeccion de Costos Figuras'!L40</f>
        <v>308400</v>
      </c>
      <c r="O86" s="8">
        <f>+'Proyeccion de Costos Trufas'!M40+'Proyeccion de Costos Figuras'!M40</f>
        <v>308400</v>
      </c>
      <c r="P86" s="8">
        <f>+'Proyeccion de Costos Trufas'!N40+'Proyeccion de Costos Figuras'!N40</f>
        <v>308400</v>
      </c>
      <c r="Q86" s="3"/>
    </row>
    <row r="87" spans="2:17" ht="12.75">
      <c r="B87" s="59"/>
      <c r="C87" s="7" t="s">
        <v>137</v>
      </c>
      <c r="D87" s="67"/>
      <c r="E87" s="8">
        <f t="shared" si="11"/>
        <v>207000</v>
      </c>
      <c r="F87" s="8">
        <f>+'Proyeccion de Costos Trufas'!D41+'Proyeccion de Costos Figuras'!D41</f>
        <v>0</v>
      </c>
      <c r="G87" s="8">
        <f>+'Proyeccion de Costos Trufas'!E41+'Proyeccion de Costos Figuras'!E41</f>
        <v>32800</v>
      </c>
      <c r="H87" s="8">
        <f>+'Proyeccion de Costos Trufas'!F41+'Proyeccion de Costos Figuras'!F41</f>
        <v>32800</v>
      </c>
      <c r="I87" s="8">
        <f>+'Proyeccion de Costos Trufas'!G41+'Proyeccion de Costos Figuras'!G41</f>
        <v>32800</v>
      </c>
      <c r="J87" s="8">
        <f>+'Proyeccion de Costos Trufas'!H41+'Proyeccion de Costos Figuras'!H41</f>
        <v>36200</v>
      </c>
      <c r="K87" s="8">
        <f>+'Proyeccion de Costos Trufas'!I41+'Proyeccion de Costos Figuras'!I41</f>
        <v>36200</v>
      </c>
      <c r="L87" s="8">
        <f>+'Proyeccion de Costos Trufas'!J41+'Proyeccion de Costos Figuras'!J41</f>
        <v>36200</v>
      </c>
      <c r="M87" s="8">
        <f>+'Proyeccion de Costos Trufas'!K41+'Proyeccion de Costos Figuras'!K41</f>
        <v>472800</v>
      </c>
      <c r="N87" s="8">
        <f>+'Proyeccion de Costos Trufas'!L41+'Proyeccion de Costos Figuras'!L41</f>
        <v>472800</v>
      </c>
      <c r="O87" s="8">
        <f>+'Proyeccion de Costos Trufas'!M41+'Proyeccion de Costos Figuras'!M41</f>
        <v>472800</v>
      </c>
      <c r="P87" s="8">
        <f>+'Proyeccion de Costos Trufas'!N41+'Proyeccion de Costos Figuras'!N41</f>
        <v>472800</v>
      </c>
      <c r="Q87" s="3"/>
    </row>
    <row r="88" spans="2:17" ht="12.75">
      <c r="B88" s="59"/>
      <c r="C88" s="7" t="s">
        <v>138</v>
      </c>
      <c r="D88" s="67"/>
      <c r="E88" s="8">
        <f t="shared" si="11"/>
        <v>85500</v>
      </c>
      <c r="F88" s="8">
        <f>+'Proyeccion de Costos Trufas'!D42+'Proyeccion de Costos Figuras'!D42</f>
        <v>0</v>
      </c>
      <c r="G88" s="8">
        <f>+'Proyeccion de Costos Trufas'!E42+'Proyeccion de Costos Figuras'!E42</f>
        <v>13500</v>
      </c>
      <c r="H88" s="8">
        <f>+'Proyeccion de Costos Trufas'!F42+'Proyeccion de Costos Figuras'!F42</f>
        <v>13500</v>
      </c>
      <c r="I88" s="8">
        <f>+'Proyeccion de Costos Trufas'!G42+'Proyeccion de Costos Figuras'!G42</f>
        <v>13500</v>
      </c>
      <c r="J88" s="8">
        <f>+'Proyeccion de Costos Trufas'!H42+'Proyeccion de Costos Figuras'!H42</f>
        <v>15000</v>
      </c>
      <c r="K88" s="8">
        <f>+'Proyeccion de Costos Trufas'!I42+'Proyeccion de Costos Figuras'!I42</f>
        <v>15000</v>
      </c>
      <c r="L88" s="8">
        <f>+'Proyeccion de Costos Trufas'!J42+'Proyeccion de Costos Figuras'!J42</f>
        <v>15000</v>
      </c>
      <c r="M88" s="8">
        <f>+'Proyeccion de Costos Trufas'!K42+'Proyeccion de Costos Figuras'!K42</f>
        <v>195000</v>
      </c>
      <c r="N88" s="8">
        <f>+'Proyeccion de Costos Trufas'!L42+'Proyeccion de Costos Figuras'!L42</f>
        <v>195000</v>
      </c>
      <c r="O88" s="8">
        <f>+'Proyeccion de Costos Trufas'!M42+'Proyeccion de Costos Figuras'!M42</f>
        <v>195000</v>
      </c>
      <c r="P88" s="8">
        <f>+'Proyeccion de Costos Trufas'!N42+'Proyeccion de Costos Figuras'!N42</f>
        <v>195000</v>
      </c>
      <c r="Q88" s="3"/>
    </row>
    <row r="89" spans="2:17" ht="12.75">
      <c r="B89" s="59"/>
      <c r="C89" s="7" t="s">
        <v>139</v>
      </c>
      <c r="D89" s="67"/>
      <c r="E89" s="8">
        <f t="shared" si="11"/>
        <v>81000</v>
      </c>
      <c r="F89" s="8">
        <f>+'Proyeccion de Costos Trufas'!D43+'Proyeccion de Costos Figuras'!D43</f>
        <v>0</v>
      </c>
      <c r="G89" s="8">
        <f>+'Proyeccion de Costos Trufas'!E43+'Proyeccion de Costos Figuras'!E43</f>
        <v>12800</v>
      </c>
      <c r="H89" s="8">
        <f>+'Proyeccion de Costos Trufas'!F43+'Proyeccion de Costos Figuras'!F43</f>
        <v>12800</v>
      </c>
      <c r="I89" s="8">
        <f>+'Proyeccion de Costos Trufas'!G43+'Proyeccion de Costos Figuras'!G43</f>
        <v>12800</v>
      </c>
      <c r="J89" s="8">
        <f>+'Proyeccion de Costos Trufas'!H43+'Proyeccion de Costos Figuras'!H43</f>
        <v>14200</v>
      </c>
      <c r="K89" s="8">
        <f>+'Proyeccion de Costos Trufas'!I43+'Proyeccion de Costos Figuras'!I43</f>
        <v>14200</v>
      </c>
      <c r="L89" s="8">
        <f>+'Proyeccion de Costos Trufas'!J43+'Proyeccion de Costos Figuras'!J43</f>
        <v>14200</v>
      </c>
      <c r="M89" s="8">
        <f>+'Proyeccion de Costos Trufas'!K43+'Proyeccion de Costos Figuras'!K43</f>
        <v>184800</v>
      </c>
      <c r="N89" s="8">
        <f>+'Proyeccion de Costos Trufas'!L43+'Proyeccion de Costos Figuras'!L43</f>
        <v>184800</v>
      </c>
      <c r="O89" s="8">
        <f>+'Proyeccion de Costos Trufas'!M43+'Proyeccion de Costos Figuras'!M43</f>
        <v>184800</v>
      </c>
      <c r="P89" s="8">
        <f>+'Proyeccion de Costos Trufas'!N43+'Proyeccion de Costos Figuras'!N43</f>
        <v>184800</v>
      </c>
      <c r="Q89" s="3"/>
    </row>
    <row r="90" spans="2:17" ht="12.75">
      <c r="B90" s="59"/>
      <c r="C90" s="10"/>
      <c r="D90" s="72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"/>
    </row>
    <row r="91" spans="2:17" ht="12.75">
      <c r="B91" s="59"/>
      <c r="C91" s="73" t="s">
        <v>182</v>
      </c>
      <c r="D91" s="74"/>
      <c r="E91" s="70">
        <f>SUM(E92:E103)</f>
        <v>55208000</v>
      </c>
      <c r="F91" s="70">
        <f aca="true" t="shared" si="12" ref="F91:P91">SUM(F92:F103)</f>
        <v>0</v>
      </c>
      <c r="G91" s="70">
        <f t="shared" si="12"/>
        <v>55208000</v>
      </c>
      <c r="H91" s="70">
        <f t="shared" si="12"/>
        <v>0</v>
      </c>
      <c r="I91" s="70">
        <f t="shared" si="12"/>
        <v>0</v>
      </c>
      <c r="J91" s="70">
        <f t="shared" si="12"/>
        <v>0</v>
      </c>
      <c r="K91" s="70">
        <f t="shared" si="12"/>
        <v>0</v>
      </c>
      <c r="L91" s="70">
        <f t="shared" si="12"/>
        <v>0</v>
      </c>
      <c r="M91" s="70">
        <f t="shared" si="12"/>
        <v>0</v>
      </c>
      <c r="N91" s="70">
        <f t="shared" si="12"/>
        <v>0</v>
      </c>
      <c r="O91" s="70">
        <f t="shared" si="12"/>
        <v>0</v>
      </c>
      <c r="P91" s="70">
        <f t="shared" si="12"/>
        <v>0</v>
      </c>
      <c r="Q91" s="3"/>
    </row>
    <row r="92" spans="2:17" ht="15">
      <c r="B92" s="59"/>
      <c r="C92" s="95" t="s">
        <v>142</v>
      </c>
      <c r="D92" s="67"/>
      <c r="E92" s="8">
        <f aca="true" t="shared" si="13" ref="E92:E103">SUM(G92:L92)</f>
        <v>4000000</v>
      </c>
      <c r="F92" s="8"/>
      <c r="G92" s="8">
        <f>+'Activos Fijos Depreciables'!C3</f>
        <v>4000000</v>
      </c>
      <c r="H92" s="8"/>
      <c r="I92" s="8"/>
      <c r="J92" s="8"/>
      <c r="K92" s="8"/>
      <c r="L92" s="8"/>
      <c r="M92" s="8"/>
      <c r="N92" s="8"/>
      <c r="O92" s="8"/>
      <c r="P92" s="8"/>
      <c r="Q92" s="3"/>
    </row>
    <row r="93" spans="2:17" ht="15">
      <c r="B93" s="59"/>
      <c r="C93" s="95" t="s">
        <v>143</v>
      </c>
      <c r="D93" s="67"/>
      <c r="E93" s="8">
        <f t="shared" si="13"/>
        <v>2000000</v>
      </c>
      <c r="F93" s="8"/>
      <c r="G93" s="8">
        <f>+'Activos Fijos Depreciables'!C4</f>
        <v>2000000</v>
      </c>
      <c r="H93" s="8"/>
      <c r="I93" s="8"/>
      <c r="J93" s="8"/>
      <c r="K93" s="8"/>
      <c r="L93" s="8"/>
      <c r="M93" s="8"/>
      <c r="N93" s="8"/>
      <c r="O93" s="8"/>
      <c r="P93" s="8"/>
      <c r="Q93" s="3"/>
    </row>
    <row r="94" spans="2:17" ht="15">
      <c r="B94" s="59"/>
      <c r="C94" s="95" t="s">
        <v>144</v>
      </c>
      <c r="D94" s="67"/>
      <c r="E94" s="8">
        <f t="shared" si="13"/>
        <v>500000</v>
      </c>
      <c r="F94" s="8"/>
      <c r="G94" s="8">
        <f>+'Activos Fijos Depreciables'!C5</f>
        <v>500000</v>
      </c>
      <c r="H94" s="8"/>
      <c r="I94" s="8"/>
      <c r="J94" s="8"/>
      <c r="K94" s="8"/>
      <c r="L94" s="8"/>
      <c r="M94" s="8"/>
      <c r="N94" s="8"/>
      <c r="O94" s="8"/>
      <c r="P94" s="8"/>
      <c r="Q94" s="3"/>
    </row>
    <row r="95" spans="2:17" ht="15">
      <c r="B95" s="59"/>
      <c r="C95" s="95" t="s">
        <v>145</v>
      </c>
      <c r="D95" s="67"/>
      <c r="E95" s="8">
        <f t="shared" si="13"/>
        <v>2000000</v>
      </c>
      <c r="F95" s="8"/>
      <c r="G95" s="8">
        <f>+'Activos Fijos Depreciables'!C6</f>
        <v>2000000</v>
      </c>
      <c r="H95" s="8"/>
      <c r="I95" s="8"/>
      <c r="J95" s="8"/>
      <c r="K95" s="8"/>
      <c r="L95" s="8"/>
      <c r="M95" s="8"/>
      <c r="N95" s="8"/>
      <c r="O95" s="8"/>
      <c r="P95" s="8"/>
      <c r="Q95" s="3"/>
    </row>
    <row r="96" spans="2:17" ht="15">
      <c r="B96" s="59"/>
      <c r="C96" s="95" t="s">
        <v>146</v>
      </c>
      <c r="D96" s="67"/>
      <c r="E96" s="8">
        <f t="shared" si="13"/>
        <v>35000000</v>
      </c>
      <c r="F96" s="8"/>
      <c r="G96" s="8">
        <f>+'Activos Fijos Depreciables'!C7</f>
        <v>35000000</v>
      </c>
      <c r="H96" s="8"/>
      <c r="I96" s="8"/>
      <c r="J96" s="8"/>
      <c r="K96" s="8"/>
      <c r="L96" s="8"/>
      <c r="M96" s="8"/>
      <c r="N96" s="8"/>
      <c r="O96" s="8"/>
      <c r="P96" s="8"/>
      <c r="Q96" s="3"/>
    </row>
    <row r="97" spans="2:17" ht="15">
      <c r="B97" s="59"/>
      <c r="C97" s="95" t="s">
        <v>147</v>
      </c>
      <c r="D97" s="67"/>
      <c r="E97" s="8">
        <f t="shared" si="13"/>
        <v>500000</v>
      </c>
      <c r="F97" s="8"/>
      <c r="G97" s="8">
        <f>+'Activos Fijos Depreciables'!C8</f>
        <v>500000</v>
      </c>
      <c r="H97" s="8"/>
      <c r="I97" s="8"/>
      <c r="J97" s="8"/>
      <c r="K97" s="8"/>
      <c r="L97" s="8"/>
      <c r="M97" s="8"/>
      <c r="N97" s="8"/>
      <c r="O97" s="8"/>
      <c r="P97" s="8"/>
      <c r="Q97" s="3"/>
    </row>
    <row r="98" spans="2:17" ht="15">
      <c r="B98" s="59"/>
      <c r="C98" s="95" t="s">
        <v>148</v>
      </c>
      <c r="D98" s="67"/>
      <c r="E98" s="8">
        <f t="shared" si="13"/>
        <v>1500000</v>
      </c>
      <c r="F98" s="8"/>
      <c r="G98" s="8">
        <f>+'Activos Fijos Depreciables'!C10</f>
        <v>1500000</v>
      </c>
      <c r="H98" s="8"/>
      <c r="I98" s="8"/>
      <c r="J98" s="8"/>
      <c r="K98" s="8"/>
      <c r="L98" s="8"/>
      <c r="M98" s="8"/>
      <c r="N98" s="8"/>
      <c r="O98" s="8"/>
      <c r="P98" s="8"/>
      <c r="Q98" s="3"/>
    </row>
    <row r="99" spans="2:17" ht="15">
      <c r="B99" s="59"/>
      <c r="C99" s="95" t="s">
        <v>150</v>
      </c>
      <c r="D99" s="67"/>
      <c r="E99" s="8">
        <f t="shared" si="13"/>
        <v>1000000</v>
      </c>
      <c r="F99" s="8"/>
      <c r="G99" s="8">
        <f>+'Activos Fijos Depreciables'!C11</f>
        <v>1000000</v>
      </c>
      <c r="H99" s="8"/>
      <c r="I99" s="8"/>
      <c r="J99" s="8"/>
      <c r="K99" s="8"/>
      <c r="L99" s="8"/>
      <c r="M99" s="8"/>
      <c r="N99" s="8"/>
      <c r="O99" s="8"/>
      <c r="P99" s="8"/>
      <c r="Q99" s="3"/>
    </row>
    <row r="100" spans="2:17" ht="15">
      <c r="B100" s="59"/>
      <c r="C100" s="95" t="s">
        <v>151</v>
      </c>
      <c r="D100" s="67"/>
      <c r="E100" s="8">
        <f t="shared" si="13"/>
        <v>800000</v>
      </c>
      <c r="F100" s="8"/>
      <c r="G100" s="8">
        <f>+'Activos Fijos Depreciables'!C12</f>
        <v>800000</v>
      </c>
      <c r="H100" s="8"/>
      <c r="I100" s="8"/>
      <c r="J100" s="8"/>
      <c r="K100" s="8"/>
      <c r="L100" s="8"/>
      <c r="M100" s="8"/>
      <c r="N100" s="8"/>
      <c r="O100" s="8"/>
      <c r="P100" s="8"/>
      <c r="Q100" s="3"/>
    </row>
    <row r="101" spans="2:17" ht="15">
      <c r="B101" s="59"/>
      <c r="C101" s="95" t="s">
        <v>152</v>
      </c>
      <c r="D101" s="67"/>
      <c r="E101" s="8">
        <f t="shared" si="13"/>
        <v>2000000</v>
      </c>
      <c r="F101" s="8"/>
      <c r="G101" s="8">
        <f>+'Activos Fijos Depreciables'!C13</f>
        <v>2000000</v>
      </c>
      <c r="H101" s="8"/>
      <c r="I101" s="8"/>
      <c r="J101" s="8"/>
      <c r="K101" s="8"/>
      <c r="L101" s="8"/>
      <c r="M101" s="8"/>
      <c r="N101" s="8"/>
      <c r="O101" s="8"/>
      <c r="P101" s="8"/>
      <c r="Q101" s="3"/>
    </row>
    <row r="102" spans="2:17" ht="15">
      <c r="B102" s="59"/>
      <c r="C102" s="95" t="s">
        <v>149</v>
      </c>
      <c r="D102" s="67"/>
      <c r="E102" s="8">
        <f t="shared" si="13"/>
        <v>3500000</v>
      </c>
      <c r="F102" s="8"/>
      <c r="G102" s="8">
        <f>+'Activos Fijos Depreciables'!C14</f>
        <v>3500000</v>
      </c>
      <c r="H102" s="8"/>
      <c r="I102" s="8"/>
      <c r="J102" s="8"/>
      <c r="K102" s="8"/>
      <c r="L102" s="8"/>
      <c r="M102" s="8"/>
      <c r="N102" s="8"/>
      <c r="O102" s="8"/>
      <c r="P102" s="8"/>
      <c r="Q102" s="3"/>
    </row>
    <row r="103" spans="2:17" ht="15">
      <c r="B103" s="59"/>
      <c r="C103" s="95" t="s">
        <v>183</v>
      </c>
      <c r="D103" s="67"/>
      <c r="E103" s="8">
        <f t="shared" si="13"/>
        <v>2408000</v>
      </c>
      <c r="F103" s="8"/>
      <c r="G103" s="8">
        <f>+Accesorios!C21</f>
        <v>2408000</v>
      </c>
      <c r="H103" s="8"/>
      <c r="I103" s="8"/>
      <c r="J103" s="8"/>
      <c r="K103" s="8"/>
      <c r="L103" s="8"/>
      <c r="M103" s="8"/>
      <c r="N103" s="8"/>
      <c r="O103" s="8"/>
      <c r="P103" s="8"/>
      <c r="Q103" s="3"/>
    </row>
    <row r="104" spans="2:17" ht="12.75">
      <c r="B104" s="59"/>
      <c r="C104" s="10"/>
      <c r="D104" s="72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3"/>
    </row>
    <row r="105" spans="2:17" s="2" customFormat="1" ht="12.75">
      <c r="B105" s="59"/>
      <c r="C105" s="75" t="s">
        <v>186</v>
      </c>
      <c r="D105" s="74"/>
      <c r="E105" s="70">
        <f aca="true" t="shared" si="14" ref="E105:P105">+E25+E17+E49+E91</f>
        <v>148358380</v>
      </c>
      <c r="F105" s="70">
        <f t="shared" si="14"/>
        <v>0</v>
      </c>
      <c r="G105" s="70">
        <f t="shared" si="14"/>
        <v>72690013.33333334</v>
      </c>
      <c r="H105" s="70">
        <f t="shared" si="14"/>
        <v>14982013.333333334</v>
      </c>
      <c r="I105" s="70">
        <f t="shared" si="14"/>
        <v>14982013.333333334</v>
      </c>
      <c r="J105" s="70">
        <f t="shared" si="14"/>
        <v>15562613.333333334</v>
      </c>
      <c r="K105" s="70">
        <f t="shared" si="14"/>
        <v>15562613.333333334</v>
      </c>
      <c r="L105" s="70">
        <f t="shared" si="14"/>
        <v>15562613.333333334</v>
      </c>
      <c r="M105" s="70">
        <f t="shared" si="14"/>
        <v>193297960</v>
      </c>
      <c r="N105" s="70">
        <f t="shared" si="14"/>
        <v>193297960</v>
      </c>
      <c r="O105" s="70">
        <f t="shared" si="14"/>
        <v>193297960</v>
      </c>
      <c r="P105" s="70">
        <f t="shared" si="14"/>
        <v>192297960</v>
      </c>
      <c r="Q105" s="65"/>
    </row>
    <row r="106" spans="2:17" ht="12.75">
      <c r="B106" s="59"/>
      <c r="C106" s="56"/>
      <c r="Q106" s="3"/>
    </row>
    <row r="107" spans="2:17" ht="12.75">
      <c r="B107" s="59"/>
      <c r="C107" s="73" t="s">
        <v>15</v>
      </c>
      <c r="D107" s="74"/>
      <c r="E107" s="70">
        <f aca="true" t="shared" si="15" ref="E107:P107">+E14-E105</f>
        <v>33891620</v>
      </c>
      <c r="F107" s="70">
        <f t="shared" si="15"/>
        <v>81000000</v>
      </c>
      <c r="G107" s="70">
        <f t="shared" si="15"/>
        <v>-56690013.33333334</v>
      </c>
      <c r="H107" s="70">
        <f t="shared" si="15"/>
        <v>1017986.666666666</v>
      </c>
      <c r="I107" s="70">
        <f t="shared" si="15"/>
        <v>1017986.666666666</v>
      </c>
      <c r="J107" s="70">
        <f t="shared" si="15"/>
        <v>2187386.666666666</v>
      </c>
      <c r="K107" s="70">
        <f t="shared" si="15"/>
        <v>2187386.666666666</v>
      </c>
      <c r="L107" s="70">
        <f t="shared" si="15"/>
        <v>2187386.666666666</v>
      </c>
      <c r="M107" s="70">
        <f t="shared" si="15"/>
        <v>37702040</v>
      </c>
      <c r="N107" s="70">
        <f t="shared" si="15"/>
        <v>37702040</v>
      </c>
      <c r="O107" s="70">
        <f t="shared" si="15"/>
        <v>37702040</v>
      </c>
      <c r="P107" s="70">
        <f t="shared" si="15"/>
        <v>38702040</v>
      </c>
      <c r="Q107" s="3"/>
    </row>
    <row r="108" spans="2:17" ht="12.75">
      <c r="B108" s="59"/>
      <c r="Q108" s="3"/>
    </row>
    <row r="109" spans="1:17" ht="12.75">
      <c r="A109" s="58"/>
      <c r="B109" s="59"/>
      <c r="C109" s="68" t="s">
        <v>16</v>
      </c>
      <c r="D109" s="76"/>
      <c r="E109" s="70">
        <f aca="true" t="shared" si="16" ref="E109:P109">SUM(E110:E111)</f>
        <v>0</v>
      </c>
      <c r="F109" s="70">
        <f t="shared" si="16"/>
        <v>0</v>
      </c>
      <c r="G109" s="70">
        <f t="shared" si="16"/>
        <v>0</v>
      </c>
      <c r="H109" s="70">
        <f t="shared" si="16"/>
        <v>0</v>
      </c>
      <c r="I109" s="70">
        <f t="shared" si="16"/>
        <v>0</v>
      </c>
      <c r="J109" s="70">
        <f t="shared" si="16"/>
        <v>0</v>
      </c>
      <c r="K109" s="70">
        <f t="shared" si="16"/>
        <v>0</v>
      </c>
      <c r="L109" s="70">
        <f t="shared" si="16"/>
        <v>0</v>
      </c>
      <c r="M109" s="70">
        <f t="shared" si="16"/>
        <v>0</v>
      </c>
      <c r="N109" s="70">
        <f t="shared" si="16"/>
        <v>0</v>
      </c>
      <c r="O109" s="70">
        <f t="shared" si="16"/>
        <v>0</v>
      </c>
      <c r="P109" s="70">
        <f t="shared" si="16"/>
        <v>0</v>
      </c>
      <c r="Q109" s="3"/>
    </row>
    <row r="110" spans="2:17" ht="12.75">
      <c r="B110" s="59"/>
      <c r="C110" s="7" t="s">
        <v>270</v>
      </c>
      <c r="D110" s="67"/>
      <c r="E110" s="8">
        <f>SUM(G110:L110)</f>
        <v>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"/>
    </row>
    <row r="111" spans="2:17" ht="12.75">
      <c r="B111" s="59"/>
      <c r="C111" s="7"/>
      <c r="D111" s="67"/>
      <c r="E111" s="8">
        <f>SUM(G111:L111)</f>
        <v>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"/>
    </row>
    <row r="112" spans="2:17" ht="12.75">
      <c r="B112" s="59"/>
      <c r="C112" s="56"/>
      <c r="Q112" s="3"/>
    </row>
    <row r="113" spans="1:17" s="17" customFormat="1" ht="12.75">
      <c r="A113" s="2"/>
      <c r="B113" s="61"/>
      <c r="C113" s="68" t="s">
        <v>267</v>
      </c>
      <c r="D113" s="2"/>
      <c r="E113" s="70">
        <f>+E114</f>
        <v>5739854.996650396</v>
      </c>
      <c r="F113" s="70">
        <f aca="true" t="shared" si="17" ref="F113:P113">+F114</f>
        <v>0</v>
      </c>
      <c r="G113" s="70">
        <f t="shared" si="17"/>
        <v>933705.1693229135</v>
      </c>
      <c r="H113" s="70">
        <f t="shared" si="17"/>
        <v>942762.1094653457</v>
      </c>
      <c r="I113" s="70">
        <f t="shared" si="17"/>
        <v>951906.9019271596</v>
      </c>
      <c r="J113" s="70">
        <f t="shared" si="17"/>
        <v>961140.398875853</v>
      </c>
      <c r="K113" s="70">
        <f t="shared" si="17"/>
        <v>970463.4607449488</v>
      </c>
      <c r="L113" s="70">
        <f t="shared" si="17"/>
        <v>979876.9563141749</v>
      </c>
      <c r="M113" s="70">
        <f t="shared" si="17"/>
        <v>12526917.354967859</v>
      </c>
      <c r="N113" s="70">
        <f t="shared" si="17"/>
        <v>14065412.952828318</v>
      </c>
      <c r="O113" s="70">
        <f t="shared" si="17"/>
        <v>7667814.695553242</v>
      </c>
      <c r="P113" s="70">
        <f t="shared" si="17"/>
        <v>6420487.328777197</v>
      </c>
      <c r="Q113" s="3"/>
    </row>
    <row r="114" spans="1:17" s="17" customFormat="1" ht="12.75">
      <c r="A114" s="2"/>
      <c r="B114" s="59"/>
      <c r="C114" s="7" t="s">
        <v>268</v>
      </c>
      <c r="D114" s="2"/>
      <c r="E114" s="8">
        <f>SUM(G114:L114)</f>
        <v>5739854.996650396</v>
      </c>
      <c r="F114" s="8"/>
      <c r="G114" s="8">
        <f>+'Tabla de Amortizacion'!D5</f>
        <v>933705.1693229135</v>
      </c>
      <c r="H114" s="8">
        <f>+'Tabla de Amortizacion'!E5</f>
        <v>942762.1094653457</v>
      </c>
      <c r="I114" s="8">
        <f>+'Tabla de Amortizacion'!F5</f>
        <v>951906.9019271596</v>
      </c>
      <c r="J114" s="8">
        <f>+'Tabla de Amortizacion'!G5</f>
        <v>961140.398875853</v>
      </c>
      <c r="K114" s="8">
        <f>+'Tabla de Amortizacion'!H5</f>
        <v>970463.4607449488</v>
      </c>
      <c r="L114" s="8">
        <f>+'Tabla de Amortizacion'!I5</f>
        <v>979876.9563141749</v>
      </c>
      <c r="M114" s="8">
        <f>SUM('Tabla de Amortizacion'!J5:U5)</f>
        <v>12526917.354967859</v>
      </c>
      <c r="N114" s="8">
        <f>SUM('Tabla de Amortizacion'!V5:AG5)</f>
        <v>14065412.952828318</v>
      </c>
      <c r="O114" s="8">
        <f>SUM('Tabla de Amortizacion'!AH5:AM5)</f>
        <v>7667814.695553242</v>
      </c>
      <c r="P114" s="8">
        <f>SUM('Tabla de Amortizacion'!AI5:AN5)</f>
        <v>6420487.328777197</v>
      </c>
      <c r="Q114" s="3"/>
    </row>
    <row r="115" spans="2:17" ht="12.75">
      <c r="B115" s="59"/>
      <c r="C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3"/>
    </row>
    <row r="116" spans="2:17" s="2" customFormat="1" ht="12.75">
      <c r="B116" s="59"/>
      <c r="C116" s="71" t="s">
        <v>17</v>
      </c>
      <c r="E116" s="70">
        <f aca="true" t="shared" si="18" ref="E116:P116">SUM(E117:E118)</f>
        <v>2595376.0192870856</v>
      </c>
      <c r="F116" s="70">
        <f t="shared" si="18"/>
        <v>0</v>
      </c>
      <c r="G116" s="70">
        <f t="shared" si="18"/>
        <v>452000</v>
      </c>
      <c r="H116" s="70">
        <f t="shared" si="18"/>
        <v>442943.0598575677</v>
      </c>
      <c r="I116" s="70">
        <f t="shared" si="18"/>
        <v>433798.2673957539</v>
      </c>
      <c r="J116" s="70">
        <f t="shared" si="18"/>
        <v>431564.77044706047</v>
      </c>
      <c r="K116" s="70">
        <f t="shared" si="18"/>
        <v>422241.70857796463</v>
      </c>
      <c r="L116" s="70">
        <f t="shared" si="18"/>
        <v>412828.21300873865</v>
      </c>
      <c r="M116" s="70">
        <f t="shared" si="18"/>
        <v>4257544.676907105</v>
      </c>
      <c r="N116" s="70">
        <f t="shared" si="18"/>
        <v>2719049.079046641</v>
      </c>
      <c r="O116" s="70">
        <f t="shared" si="18"/>
        <v>1186416.3203842393</v>
      </c>
      <c r="P116" s="70">
        <f t="shared" si="18"/>
        <v>1112038.517837371</v>
      </c>
      <c r="Q116" s="65"/>
    </row>
    <row r="117" spans="1:17" s="17" customFormat="1" ht="12.75">
      <c r="A117" s="2"/>
      <c r="B117" s="59"/>
      <c r="C117" s="11" t="s">
        <v>18</v>
      </c>
      <c r="D117" s="4"/>
      <c r="E117" s="8">
        <f>SUM(F117:L117)</f>
        <v>405000</v>
      </c>
      <c r="F117" s="8"/>
      <c r="G117" s="8">
        <f aca="true" t="shared" si="19" ref="G117:P117">+G14*0.004</f>
        <v>64000</v>
      </c>
      <c r="H117" s="8">
        <f t="shared" si="19"/>
        <v>64000</v>
      </c>
      <c r="I117" s="8">
        <f t="shared" si="19"/>
        <v>64000</v>
      </c>
      <c r="J117" s="8">
        <f t="shared" si="19"/>
        <v>71000</v>
      </c>
      <c r="K117" s="8">
        <f t="shared" si="19"/>
        <v>71000</v>
      </c>
      <c r="L117" s="8">
        <f t="shared" si="19"/>
        <v>71000</v>
      </c>
      <c r="M117" s="8">
        <f t="shared" si="19"/>
        <v>924000</v>
      </c>
      <c r="N117" s="8">
        <f t="shared" si="19"/>
        <v>924000</v>
      </c>
      <c r="O117" s="8">
        <f t="shared" si="19"/>
        <v>924000</v>
      </c>
      <c r="P117" s="8">
        <f t="shared" si="19"/>
        <v>924000</v>
      </c>
      <c r="Q117" s="3"/>
    </row>
    <row r="118" spans="1:17" s="17" customFormat="1" ht="12.75">
      <c r="A118" s="2"/>
      <c r="B118" s="59"/>
      <c r="C118" s="11" t="s">
        <v>269</v>
      </c>
      <c r="D118" s="4"/>
      <c r="E118" s="8">
        <f>SUM(F118:L118)</f>
        <v>2190376.0192870856</v>
      </c>
      <c r="F118" s="8"/>
      <c r="G118" s="8">
        <f>+'Tabla de Amortizacion'!D6</f>
        <v>388000</v>
      </c>
      <c r="H118" s="8">
        <f>+'Tabla de Amortizacion'!E6</f>
        <v>378943.0598575677</v>
      </c>
      <c r="I118" s="8">
        <f>+'Tabla de Amortizacion'!F6</f>
        <v>369798.2673957539</v>
      </c>
      <c r="J118" s="8">
        <f>+'Tabla de Amortizacion'!G6</f>
        <v>360564.77044706047</v>
      </c>
      <c r="K118" s="8">
        <f>+'Tabla de Amortizacion'!H6</f>
        <v>351241.70857796463</v>
      </c>
      <c r="L118" s="8">
        <f>+'Tabla de Amortizacion'!I6</f>
        <v>341828.21300873865</v>
      </c>
      <c r="M118" s="8">
        <f>SUM('Tabla de Amortizacion'!J6:U6)</f>
        <v>3333544.676907105</v>
      </c>
      <c r="N118" s="8">
        <f>SUM('Tabla de Amortizacion'!V6:AG6)</f>
        <v>1795049.079046641</v>
      </c>
      <c r="O118" s="8">
        <f>SUM('Tabla de Amortizacion'!AH6:AM6)</f>
        <v>262416.32038423937</v>
      </c>
      <c r="P118" s="8">
        <f>SUM('Tabla de Amortizacion'!AI6:AN6)</f>
        <v>188038.51783737107</v>
      </c>
      <c r="Q118" s="3"/>
    </row>
    <row r="119" spans="1:17" s="17" customFormat="1" ht="12.75">
      <c r="A119" s="2"/>
      <c r="B119" s="59"/>
      <c r="C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3"/>
    </row>
    <row r="120" spans="2:17" ht="12.75" hidden="1">
      <c r="B120" s="59"/>
      <c r="C120" s="73" t="s">
        <v>19</v>
      </c>
      <c r="D120" s="74"/>
      <c r="E120" s="70">
        <f aca="true" t="shared" si="20" ref="E120:P120">+E109-E116</f>
        <v>-2595376.0192870856</v>
      </c>
      <c r="F120" s="70">
        <f t="shared" si="20"/>
        <v>0</v>
      </c>
      <c r="G120" s="70">
        <f t="shared" si="20"/>
        <v>-452000</v>
      </c>
      <c r="H120" s="70">
        <f t="shared" si="20"/>
        <v>-442943.0598575677</v>
      </c>
      <c r="I120" s="70">
        <f t="shared" si="20"/>
        <v>-433798.2673957539</v>
      </c>
      <c r="J120" s="70">
        <f t="shared" si="20"/>
        <v>-431564.77044706047</v>
      </c>
      <c r="K120" s="70">
        <f t="shared" si="20"/>
        <v>-422241.70857796463</v>
      </c>
      <c r="L120" s="70">
        <f t="shared" si="20"/>
        <v>-412828.21300873865</v>
      </c>
      <c r="M120" s="70">
        <f t="shared" si="20"/>
        <v>-4257544.676907105</v>
      </c>
      <c r="N120" s="70">
        <f t="shared" si="20"/>
        <v>-2719049.079046641</v>
      </c>
      <c r="O120" s="70">
        <f t="shared" si="20"/>
        <v>-1186416.3203842393</v>
      </c>
      <c r="P120" s="70">
        <f t="shared" si="20"/>
        <v>-1112038.517837371</v>
      </c>
      <c r="Q120" s="3"/>
    </row>
    <row r="121" spans="2:17" ht="12.75" hidden="1">
      <c r="B121" s="59"/>
      <c r="C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3"/>
    </row>
    <row r="122" spans="1:17" s="17" customFormat="1" ht="12.75">
      <c r="A122" s="2"/>
      <c r="B122" s="59"/>
      <c r="C122" s="73" t="s">
        <v>20</v>
      </c>
      <c r="D122" s="77"/>
      <c r="E122" s="78">
        <f>+E107+E109-E116-E113</f>
        <v>25556388.984062515</v>
      </c>
      <c r="F122" s="78">
        <f aca="true" t="shared" si="21" ref="F122:P122">+F107+F109-F116</f>
        <v>81000000</v>
      </c>
      <c r="G122" s="78">
        <f t="shared" si="21"/>
        <v>-57142013.33333334</v>
      </c>
      <c r="H122" s="78">
        <f t="shared" si="21"/>
        <v>575043.6068090983</v>
      </c>
      <c r="I122" s="78">
        <f t="shared" si="21"/>
        <v>584188.3992709122</v>
      </c>
      <c r="J122" s="78">
        <f t="shared" si="21"/>
        <v>1755821.8962196056</v>
      </c>
      <c r="K122" s="78">
        <f t="shared" si="21"/>
        <v>1765144.9580887014</v>
      </c>
      <c r="L122" s="78">
        <f t="shared" si="21"/>
        <v>1774558.4536579275</v>
      </c>
      <c r="M122" s="78">
        <f>+M107+M109-M116-M113</f>
        <v>20917577.968125034</v>
      </c>
      <c r="N122" s="78">
        <f>+N107+N109-N116-N113</f>
        <v>20917577.968125038</v>
      </c>
      <c r="O122" s="78">
        <f>+O107+O109-O116-O113</f>
        <v>28847808.984062515</v>
      </c>
      <c r="P122" s="78">
        <f t="shared" si="21"/>
        <v>37590001.48216263</v>
      </c>
      <c r="Q122" s="3"/>
    </row>
    <row r="123" spans="1:17" s="17" customFormat="1" ht="12.75">
      <c r="A123" s="2"/>
      <c r="B123" s="59"/>
      <c r="C123" s="120" t="s">
        <v>281</v>
      </c>
      <c r="D123" s="77"/>
      <c r="E123" s="121"/>
      <c r="F123" s="121"/>
      <c r="G123" s="121">
        <f>+F122+G122</f>
        <v>23857986.666666657</v>
      </c>
      <c r="H123" s="121">
        <f>+G123+H122</f>
        <v>24433030.273475755</v>
      </c>
      <c r="I123" s="121">
        <f>+H123+I122</f>
        <v>25017218.672746666</v>
      </c>
      <c r="J123" s="121">
        <f>+I123+J122</f>
        <v>26773040.56896627</v>
      </c>
      <c r="K123" s="121">
        <f>+J123+K122</f>
        <v>28538185.52705497</v>
      </c>
      <c r="L123" s="121">
        <f>+K123+L122</f>
        <v>30312743.980712898</v>
      </c>
      <c r="M123" s="121">
        <f>+E122+M122</f>
        <v>46473966.95218755</v>
      </c>
      <c r="N123" s="121">
        <f>+M123+N122</f>
        <v>67391544.92031258</v>
      </c>
      <c r="O123" s="121">
        <f>+N123+O122</f>
        <v>96239353.9043751</v>
      </c>
      <c r="P123" s="121">
        <f>+O123+P122</f>
        <v>133829355.38653773</v>
      </c>
      <c r="Q123" s="3"/>
    </row>
    <row r="124" spans="2:17" ht="12.75">
      <c r="B124" s="79"/>
      <c r="C124" s="9"/>
      <c r="D124" s="80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14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s="17" customFormat="1" ht="12.75">
      <c r="A126" s="2"/>
      <c r="B126" s="18"/>
      <c r="C126" s="19"/>
      <c r="D126" s="19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</row>
    <row r="127" spans="1:16" s="17" customFormat="1" ht="12.75">
      <c r="A127" s="2"/>
      <c r="B127" s="18"/>
      <c r="C127" s="19"/>
      <c r="D127" s="19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</sheetData>
  <sheetProtection/>
  <mergeCells count="2">
    <mergeCell ref="C1:Q1"/>
    <mergeCell ref="C2:Q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300" verticalDpi="300" orientation="portrait" scale="87" r:id="rId1"/>
  <ignoredErrors>
    <ignoredError sqref="M1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4" sqref="B4"/>
    </sheetView>
  </sheetViews>
  <sheetFormatPr defaultColWidth="11.421875" defaultRowHeight="12.75" customHeight="1"/>
  <cols>
    <col min="1" max="1" width="38.421875" style="161" bestFit="1" customWidth="1"/>
    <col min="2" max="16384" width="11.421875" style="160" customWidth="1"/>
  </cols>
  <sheetData>
    <row r="1" spans="1:5" ht="18.75">
      <c r="A1" s="148" t="s">
        <v>320</v>
      </c>
      <c r="B1" s="148"/>
      <c r="C1" s="148"/>
      <c r="D1" s="148"/>
      <c r="E1" s="148"/>
    </row>
    <row r="2" spans="1:5" ht="12.75" customHeight="1">
      <c r="A2" s="149" t="s">
        <v>319</v>
      </c>
      <c r="B2" s="149"/>
      <c r="C2" s="149"/>
      <c r="D2" s="149"/>
      <c r="E2" s="149"/>
    </row>
    <row r="3" spans="1:5" ht="12.75" customHeight="1">
      <c r="A3" s="144"/>
      <c r="B3" s="143"/>
      <c r="C3" s="143"/>
      <c r="D3" s="143"/>
      <c r="E3" s="143"/>
    </row>
    <row r="4" spans="1:6" ht="15" customHeight="1">
      <c r="A4" s="164" t="s">
        <v>158</v>
      </c>
      <c r="B4" s="164" t="s">
        <v>314</v>
      </c>
      <c r="C4" s="164" t="s">
        <v>315</v>
      </c>
      <c r="D4" s="164" t="s">
        <v>316</v>
      </c>
      <c r="E4" s="164" t="s">
        <v>317</v>
      </c>
      <c r="F4" s="162"/>
    </row>
    <row r="5" spans="2:5" ht="12.75" customHeight="1">
      <c r="B5" s="162"/>
      <c r="C5" s="162"/>
      <c r="D5" s="162"/>
      <c r="E5" s="162"/>
    </row>
    <row r="6" spans="1:5" ht="12.75" customHeight="1">
      <c r="A6" s="161" t="s">
        <v>322</v>
      </c>
      <c r="B6" s="163">
        <f>'Información Flujo de Caja'!E7</f>
        <v>182250000</v>
      </c>
      <c r="C6" s="163">
        <f>'Información Flujo de Caja'!M7</f>
        <v>231000000</v>
      </c>
      <c r="D6" s="163">
        <f>'Información Flujo de Caja'!N7</f>
        <v>231000000</v>
      </c>
      <c r="E6" s="163">
        <f>'Información Flujo de Caja'!O7</f>
        <v>231000000</v>
      </c>
    </row>
    <row r="8" spans="1:5" ht="12.75" customHeight="1">
      <c r="A8" s="161" t="s">
        <v>308</v>
      </c>
      <c r="B8" s="163">
        <f>'Información Flujo de Caja'!E17</f>
        <v>54317880</v>
      </c>
      <c r="C8" s="163">
        <f>'Información Flujo de Caja'!M17</f>
        <v>108635760</v>
      </c>
      <c r="D8" s="163">
        <f>'Información Flujo de Caja'!N17</f>
        <v>108635760</v>
      </c>
      <c r="E8" s="163">
        <f>'Información Flujo de Caja'!O17</f>
        <v>108635760</v>
      </c>
    </row>
    <row r="10" spans="1:5" ht="12.75" customHeight="1">
      <c r="A10" s="161" t="s">
        <v>310</v>
      </c>
      <c r="B10" s="163">
        <f>'Información Flujo de Caja'!E49</f>
        <v>33840000</v>
      </c>
      <c r="C10" s="163">
        <f>'Información Flujo de Caja'!M49</f>
        <v>80662200</v>
      </c>
      <c r="D10" s="163">
        <f>'Información Flujo de Caja'!N49</f>
        <v>80662200</v>
      </c>
      <c r="E10" s="163">
        <f>'Información Flujo de Caja'!O49</f>
        <v>80662200</v>
      </c>
    </row>
    <row r="12" spans="1:5" ht="12.75" customHeight="1">
      <c r="A12" s="161" t="s">
        <v>309</v>
      </c>
      <c r="B12" s="163">
        <f>'Información Flujo de Caja'!E25</f>
        <v>4992500</v>
      </c>
      <c r="C12" s="163">
        <f>'Información Flujo de Caja'!M25</f>
        <v>4000000</v>
      </c>
      <c r="D12" s="163">
        <f>'Información Flujo de Caja'!N25</f>
        <v>4000000</v>
      </c>
      <c r="E12" s="163">
        <f>'Información Flujo de Caja'!O25</f>
        <v>4000000</v>
      </c>
    </row>
    <row r="14" spans="1:5" ht="12.75" customHeight="1">
      <c r="A14" s="161" t="s">
        <v>311</v>
      </c>
      <c r="B14" s="163">
        <f>'Información Flujo de Caja'!E91</f>
        <v>55208000</v>
      </c>
      <c r="C14" s="163">
        <f>'Información Flujo de Caja'!M91</f>
        <v>0</v>
      </c>
      <c r="D14" s="163">
        <f>'Información Flujo de Caja'!N91</f>
        <v>0</v>
      </c>
      <c r="E14" s="163">
        <f>'Información Flujo de Caja'!O91</f>
        <v>0</v>
      </c>
    </row>
    <row r="16" spans="1:5" ht="12.75" customHeight="1">
      <c r="A16" s="161" t="s">
        <v>327</v>
      </c>
      <c r="B16" s="163">
        <f>SUM(B8:B14)</f>
        <v>148358380</v>
      </c>
      <c r="C16" s="163">
        <f>SUM(C8:C14)</f>
        <v>193297960</v>
      </c>
      <c r="D16" s="163">
        <f>SUM(D8:D14)</f>
        <v>193297960</v>
      </c>
      <c r="E16" s="163">
        <f>SUM(E8:E14)</f>
        <v>193297960</v>
      </c>
    </row>
    <row r="18" spans="1:5" ht="12.75" customHeight="1">
      <c r="A18" s="161" t="s">
        <v>323</v>
      </c>
      <c r="B18" s="163">
        <f>B6-B16</f>
        <v>33891620</v>
      </c>
      <c r="C18" s="163">
        <f>C6-C16</f>
        <v>37702040</v>
      </c>
      <c r="D18" s="163">
        <f>D6-D16</f>
        <v>37702040</v>
      </c>
      <c r="E18" s="163">
        <f>E6-E16</f>
        <v>37702040</v>
      </c>
    </row>
    <row r="19" ht="12.75" customHeight="1">
      <c r="G19" s="163"/>
    </row>
    <row r="20" spans="1:5" ht="12.75" customHeight="1">
      <c r="A20" s="161" t="s">
        <v>312</v>
      </c>
      <c r="B20" s="163">
        <f>'Información Flujo de Caja'!E113</f>
        <v>5739854.996650396</v>
      </c>
      <c r="C20" s="163">
        <f>'Información Flujo de Caja'!M113</f>
        <v>12526917.354967859</v>
      </c>
      <c r="D20" s="163">
        <f>'Información Flujo de Caja'!N113</f>
        <v>14065412.952828318</v>
      </c>
      <c r="E20" s="163">
        <f>'Información Flujo de Caja'!O113</f>
        <v>7667814.695553242</v>
      </c>
    </row>
    <row r="22" spans="1:5" ht="12.75" customHeight="1">
      <c r="A22" s="161" t="s">
        <v>304</v>
      </c>
      <c r="B22" s="163">
        <f>'Información Flujo de Caja'!E116</f>
        <v>2595376.0192870856</v>
      </c>
      <c r="C22" s="163">
        <f>'Información Flujo de Caja'!M116</f>
        <v>4257544.676907105</v>
      </c>
      <c r="D22" s="163">
        <f>'Información Flujo de Caja'!N116</f>
        <v>2719049.079046641</v>
      </c>
      <c r="E22" s="163">
        <f>'Información Flujo de Caja'!O116</f>
        <v>1186416.3203842393</v>
      </c>
    </row>
    <row r="24" spans="1:5" ht="12.75" customHeight="1">
      <c r="A24" s="161" t="s">
        <v>324</v>
      </c>
      <c r="B24" s="163">
        <f>B18-B20-B22</f>
        <v>25556388.984062515</v>
      </c>
      <c r="C24" s="163">
        <f>C18-C20-C22</f>
        <v>20917577.968125038</v>
      </c>
      <c r="D24" s="163">
        <f>D18-D20-D22</f>
        <v>20917577.96812504</v>
      </c>
      <c r="E24" s="163">
        <f>E18-E20-E22</f>
        <v>28847808.98406252</v>
      </c>
    </row>
    <row r="26" spans="1:5" ht="12.75" customHeight="1">
      <c r="A26" s="161" t="s">
        <v>313</v>
      </c>
      <c r="B26" s="163">
        <f>B24</f>
        <v>25556388.984062515</v>
      </c>
      <c r="C26" s="163">
        <f>B26+C24</f>
        <v>46473966.95218755</v>
      </c>
      <c r="D26" s="163">
        <f>C26+D24</f>
        <v>67391544.9203126</v>
      </c>
      <c r="E26" s="163">
        <f>D26+E24</f>
        <v>96239353.90437512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H60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2" sqref="E22"/>
    </sheetView>
  </sheetViews>
  <sheetFormatPr defaultColWidth="11.421875" defaultRowHeight="12.75"/>
  <cols>
    <col min="1" max="1" width="6.421875" style="47" customWidth="1"/>
    <col min="2" max="2" width="32.8515625" style="47" bestFit="1" customWidth="1"/>
    <col min="3" max="3" width="4.8515625" style="52" customWidth="1"/>
    <col min="4" max="4" width="11.7109375" style="47" bestFit="1" customWidth="1"/>
    <col min="5" max="5" width="12.7109375" style="52" bestFit="1" customWidth="1"/>
    <col min="6" max="8" width="12.7109375" style="47" bestFit="1" customWidth="1"/>
    <col min="9" max="16384" width="11.421875" style="47" customWidth="1"/>
  </cols>
  <sheetData>
    <row r="1" spans="2:5" s="50" customFormat="1" ht="15">
      <c r="B1" s="150" t="s">
        <v>101</v>
      </c>
      <c r="C1" s="150"/>
      <c r="D1" s="150"/>
      <c r="E1" s="150"/>
    </row>
    <row r="2" spans="2:5" s="50" customFormat="1" ht="15">
      <c r="B2" s="150" t="s">
        <v>194</v>
      </c>
      <c r="C2" s="150"/>
      <c r="D2" s="150"/>
      <c r="E2" s="150"/>
    </row>
    <row r="3" spans="2:5" ht="12.75">
      <c r="B3" s="46"/>
      <c r="C3" s="51"/>
      <c r="D3" s="46"/>
      <c r="E3" s="51"/>
    </row>
    <row r="4" spans="2:8" s="110" customFormat="1" ht="12.75">
      <c r="B4" s="110" t="s">
        <v>42</v>
      </c>
      <c r="D4" s="110">
        <v>41061</v>
      </c>
      <c r="E4" s="110">
        <v>41244</v>
      </c>
      <c r="F4" s="110">
        <v>41609</v>
      </c>
      <c r="G4" s="110">
        <v>41974</v>
      </c>
      <c r="H4" s="110">
        <v>42339</v>
      </c>
    </row>
    <row r="5" spans="2:4" ht="12.75">
      <c r="B5" s="51"/>
      <c r="C5" s="51"/>
      <c r="D5" s="46"/>
    </row>
    <row r="6" spans="2:8" ht="12.75">
      <c r="B6" s="48" t="s">
        <v>43</v>
      </c>
      <c r="C6" s="51" t="s">
        <v>1</v>
      </c>
      <c r="D6" s="46"/>
      <c r="E6" s="46"/>
      <c r="F6" s="46"/>
      <c r="G6" s="46"/>
      <c r="H6" s="46"/>
    </row>
    <row r="7" spans="2:8" ht="12.75">
      <c r="B7" s="48"/>
      <c r="C7" s="51"/>
      <c r="D7" s="46"/>
      <c r="E7" s="46"/>
      <c r="F7" s="46"/>
      <c r="G7" s="46"/>
      <c r="H7" s="46"/>
    </row>
    <row r="8" spans="2:8" ht="12.75">
      <c r="B8" s="46"/>
      <c r="C8" s="51"/>
      <c r="D8" s="46"/>
      <c r="E8" s="46"/>
      <c r="F8" s="46"/>
      <c r="G8" s="46"/>
      <c r="H8" s="46"/>
    </row>
    <row r="9" spans="2:8" ht="12.75">
      <c r="B9" s="46" t="s">
        <v>45</v>
      </c>
      <c r="C9" s="51">
        <v>1</v>
      </c>
      <c r="D9" s="48">
        <f>SUM(D10:D11)</f>
        <v>81000000</v>
      </c>
      <c r="E9" s="48">
        <f>SUM(E10:E11)</f>
        <v>13179367.453657927</v>
      </c>
      <c r="F9" s="48">
        <f>SUM(F10:F11)</f>
        <v>7567110.968125034</v>
      </c>
      <c r="G9" s="48">
        <f>SUM(G10:G11)</f>
        <v>13838112.968125038</v>
      </c>
      <c r="H9" s="48">
        <f>SUM(H10:H11)</f>
        <v>41789705.984062515</v>
      </c>
    </row>
    <row r="10" spans="2:8" ht="12.75">
      <c r="B10" s="92" t="s">
        <v>195</v>
      </c>
      <c r="C10" s="51"/>
      <c r="D10" s="46">
        <f>+'Notas B G'!F11</f>
        <v>81000000</v>
      </c>
      <c r="E10" s="46">
        <f>+'Notas B G'!G11</f>
        <v>13179367.453657927</v>
      </c>
      <c r="F10" s="46">
        <f>+'Notas B G'!H11</f>
        <v>7567110.968125034</v>
      </c>
      <c r="G10" s="46">
        <f>+'Notas B G'!I11</f>
        <v>13838112.968125038</v>
      </c>
      <c r="H10" s="46">
        <f>+'Notas B G'!J11</f>
        <v>41789705.984062515</v>
      </c>
    </row>
    <row r="11" spans="2:8" ht="12.75">
      <c r="B11" s="46" t="s">
        <v>47</v>
      </c>
      <c r="C11" s="51"/>
      <c r="D11" s="46">
        <f>+'Notas B G'!F12</f>
        <v>0</v>
      </c>
      <c r="E11" s="46">
        <f>+'Notas B G'!G12</f>
        <v>0</v>
      </c>
      <c r="F11" s="46">
        <f>+'Notas B G'!H12</f>
        <v>0</v>
      </c>
      <c r="G11" s="46">
        <f>+'Notas B G'!I12</f>
        <v>0</v>
      </c>
      <c r="H11" s="46">
        <f>+'Notas B G'!J12</f>
        <v>0</v>
      </c>
    </row>
    <row r="12" spans="2:8" ht="12.75">
      <c r="B12" s="46"/>
      <c r="C12" s="51"/>
      <c r="D12" s="46"/>
      <c r="E12" s="46"/>
      <c r="F12" s="46"/>
      <c r="G12" s="46"/>
      <c r="H12" s="46"/>
    </row>
    <row r="13" spans="2:8" ht="12.75">
      <c r="B13" s="49" t="s">
        <v>37</v>
      </c>
      <c r="C13" s="51">
        <f>+C9+1</f>
        <v>2</v>
      </c>
      <c r="D13" s="48">
        <f>SUM(D14:D16)</f>
        <v>0</v>
      </c>
      <c r="E13" s="48">
        <f>SUM(E14:E16)</f>
        <v>0</v>
      </c>
      <c r="F13" s="48">
        <f>SUM(F14:F16)</f>
        <v>0</v>
      </c>
      <c r="G13" s="48">
        <f>SUM(G14:G16)</f>
        <v>0</v>
      </c>
      <c r="H13" s="48">
        <f>SUM(H14:H16)</f>
        <v>0</v>
      </c>
    </row>
    <row r="14" spans="2:8" ht="12.75">
      <c r="B14" s="49" t="s">
        <v>48</v>
      </c>
      <c r="C14" s="51"/>
      <c r="D14" s="46">
        <f>+'Notas B G'!F15+'Notas B G'!F16</f>
        <v>0</v>
      </c>
      <c r="E14" s="46">
        <f>+'Notas B G'!G15+'Notas B G'!G16</f>
        <v>0</v>
      </c>
      <c r="F14" s="46">
        <f>+'Notas B G'!H15+'Notas B G'!H16</f>
        <v>0</v>
      </c>
      <c r="G14" s="46">
        <f>+'Notas B G'!I15+'Notas B G'!I16</f>
        <v>0</v>
      </c>
      <c r="H14" s="46">
        <f>+'Notas B G'!J15+'Notas B G'!J16</f>
        <v>0</v>
      </c>
    </row>
    <row r="15" spans="2:8" ht="12.75">
      <c r="B15" s="49" t="s">
        <v>75</v>
      </c>
      <c r="C15" s="51"/>
      <c r="D15" s="46">
        <f>+'Notas B G'!F17</f>
        <v>0</v>
      </c>
      <c r="E15" s="46">
        <f>+'Notas B G'!G17</f>
        <v>0</v>
      </c>
      <c r="F15" s="46">
        <f>+'Notas B G'!H17</f>
        <v>0</v>
      </c>
      <c r="G15" s="46">
        <f>+'Notas B G'!I17</f>
        <v>0</v>
      </c>
      <c r="H15" s="46">
        <f>+'Notas B G'!J17</f>
        <v>0</v>
      </c>
    </row>
    <row r="16" spans="2:8" ht="12.75">
      <c r="B16" s="49" t="s">
        <v>60</v>
      </c>
      <c r="C16" s="51"/>
      <c r="D16" s="46">
        <f>+'Notas B G'!F18</f>
        <v>0</v>
      </c>
      <c r="E16" s="46">
        <f>+'Notas B G'!G18</f>
        <v>0</v>
      </c>
      <c r="F16" s="46">
        <f>+'Notas B G'!H18</f>
        <v>0</v>
      </c>
      <c r="G16" s="46">
        <f>+'Notas B G'!I18</f>
        <v>0</v>
      </c>
      <c r="H16" s="46">
        <f>+'Notas B G'!J18</f>
        <v>0</v>
      </c>
    </row>
    <row r="17" spans="2:8" ht="12.75">
      <c r="B17" s="49"/>
      <c r="C17" s="51"/>
      <c r="D17" s="46"/>
      <c r="E17" s="46"/>
      <c r="F17" s="46"/>
      <c r="G17" s="46"/>
      <c r="H17" s="46"/>
    </row>
    <row r="18" spans="2:8" ht="12.75">
      <c r="B18" s="46" t="s">
        <v>49</v>
      </c>
      <c r="C18" s="51">
        <f>+C13+1</f>
        <v>3</v>
      </c>
      <c r="D18" s="48">
        <f>+D19</f>
        <v>0</v>
      </c>
      <c r="E18" s="48">
        <f>+E19</f>
        <v>0</v>
      </c>
      <c r="F18" s="48">
        <f>+F19</f>
        <v>0</v>
      </c>
      <c r="G18" s="48">
        <f>+G19</f>
        <v>0</v>
      </c>
      <c r="H18" s="48">
        <f>+H19</f>
        <v>0</v>
      </c>
    </row>
    <row r="19" spans="2:8" ht="12.75">
      <c r="B19" s="92" t="s">
        <v>196</v>
      </c>
      <c r="C19" s="51"/>
      <c r="D19" s="46">
        <f>+'Notas B G'!F20</f>
        <v>0</v>
      </c>
      <c r="E19" s="46">
        <f>+'Notas B G'!G20</f>
        <v>0</v>
      </c>
      <c r="F19" s="46">
        <f>+'Notas B G'!H20</f>
        <v>0</v>
      </c>
      <c r="G19" s="46">
        <f>+'Notas B G'!I20</f>
        <v>0</v>
      </c>
      <c r="H19" s="46">
        <f>+'Notas B G'!J20</f>
        <v>0</v>
      </c>
    </row>
    <row r="20" spans="2:8" ht="12.75">
      <c r="B20" s="46"/>
      <c r="C20" s="51"/>
      <c r="D20" s="46"/>
      <c r="E20" s="46"/>
      <c r="F20" s="46"/>
      <c r="G20" s="46"/>
      <c r="H20" s="46"/>
    </row>
    <row r="21" spans="2:8" ht="12.75">
      <c r="B21" s="46" t="s">
        <v>51</v>
      </c>
      <c r="C21" s="51">
        <f>+C18+1</f>
        <v>4</v>
      </c>
      <c r="D21" s="48">
        <f>SUM(D22:D25)</f>
        <v>4000000</v>
      </c>
      <c r="E21" s="48">
        <f>SUM(E22:E25)</f>
        <v>47683333.333333336</v>
      </c>
      <c r="F21" s="48">
        <f>SUM(F22:F25)</f>
        <v>37450000</v>
      </c>
      <c r="G21" s="48">
        <f>SUM(G22:G25)</f>
        <v>27216666.66666667</v>
      </c>
      <c r="H21" s="48">
        <f>SUM(H22:H25)</f>
        <v>17566666.66666667</v>
      </c>
    </row>
    <row r="22" spans="2:8" ht="12.75">
      <c r="B22" s="92" t="s">
        <v>197</v>
      </c>
      <c r="C22" s="51"/>
      <c r="D22" s="48">
        <f>+'Notas B G'!F24</f>
        <v>0</v>
      </c>
      <c r="E22" s="48">
        <f>+'Notas B G'!G24</f>
        <v>49300000</v>
      </c>
      <c r="F22" s="48">
        <f>+'Notas B G'!H24</f>
        <v>49300000</v>
      </c>
      <c r="G22" s="48">
        <f>+'Notas B G'!I24</f>
        <v>49300000</v>
      </c>
      <c r="H22" s="48">
        <f>+'Notas B G'!J24</f>
        <v>49300000</v>
      </c>
    </row>
    <row r="23" spans="2:8" ht="12.75">
      <c r="B23" s="46" t="s">
        <v>6</v>
      </c>
      <c r="C23" s="51"/>
      <c r="D23" s="46">
        <f>+'Notas B G'!F30</f>
        <v>4000000</v>
      </c>
      <c r="E23" s="46">
        <f>+'Notas B G'!G30</f>
        <v>4000000</v>
      </c>
      <c r="F23" s="46">
        <f>+'Notas B G'!H30</f>
        <v>4000000</v>
      </c>
      <c r="G23" s="46">
        <f>+'Notas B G'!I30</f>
        <v>4000000</v>
      </c>
      <c r="H23" s="46">
        <f>+'Notas B G'!J30</f>
        <v>4000000</v>
      </c>
    </row>
    <row r="24" spans="2:8" ht="12.75">
      <c r="B24" s="46" t="s">
        <v>36</v>
      </c>
      <c r="C24" s="51"/>
      <c r="D24" s="46">
        <f>+'Notas B G'!F27</f>
        <v>0</v>
      </c>
      <c r="E24" s="46">
        <f>+'Notas B G'!G27</f>
        <v>3500000</v>
      </c>
      <c r="F24" s="46">
        <f>+'Notas B G'!H27</f>
        <v>3500000</v>
      </c>
      <c r="G24" s="46">
        <f>+'Notas B G'!I27</f>
        <v>3500000</v>
      </c>
      <c r="H24" s="46">
        <f>+'Notas B G'!J27</f>
        <v>3500000</v>
      </c>
    </row>
    <row r="25" spans="2:8" ht="12.75">
      <c r="B25" s="49" t="s">
        <v>78</v>
      </c>
      <c r="C25" s="51"/>
      <c r="D25" s="46">
        <f>+'Notas B G'!F25+'Notas B G'!F28+'Notas B G'!F31</f>
        <v>0</v>
      </c>
      <c r="E25" s="46">
        <f>-(+'Notas B G'!G25+'Notas B G'!G28+'Notas B G'!G31)</f>
        <v>-9116666.666666666</v>
      </c>
      <c r="F25" s="46">
        <f>-(+'Notas B G'!H25+'Notas B G'!H28+'Notas B G'!H31)</f>
        <v>-19350000</v>
      </c>
      <c r="G25" s="46">
        <f>-(+'Notas B G'!I25+'Notas B G'!I28+'Notas B G'!I31)</f>
        <v>-29583333.33333333</v>
      </c>
      <c r="H25" s="46">
        <f>-(+'Notas B G'!J25+'Notas B G'!J28+'Notas B G'!J31)</f>
        <v>-39233333.33333333</v>
      </c>
    </row>
    <row r="26" spans="2:8" ht="12.75">
      <c r="B26" s="49"/>
      <c r="C26" s="51"/>
      <c r="D26" s="46"/>
      <c r="E26" s="46"/>
      <c r="F26" s="46"/>
      <c r="G26" s="46"/>
      <c r="H26" s="46"/>
    </row>
    <row r="27" spans="2:8" ht="12.75">
      <c r="B27" s="92" t="s">
        <v>38</v>
      </c>
      <c r="C27" s="51">
        <f>+C21+1</f>
        <v>5</v>
      </c>
      <c r="D27" s="48">
        <f>+D28</f>
        <v>0</v>
      </c>
      <c r="E27" s="48">
        <f>+E28</f>
        <v>0</v>
      </c>
      <c r="F27" s="48">
        <f>+F28</f>
        <v>0</v>
      </c>
      <c r="G27" s="48">
        <f>+G28</f>
        <v>0</v>
      </c>
      <c r="H27" s="48">
        <f>+H28</f>
        <v>0</v>
      </c>
    </row>
    <row r="28" spans="2:8" ht="12.75">
      <c r="B28" s="92" t="s">
        <v>202</v>
      </c>
      <c r="C28" s="51"/>
      <c r="D28" s="46">
        <f>+'Notas B G'!F35</f>
        <v>0</v>
      </c>
      <c r="E28" s="46">
        <f>+'Notas B G'!G35</f>
        <v>0</v>
      </c>
      <c r="F28" s="46">
        <f>+'Notas B G'!H35</f>
        <v>0</v>
      </c>
      <c r="G28" s="46">
        <f>+'Notas B G'!I35</f>
        <v>0</v>
      </c>
      <c r="H28" s="46">
        <f>+'Notas B G'!J35</f>
        <v>0</v>
      </c>
    </row>
    <row r="29" spans="2:8" ht="12.75">
      <c r="B29" s="46"/>
      <c r="C29" s="51"/>
      <c r="D29" s="46"/>
      <c r="E29" s="46"/>
      <c r="F29" s="46"/>
      <c r="G29" s="46"/>
      <c r="H29" s="46"/>
    </row>
    <row r="30" spans="2:8" ht="15">
      <c r="B30" s="85" t="s">
        <v>54</v>
      </c>
      <c r="C30" s="45"/>
      <c r="D30" s="48">
        <f>+D9+D13+D18+D21+D27</f>
        <v>85000000</v>
      </c>
      <c r="E30" s="48">
        <f>+E9+E13+E18+E21+E27</f>
        <v>60862700.78699126</v>
      </c>
      <c r="F30" s="48">
        <f>+F9+F13+F18+F21+F27</f>
        <v>45017110.96812503</v>
      </c>
      <c r="G30" s="48">
        <f>+G9+G13+G18+G21+G27</f>
        <v>41054779.63479171</v>
      </c>
      <c r="H30" s="48">
        <f>+H9+H13+H18+H21+H27</f>
        <v>59356372.65072919</v>
      </c>
    </row>
    <row r="31" spans="4:8" ht="12.75">
      <c r="D31" s="46"/>
      <c r="E31" s="46"/>
      <c r="F31" s="46"/>
      <c r="G31" s="46"/>
      <c r="H31" s="46"/>
    </row>
    <row r="32" spans="2:5" ht="15">
      <c r="B32" s="150" t="s">
        <v>2</v>
      </c>
      <c r="C32" s="150"/>
      <c r="E32" s="47"/>
    </row>
    <row r="33" spans="2:5" ht="12.75">
      <c r="B33" s="46"/>
      <c r="C33" s="51"/>
      <c r="E33" s="47"/>
    </row>
    <row r="34" spans="2:5" ht="12.75">
      <c r="B34" s="48" t="s">
        <v>43</v>
      </c>
      <c r="C34" s="53" t="s">
        <v>1</v>
      </c>
      <c r="E34" s="47"/>
    </row>
    <row r="35" spans="2:5" ht="12.75">
      <c r="B35" s="48"/>
      <c r="C35" s="53"/>
      <c r="E35" s="47"/>
    </row>
    <row r="36" spans="2:5" ht="12.75">
      <c r="B36" s="48"/>
      <c r="C36" s="53"/>
      <c r="E36" s="47"/>
    </row>
    <row r="37" spans="2:8" ht="12.75">
      <c r="B37" s="46" t="s">
        <v>44</v>
      </c>
      <c r="C37" s="51">
        <f>+C27+1</f>
        <v>6</v>
      </c>
      <c r="D37" s="48">
        <f>SUM(D38:D40)</f>
        <v>40000000</v>
      </c>
      <c r="E37" s="48">
        <f>SUM(E38:E40)</f>
        <v>34260145.0033496</v>
      </c>
      <c r="F37" s="48">
        <f>SUM(F38:F40)</f>
        <v>21733227.648381747</v>
      </c>
      <c r="G37" s="48">
        <f>SUM(G38:G40)</f>
        <v>7667814.695553429</v>
      </c>
      <c r="H37" s="48">
        <f>SUM(H38:H40)</f>
        <v>0</v>
      </c>
    </row>
    <row r="38" spans="2:8" ht="12.75">
      <c r="B38" s="111" t="s">
        <v>204</v>
      </c>
      <c r="C38" s="51"/>
      <c r="D38" s="47">
        <f>+'Notas B G'!F40</f>
        <v>40000000</v>
      </c>
      <c r="E38" s="47">
        <f>+'Notas B G'!G40</f>
        <v>34260145.0033496</v>
      </c>
      <c r="F38" s="47">
        <f>+'Notas B G'!H40</f>
        <v>21733227.648381747</v>
      </c>
      <c r="G38" s="47">
        <f>+'Notas B G'!I40</f>
        <v>7667814.695553429</v>
      </c>
      <c r="H38" s="47">
        <f>+'Notas B G'!J40</f>
        <v>0</v>
      </c>
    </row>
    <row r="39" spans="2:8" ht="12.75">
      <c r="B39" s="46" t="s">
        <v>46</v>
      </c>
      <c r="C39" s="51"/>
      <c r="D39" s="46">
        <f>+'Notas B G'!F41</f>
        <v>0</v>
      </c>
      <c r="E39" s="46">
        <f>+'Notas B G'!G41</f>
        <v>0</v>
      </c>
      <c r="F39" s="46">
        <f>+'Notas B G'!H41</f>
        <v>0</v>
      </c>
      <c r="G39" s="46">
        <f>+'Notas B G'!I41</f>
        <v>0</v>
      </c>
      <c r="H39" s="46">
        <f>+'Notas B G'!J41</f>
        <v>0</v>
      </c>
    </row>
    <row r="40" spans="2:8" ht="12.75">
      <c r="B40" s="49" t="s">
        <v>61</v>
      </c>
      <c r="C40" s="51"/>
      <c r="D40" s="46">
        <f>+'Notas B G'!F42</f>
        <v>0</v>
      </c>
      <c r="E40" s="46">
        <f>+'Notas B G'!G42</f>
        <v>0</v>
      </c>
      <c r="F40" s="46">
        <f>+'Notas B G'!H42</f>
        <v>0</v>
      </c>
      <c r="G40" s="46">
        <f>+'Notas B G'!I42</f>
        <v>0</v>
      </c>
      <c r="H40" s="46">
        <f>+'Notas B G'!J42</f>
        <v>0</v>
      </c>
    </row>
    <row r="41" spans="2:5" ht="12.75">
      <c r="B41" s="49"/>
      <c r="C41" s="51"/>
      <c r="E41" s="47"/>
    </row>
    <row r="42" spans="2:8" ht="12.75">
      <c r="B42" s="49" t="s">
        <v>76</v>
      </c>
      <c r="C42" s="51">
        <f>+C37+1</f>
        <v>7</v>
      </c>
      <c r="D42" s="48">
        <f>SUM(D43:D43)</f>
        <v>0</v>
      </c>
      <c r="E42" s="48">
        <f>SUM(E43:E43)</f>
        <v>0</v>
      </c>
      <c r="F42" s="48">
        <f>SUM(F43:F43)</f>
        <v>0</v>
      </c>
      <c r="G42" s="48">
        <f>SUM(G43:G43)</f>
        <v>0</v>
      </c>
      <c r="H42" s="48">
        <f>SUM(H43:H43)</f>
        <v>0</v>
      </c>
    </row>
    <row r="43" spans="2:8" ht="12.75">
      <c r="B43" s="46" t="s">
        <v>77</v>
      </c>
      <c r="C43" s="51"/>
      <c r="D43" s="46">
        <f>+'Notas B G'!F45</f>
        <v>0</v>
      </c>
      <c r="E43" s="46">
        <f>+'Notas B G'!G45</f>
        <v>0</v>
      </c>
      <c r="F43" s="46">
        <f>+'Notas B G'!H45</f>
        <v>0</v>
      </c>
      <c r="G43" s="46">
        <f>+'Notas B G'!I45</f>
        <v>0</v>
      </c>
      <c r="H43" s="46">
        <f>+'Notas B G'!J45</f>
        <v>0</v>
      </c>
    </row>
    <row r="44" spans="2:5" ht="12.75">
      <c r="B44" s="46"/>
      <c r="C44" s="51"/>
      <c r="E44" s="47"/>
    </row>
    <row r="45" spans="2:8" ht="12.75">
      <c r="B45" s="48" t="s">
        <v>39</v>
      </c>
      <c r="C45" s="45"/>
      <c r="D45" s="48">
        <f>+D37+D42</f>
        <v>40000000</v>
      </c>
      <c r="E45" s="48">
        <f>+E37+E42</f>
        <v>34260145.0033496</v>
      </c>
      <c r="F45" s="48">
        <f>+F37+F42</f>
        <v>21733227.648381747</v>
      </c>
      <c r="G45" s="48">
        <f>+G37+G42</f>
        <v>7667814.695553429</v>
      </c>
      <c r="H45" s="48">
        <f>+H37+H42</f>
        <v>0</v>
      </c>
    </row>
    <row r="46" ht="12.75">
      <c r="E46" s="47"/>
    </row>
    <row r="47" spans="2:5" ht="15">
      <c r="B47" s="150" t="s">
        <v>34</v>
      </c>
      <c r="C47" s="150"/>
      <c r="E47" s="47"/>
    </row>
    <row r="48" ht="12.75">
      <c r="E48" s="47"/>
    </row>
    <row r="49" spans="2:5" ht="12.75">
      <c r="B49" s="46" t="s">
        <v>50</v>
      </c>
      <c r="C49" s="51"/>
      <c r="E49" s="47"/>
    </row>
    <row r="50" spans="2:8" ht="12.75">
      <c r="B50" s="49" t="s">
        <v>86</v>
      </c>
      <c r="C50" s="51"/>
      <c r="D50" s="46">
        <v>45000000</v>
      </c>
      <c r="E50" s="46">
        <v>45000000</v>
      </c>
      <c r="F50" s="46">
        <v>45000000</v>
      </c>
      <c r="G50" s="46">
        <v>45000000</v>
      </c>
      <c r="H50" s="46">
        <v>45000000</v>
      </c>
    </row>
    <row r="51" spans="2:8" ht="12.75">
      <c r="B51" s="46"/>
      <c r="C51" s="51"/>
      <c r="D51" s="46"/>
      <c r="E51" s="46"/>
      <c r="F51" s="46"/>
      <c r="G51" s="46"/>
      <c r="H51" s="46"/>
    </row>
    <row r="52" spans="2:8" ht="12.75">
      <c r="B52" s="46" t="s">
        <v>52</v>
      </c>
      <c r="C52" s="51"/>
      <c r="D52" s="46"/>
      <c r="E52" s="46"/>
      <c r="F52" s="46"/>
      <c r="G52" s="46"/>
      <c r="H52" s="46"/>
    </row>
    <row r="53" spans="2:8" ht="12.75">
      <c r="B53" s="46" t="s">
        <v>53</v>
      </c>
      <c r="C53" s="51"/>
      <c r="D53" s="46">
        <f>+'Información Est. de Resultados'!F70</f>
        <v>0</v>
      </c>
      <c r="E53" s="46">
        <f>+'Información Est. de Resultados'!E70</f>
        <v>3791577.3140462427</v>
      </c>
      <c r="F53" s="46">
        <f>+'Información Est. de Resultados'!M70</f>
        <v>25069495.323092893</v>
      </c>
      <c r="G53" s="46">
        <f>+'Información Est. de Resultados'!N70</f>
        <v>23724657.587620016</v>
      </c>
      <c r="H53" s="46">
        <f>+'Información Est. de Resultados'!O70</f>
        <v>25257290.34628242</v>
      </c>
    </row>
    <row r="54" spans="2:8" ht="12.75">
      <c r="B54" s="47" t="s">
        <v>282</v>
      </c>
      <c r="E54" s="47"/>
      <c r="F54" s="47">
        <f>+E53</f>
        <v>3791577.3140462427</v>
      </c>
      <c r="G54" s="47">
        <f>+F54+F53</f>
        <v>28861072.637139134</v>
      </c>
      <c r="H54" s="47">
        <f>+G54+G53</f>
        <v>52585730.22475915</v>
      </c>
    </row>
    <row r="55" ht="12.75">
      <c r="E55" s="47"/>
    </row>
    <row r="56" spans="2:8" ht="12.75">
      <c r="B56" s="48" t="s">
        <v>40</v>
      </c>
      <c r="C56" s="45"/>
      <c r="D56" s="48">
        <f>+D53+D50+D54</f>
        <v>45000000</v>
      </c>
      <c r="E56" s="48">
        <f>+E53+E50+E54</f>
        <v>48791577.31404624</v>
      </c>
      <c r="F56" s="48">
        <f>+F53+F50+F54</f>
        <v>73861072.63713914</v>
      </c>
      <c r="G56" s="48">
        <f>+G53+G50+G54</f>
        <v>97585730.22475916</v>
      </c>
      <c r="H56" s="48">
        <f>+H53+H50+H54</f>
        <v>122843020.57104157</v>
      </c>
    </row>
    <row r="57" spans="2:5" ht="12.75">
      <c r="B57" s="46"/>
      <c r="C57" s="51"/>
      <c r="E57" s="47"/>
    </row>
    <row r="58" spans="2:8" ht="15">
      <c r="B58" s="85" t="s">
        <v>41</v>
      </c>
      <c r="C58" s="45"/>
      <c r="D58" s="48">
        <f>+D45+D56</f>
        <v>85000000</v>
      </c>
      <c r="E58" s="48">
        <f>+E45+E56</f>
        <v>83051722.31739584</v>
      </c>
      <c r="F58" s="48">
        <f>+F45+F56</f>
        <v>95594300.28552088</v>
      </c>
      <c r="G58" s="48">
        <f>+G45+G56</f>
        <v>105253544.92031258</v>
      </c>
      <c r="H58" s="48">
        <f>+H45+H56</f>
        <v>122843020.57104157</v>
      </c>
    </row>
    <row r="59" ht="12.75" hidden="1">
      <c r="E59" s="47"/>
    </row>
    <row r="60" spans="4:8" ht="12.75" hidden="1">
      <c r="D60" s="47">
        <f>+D58-D30</f>
        <v>0</v>
      </c>
      <c r="E60" s="47">
        <f>+E58-E30</f>
        <v>22189021.530404575</v>
      </c>
      <c r="F60" s="47">
        <f>+F58-F30</f>
        <v>50577189.31739585</v>
      </c>
      <c r="G60" s="47">
        <f>+G58-G30</f>
        <v>64198765.285520874</v>
      </c>
      <c r="H60" s="47">
        <f>+H58-H30</f>
        <v>63486647.92031238</v>
      </c>
    </row>
    <row r="61" ht="12.75" hidden="1"/>
  </sheetData>
  <sheetProtection/>
  <mergeCells count="4">
    <mergeCell ref="B47:C47"/>
    <mergeCell ref="B1:E1"/>
    <mergeCell ref="B2:E2"/>
    <mergeCell ref="B32:C32"/>
  </mergeCells>
  <printOptions/>
  <pageMargins left="0.71" right="0.3937007874015748" top="0.5905511811023623" bottom="0.5905511811023623" header="0.31496062992125984" footer="0.31496062992125984"/>
  <pageSetup horizontalDpi="300" verticalDpi="300" orientation="landscape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Q53"/>
  <sheetViews>
    <sheetView zoomScalePageLayoutView="0" workbookViewId="0" topLeftCell="A7">
      <pane xSplit="5" ySplit="1" topLeftCell="H8" activePane="bottomRight" state="frozen"/>
      <selection pane="topLeft" activeCell="A7" sqref="A7"/>
      <selection pane="topRight" activeCell="F7" sqref="F7"/>
      <selection pane="bottomLeft" activeCell="A8" sqref="A8"/>
      <selection pane="bottomRight" activeCell="F59" sqref="F59"/>
    </sheetView>
  </sheetViews>
  <sheetFormatPr defaultColWidth="10.28125" defaultRowHeight="12.75"/>
  <cols>
    <col min="1" max="1" width="1.7109375" style="17" customWidth="1"/>
    <col min="2" max="2" width="2.28125" style="17" customWidth="1"/>
    <col min="3" max="3" width="10.00390625" style="2" customWidth="1"/>
    <col min="4" max="4" width="4.00390625" style="18" bestFit="1" customWidth="1"/>
    <col min="5" max="5" width="39.140625" style="17" customWidth="1"/>
    <col min="6" max="10" width="15.7109375" style="17" bestFit="1" customWidth="1"/>
    <col min="11" max="11" width="15.7109375" style="17" customWidth="1"/>
    <col min="12" max="12" width="2.140625" style="17" customWidth="1"/>
    <col min="13" max="16" width="12.00390625" style="17" hidden="1" customWidth="1"/>
    <col min="17" max="17" width="12.7109375" style="17" hidden="1" customWidth="1"/>
    <col min="18" max="18" width="3.8515625" style="17" customWidth="1"/>
    <col min="19" max="19" width="10.00390625" style="17" customWidth="1"/>
    <col min="20" max="20" width="13.140625" style="17" hidden="1" customWidth="1"/>
    <col min="21" max="16384" width="10.28125" style="17" customWidth="1"/>
  </cols>
  <sheetData>
    <row r="1" spans="3:17" ht="12.75">
      <c r="C1" s="151"/>
      <c r="D1" s="151"/>
      <c r="E1" s="151"/>
      <c r="F1" s="15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3:17" ht="15">
      <c r="C2" s="145" t="s">
        <v>101</v>
      </c>
      <c r="D2" s="146"/>
      <c r="E2" s="146"/>
      <c r="F2" s="146"/>
      <c r="G2" s="86"/>
      <c r="H2" s="86"/>
      <c r="I2" s="86"/>
      <c r="J2" s="86"/>
      <c r="K2" s="86"/>
      <c r="L2" s="19"/>
      <c r="M2" s="19"/>
      <c r="N2" s="19"/>
      <c r="O2" s="19"/>
      <c r="P2" s="19"/>
      <c r="Q2" s="19"/>
    </row>
    <row r="3" spans="3:17" ht="15.75">
      <c r="C3" s="152" t="s">
        <v>87</v>
      </c>
      <c r="D3" s="152"/>
      <c r="E3" s="152"/>
      <c r="F3" s="152"/>
      <c r="G3" s="87"/>
      <c r="H3" s="87"/>
      <c r="I3" s="87"/>
      <c r="J3" s="87"/>
      <c r="K3" s="87"/>
      <c r="L3" s="19"/>
      <c r="M3" s="19"/>
      <c r="N3" s="19"/>
      <c r="O3" s="19"/>
      <c r="P3" s="19"/>
      <c r="Q3" s="19"/>
    </row>
    <row r="4" spans="3:17" ht="15">
      <c r="C4" s="146"/>
      <c r="D4" s="146"/>
      <c r="E4" s="146"/>
      <c r="F4" s="146"/>
      <c r="G4" s="86"/>
      <c r="H4" s="86"/>
      <c r="I4" s="86"/>
      <c r="J4" s="86"/>
      <c r="K4" s="86"/>
      <c r="L4" s="19"/>
      <c r="M4" s="19"/>
      <c r="N4" s="19"/>
      <c r="O4" s="19"/>
      <c r="P4" s="19"/>
      <c r="Q4" s="19"/>
    </row>
    <row r="5" spans="3:17" ht="12.7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2:17" ht="12.75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1"/>
      <c r="Q6" s="21"/>
    </row>
    <row r="7" spans="2:20" ht="12.75">
      <c r="B7" s="4"/>
      <c r="F7" s="5">
        <v>41090</v>
      </c>
      <c r="G7" s="5">
        <v>41273</v>
      </c>
      <c r="H7" s="5">
        <v>41609</v>
      </c>
      <c r="I7" s="5">
        <v>41974</v>
      </c>
      <c r="J7" s="5">
        <v>42339</v>
      </c>
      <c r="K7" s="5">
        <v>42706</v>
      </c>
      <c r="L7" s="23"/>
      <c r="M7" s="24">
        <v>37622</v>
      </c>
      <c r="N7" s="5">
        <v>37653</v>
      </c>
      <c r="O7" s="5">
        <v>37681</v>
      </c>
      <c r="P7" s="5">
        <v>37712</v>
      </c>
      <c r="T7" s="84" t="s">
        <v>89</v>
      </c>
    </row>
    <row r="8" spans="2:20" ht="12.75">
      <c r="B8" s="4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R8" s="27"/>
      <c r="T8" s="84" t="s">
        <v>90</v>
      </c>
    </row>
    <row r="9" spans="2:20" ht="12.75">
      <c r="B9" s="4"/>
      <c r="C9" s="28" t="s">
        <v>1</v>
      </c>
      <c r="D9" s="29">
        <v>1</v>
      </c>
      <c r="E9" s="28" t="s">
        <v>21</v>
      </c>
      <c r="F9" s="30">
        <f aca="true" t="shared" si="0" ref="F9:K9">SUM(F10:F12)</f>
        <v>81000000</v>
      </c>
      <c r="G9" s="30">
        <f t="shared" si="0"/>
        <v>13179367.453657927</v>
      </c>
      <c r="H9" s="30">
        <f t="shared" si="0"/>
        <v>7567110.968125034</v>
      </c>
      <c r="I9" s="30">
        <f t="shared" si="0"/>
        <v>13838112.968125038</v>
      </c>
      <c r="J9" s="30">
        <f t="shared" si="0"/>
        <v>41789705.984062515</v>
      </c>
      <c r="K9" s="30">
        <f t="shared" si="0"/>
        <v>37590001.48216263</v>
      </c>
      <c r="L9" s="31"/>
      <c r="M9" s="32">
        <f>SUM(M10:M12)</f>
        <v>230935567.64</v>
      </c>
      <c r="N9" s="30">
        <f>SUM(N10:N12)</f>
        <v>70246923</v>
      </c>
      <c r="O9" s="30">
        <f>SUM(O10:O12)</f>
        <v>25135022.93</v>
      </c>
      <c r="P9" s="30">
        <f>SUM(P10:P12)</f>
        <v>44786586.32</v>
      </c>
      <c r="R9" s="27"/>
      <c r="T9" s="84" t="s">
        <v>91</v>
      </c>
    </row>
    <row r="10" spans="2:69" ht="12.75" hidden="1">
      <c r="B10" s="4"/>
      <c r="E10" s="11" t="s">
        <v>22</v>
      </c>
      <c r="F10" s="8"/>
      <c r="G10" s="8"/>
      <c r="H10" s="8"/>
      <c r="I10" s="8"/>
      <c r="J10" s="8"/>
      <c r="K10" s="8"/>
      <c r="L10" s="31"/>
      <c r="M10" s="33">
        <v>300000</v>
      </c>
      <c r="N10" s="8">
        <v>300000</v>
      </c>
      <c r="O10" s="8">
        <v>300000</v>
      </c>
      <c r="P10" s="8">
        <v>300000</v>
      </c>
      <c r="R10" s="27"/>
      <c r="S10" s="27"/>
      <c r="T10" s="84" t="s">
        <v>92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</row>
    <row r="11" spans="2:69" ht="12.75">
      <c r="B11" s="4"/>
      <c r="E11" s="11" t="s">
        <v>23</v>
      </c>
      <c r="F11" s="8">
        <f>41000000+40000000</f>
        <v>81000000</v>
      </c>
      <c r="G11" s="8">
        <f>+'Información Flujo de Caja'!L122+11404809</f>
        <v>13179367.453657927</v>
      </c>
      <c r="H11" s="8">
        <f>+'Información Flujo de Caja'!M122-13350467</f>
        <v>7567110.968125034</v>
      </c>
      <c r="I11" s="8">
        <f>+'Información Flujo de Caja'!N122-7079465</f>
        <v>13838112.968125038</v>
      </c>
      <c r="J11" s="8">
        <f>+'Información Flujo de Caja'!O122+12941897</f>
        <v>41789705.984062515</v>
      </c>
      <c r="K11" s="8">
        <f>+'Información Flujo de Caja'!P122</f>
        <v>37590001.48216263</v>
      </c>
      <c r="L11" s="31"/>
      <c r="M11" s="33">
        <f>187943972+8795750</f>
        <v>196739722</v>
      </c>
      <c r="N11" s="8">
        <v>58516771</v>
      </c>
      <c r="O11" s="8">
        <v>11505229.86</v>
      </c>
      <c r="P11" s="8">
        <v>-5692044.29</v>
      </c>
      <c r="R11" s="27"/>
      <c r="S11" s="27"/>
      <c r="T11" s="84" t="s">
        <v>93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</row>
    <row r="12" spans="2:69" ht="12.75" hidden="1">
      <c r="B12" s="4"/>
      <c r="E12" s="11" t="s">
        <v>99</v>
      </c>
      <c r="F12" s="54"/>
      <c r="G12" s="54"/>
      <c r="H12" s="54"/>
      <c r="I12" s="54"/>
      <c r="J12" s="54"/>
      <c r="K12" s="54"/>
      <c r="L12" s="31"/>
      <c r="M12" s="33">
        <v>33895845.64</v>
      </c>
      <c r="N12" s="8">
        <v>11430152</v>
      </c>
      <c r="O12" s="8">
        <v>13329793.07</v>
      </c>
      <c r="P12" s="8">
        <v>50178630.61</v>
      </c>
      <c r="R12" s="27"/>
      <c r="S12" s="27"/>
      <c r="T12" s="84" t="s">
        <v>94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</row>
    <row r="13" spans="2:69" ht="12.75">
      <c r="B13" s="4"/>
      <c r="E13" s="13"/>
      <c r="F13" s="9"/>
      <c r="G13" s="9"/>
      <c r="H13" s="9"/>
      <c r="I13" s="9"/>
      <c r="J13" s="9"/>
      <c r="K13" s="9"/>
      <c r="L13" s="31"/>
      <c r="M13" s="35"/>
      <c r="N13" s="35"/>
      <c r="O13" s="35"/>
      <c r="P13" s="35"/>
      <c r="R13" s="27"/>
      <c r="S13" s="27"/>
      <c r="T13" s="84" t="s">
        <v>95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</row>
    <row r="14" spans="2:69" ht="12.75">
      <c r="B14" s="4"/>
      <c r="C14" s="28" t="s">
        <v>1</v>
      </c>
      <c r="D14" s="29">
        <f>+D9+1</f>
        <v>2</v>
      </c>
      <c r="E14" s="28" t="s">
        <v>24</v>
      </c>
      <c r="F14" s="30">
        <f aca="true" t="shared" si="1" ref="F14:K14">SUM(F15:F19)</f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1"/>
      <c r="M14" s="32">
        <f>SUM(M15:M17)</f>
        <v>37507867.87</v>
      </c>
      <c r="N14" s="30">
        <f>SUM(N15:N18)</f>
        <v>40197044</v>
      </c>
      <c r="O14" s="30">
        <f>SUM(O15:O18)</f>
        <v>46227999.87</v>
      </c>
      <c r="P14" s="30">
        <f>SUM(P15:P18)</f>
        <v>51413995.87</v>
      </c>
      <c r="Q14" s="6"/>
      <c r="R14" s="27"/>
      <c r="S14" s="27"/>
      <c r="T14" s="84" t="s">
        <v>96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</row>
    <row r="15" spans="2:69" ht="12.75" hidden="1">
      <c r="B15" s="4"/>
      <c r="E15" s="7" t="s">
        <v>55</v>
      </c>
      <c r="F15" s="8"/>
      <c r="G15" s="8"/>
      <c r="H15" s="8"/>
      <c r="I15" s="8"/>
      <c r="J15" s="8"/>
      <c r="K15" s="8"/>
      <c r="L15" s="31"/>
      <c r="M15" s="33">
        <v>35273347.87</v>
      </c>
      <c r="N15" s="8">
        <v>37863724</v>
      </c>
      <c r="O15" s="8">
        <v>45377529.87</v>
      </c>
      <c r="P15" s="8">
        <v>45026912.87</v>
      </c>
      <c r="R15" s="27"/>
      <c r="S15" s="27"/>
      <c r="T15" s="84" t="s">
        <v>97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</row>
    <row r="16" spans="2:69" ht="12.75" hidden="1">
      <c r="B16" s="4"/>
      <c r="E16" s="7" t="s">
        <v>56</v>
      </c>
      <c r="F16" s="8"/>
      <c r="G16" s="8"/>
      <c r="H16" s="8"/>
      <c r="I16" s="8"/>
      <c r="J16" s="8"/>
      <c r="K16" s="8"/>
      <c r="L16" s="31"/>
      <c r="M16" s="33"/>
      <c r="N16" s="8"/>
      <c r="O16" s="8"/>
      <c r="P16" s="8"/>
      <c r="R16" s="27"/>
      <c r="S16" s="27"/>
      <c r="T16" s="84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</row>
    <row r="17" spans="2:69" ht="12.75" hidden="1">
      <c r="B17" s="4"/>
      <c r="E17" s="7" t="s">
        <v>57</v>
      </c>
      <c r="F17" s="8"/>
      <c r="G17" s="8"/>
      <c r="H17" s="8"/>
      <c r="I17" s="8"/>
      <c r="J17" s="8"/>
      <c r="K17" s="8"/>
      <c r="L17" s="31"/>
      <c r="M17" s="33">
        <v>2234520</v>
      </c>
      <c r="N17" s="8">
        <v>2333320</v>
      </c>
      <c r="O17" s="8">
        <v>850470</v>
      </c>
      <c r="P17" s="8">
        <v>6387083</v>
      </c>
      <c r="R17" s="27"/>
      <c r="S17" s="27"/>
      <c r="T17" s="84" t="s">
        <v>98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</row>
    <row r="18" spans="2:69" ht="12.75" hidden="1">
      <c r="B18" s="4"/>
      <c r="E18" s="7" t="s">
        <v>58</v>
      </c>
      <c r="F18" s="8"/>
      <c r="G18" s="8"/>
      <c r="H18" s="8"/>
      <c r="I18" s="8"/>
      <c r="J18" s="8"/>
      <c r="K18" s="8"/>
      <c r="L18" s="31"/>
      <c r="M18" s="33"/>
      <c r="N18" s="8"/>
      <c r="O18" s="8"/>
      <c r="P18" s="8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</row>
    <row r="19" spans="2:69" ht="12.75">
      <c r="B19" s="4"/>
      <c r="E19" s="13"/>
      <c r="F19" s="9"/>
      <c r="G19" s="9"/>
      <c r="H19" s="9"/>
      <c r="I19" s="9"/>
      <c r="J19" s="9"/>
      <c r="K19" s="9"/>
      <c r="L19" s="31"/>
      <c r="M19" s="35"/>
      <c r="N19" s="35"/>
      <c r="O19" s="35"/>
      <c r="P19" s="3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2:69" ht="12.75">
      <c r="B20" s="4"/>
      <c r="C20" s="28" t="s">
        <v>1</v>
      </c>
      <c r="D20" s="29">
        <f>+D14+1</f>
        <v>3</v>
      </c>
      <c r="E20" s="28" t="s">
        <v>35</v>
      </c>
      <c r="F20" s="30">
        <f aca="true" t="shared" si="2" ref="F20:K20">SUM(F21:F21)</f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1"/>
      <c r="M20" s="32">
        <f>SUM(M21:M22)</f>
        <v>6993121</v>
      </c>
      <c r="N20" s="30">
        <f>SUM(N21:N22)</f>
        <v>13969811</v>
      </c>
      <c r="O20" s="30">
        <f>SUM(O21:O22)</f>
        <v>20132897</v>
      </c>
      <c r="P20" s="30">
        <f>SUM(P21:P22)</f>
        <v>30605651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</row>
    <row r="21" spans="2:69" ht="12.75" hidden="1">
      <c r="B21" s="4"/>
      <c r="E21" s="36" t="s">
        <v>35</v>
      </c>
      <c r="F21" s="8"/>
      <c r="G21" s="8"/>
      <c r="H21" s="8"/>
      <c r="I21" s="8"/>
      <c r="J21" s="8"/>
      <c r="K21" s="8"/>
      <c r="L21" s="31"/>
      <c r="M21" s="33">
        <f>2092532+4900589</f>
        <v>6993121</v>
      </c>
      <c r="N21" s="8">
        <f>4091642+9878169</f>
        <v>13969811</v>
      </c>
      <c r="O21" s="8">
        <f>5407010+14725887</f>
        <v>20132897</v>
      </c>
      <c r="P21" s="8">
        <f>15879764+14725887</f>
        <v>30605651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</row>
    <row r="22" spans="2:69" ht="12.75">
      <c r="B22" s="4"/>
      <c r="E22" s="10"/>
      <c r="F22" s="34"/>
      <c r="G22" s="34"/>
      <c r="H22" s="34"/>
      <c r="I22" s="34"/>
      <c r="J22" s="34"/>
      <c r="K22" s="34"/>
      <c r="L22" s="31"/>
      <c r="M22" s="37"/>
      <c r="N22" s="37"/>
      <c r="O22" s="37"/>
      <c r="P22" s="3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</row>
    <row r="23" spans="2:69" ht="12.75">
      <c r="B23" s="4"/>
      <c r="C23" s="28" t="s">
        <v>1</v>
      </c>
      <c r="D23" s="29">
        <f>+D20+1</f>
        <v>4</v>
      </c>
      <c r="E23" s="28" t="s">
        <v>25</v>
      </c>
      <c r="F23" s="30">
        <f aca="true" t="shared" si="3" ref="F23:K23">+F26+F29+F32</f>
        <v>4000000</v>
      </c>
      <c r="G23" s="30">
        <f t="shared" si="3"/>
        <v>47683333.33333333</v>
      </c>
      <c r="H23" s="30">
        <f t="shared" si="3"/>
        <v>37450000</v>
      </c>
      <c r="I23" s="30">
        <f t="shared" si="3"/>
        <v>27216666.66666667</v>
      </c>
      <c r="J23" s="30">
        <f t="shared" si="3"/>
        <v>17566666.666666668</v>
      </c>
      <c r="K23" s="30">
        <f t="shared" si="3"/>
        <v>0</v>
      </c>
      <c r="L23" s="31"/>
      <c r="M23" s="32" t="e">
        <f>+#REF!+M33</f>
        <v>#REF!</v>
      </c>
      <c r="N23" s="30" t="e">
        <f>+#REF!+N33</f>
        <v>#REF!</v>
      </c>
      <c r="O23" s="30" t="e">
        <f>+#REF!+O33</f>
        <v>#REF!</v>
      </c>
      <c r="P23" s="30" t="e">
        <f>+#REF!+P33</f>
        <v>#REF!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</row>
    <row r="24" spans="2:69" ht="12.75">
      <c r="B24" s="4"/>
      <c r="E24" s="36" t="s">
        <v>197</v>
      </c>
      <c r="F24" s="8"/>
      <c r="G24" s="8">
        <f>+'Activos Fijos Depreciables'!C13+'Activos Fijos Depreciables'!C12+'Activos Fijos Depreciables'!C11+'Activos Fijos Depreciables'!C10+'Activos Fijos Depreciables'!C8+'Activos Fijos Depreciables'!C7+'Activos Fijos Depreciables'!C6+'Activos Fijos Depreciables'!C5+'Activos Fijos Depreciables'!C4+'Activos Fijos Depreciables'!C3</f>
        <v>49300000</v>
      </c>
      <c r="H24" s="8">
        <f>+G24</f>
        <v>49300000</v>
      </c>
      <c r="I24" s="8">
        <f>+H24</f>
        <v>49300000</v>
      </c>
      <c r="J24" s="8">
        <f>+I24</f>
        <v>49300000</v>
      </c>
      <c r="K24" s="8">
        <f>+J24</f>
        <v>49300000</v>
      </c>
      <c r="L24" s="31"/>
      <c r="M24" s="33">
        <v>34842352</v>
      </c>
      <c r="N24" s="8">
        <v>36930352</v>
      </c>
      <c r="O24" s="8">
        <v>37736552</v>
      </c>
      <c r="P24" s="8">
        <v>37736552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</row>
    <row r="25" spans="2:69" ht="12.75">
      <c r="B25" s="4"/>
      <c r="E25" s="36" t="s">
        <v>198</v>
      </c>
      <c r="F25" s="8"/>
      <c r="G25" s="8">
        <f>(+'Activos Fijos Depreciables'!E13+'Activos Fijos Depreciables'!E12+'Activos Fijos Depreciables'!E11+'Activos Fijos Depreciables'!E10+'Activos Fijos Depreciables'!E8+'Activos Fijos Depreciables'!E7+'Activos Fijos Depreciables'!E6+'Activos Fijos Depreciables'!E5+'Activos Fijos Depreciables'!E4+'Activos Fijos Depreciables'!E3)*6</f>
        <v>4533333.333333333</v>
      </c>
      <c r="H25" s="8">
        <f>+G25*3</f>
        <v>13600000</v>
      </c>
      <c r="I25" s="8">
        <f>+G25*5</f>
        <v>22666666.666666664</v>
      </c>
      <c r="J25" s="8">
        <f>+G25*7</f>
        <v>31733333.333333332</v>
      </c>
      <c r="K25" s="8">
        <v>49300000</v>
      </c>
      <c r="L25" s="31"/>
      <c r="M25" s="33">
        <f>-11137642-363017</f>
        <v>-11500659</v>
      </c>
      <c r="N25" s="8">
        <f>-11137642-726034</f>
        <v>-11863676</v>
      </c>
      <c r="O25" s="8">
        <f>-11137642-1089051</f>
        <v>-12226693</v>
      </c>
      <c r="P25" s="8">
        <f>-11137642-1452068</f>
        <v>-12589710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</row>
    <row r="26" spans="2:69" ht="12.75">
      <c r="B26" s="4"/>
      <c r="E26" s="36" t="s">
        <v>199</v>
      </c>
      <c r="F26" s="8"/>
      <c r="G26" s="8">
        <f>+G24-G25</f>
        <v>44766666.666666664</v>
      </c>
      <c r="H26" s="8">
        <f>+H24-H25</f>
        <v>35700000</v>
      </c>
      <c r="I26" s="8">
        <f>+I24-I25</f>
        <v>26633333.333333336</v>
      </c>
      <c r="J26" s="8">
        <f>+J24-J25</f>
        <v>17566666.666666668</v>
      </c>
      <c r="K26" s="8">
        <f>+K24-K25</f>
        <v>0</v>
      </c>
      <c r="L26" s="31"/>
      <c r="M26" s="33"/>
      <c r="N26" s="8"/>
      <c r="O26" s="8"/>
      <c r="P26" s="8"/>
      <c r="R26" s="27"/>
      <c r="S26" s="38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</row>
    <row r="27" spans="2:69" ht="12.75">
      <c r="B27" s="4"/>
      <c r="E27" s="36" t="s">
        <v>26</v>
      </c>
      <c r="F27" s="8"/>
      <c r="G27" s="8">
        <f>+'Activos Fijos Depreciables'!C14</f>
        <v>3500000</v>
      </c>
      <c r="H27" s="8">
        <f>+G27</f>
        <v>3500000</v>
      </c>
      <c r="I27" s="8">
        <f>+H27</f>
        <v>3500000</v>
      </c>
      <c r="J27" s="8">
        <f>+I27</f>
        <v>3500000</v>
      </c>
      <c r="K27" s="8">
        <f>+J27</f>
        <v>3500000</v>
      </c>
      <c r="L27" s="31"/>
      <c r="M27" s="33">
        <v>34842352</v>
      </c>
      <c r="N27" s="8">
        <v>36930352</v>
      </c>
      <c r="O27" s="8">
        <v>37736552</v>
      </c>
      <c r="P27" s="8">
        <v>37736552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</row>
    <row r="28" spans="2:69" ht="12.75">
      <c r="B28" s="4"/>
      <c r="E28" s="36" t="s">
        <v>27</v>
      </c>
      <c r="F28" s="8"/>
      <c r="G28" s="8">
        <f>+'Activos Fijos Depreciables'!E14*6</f>
        <v>583333.3333333333</v>
      </c>
      <c r="H28" s="8">
        <f>+G28*3</f>
        <v>1749999.9999999998</v>
      </c>
      <c r="I28" s="8">
        <f>+G28*5</f>
        <v>2916666.666666666</v>
      </c>
      <c r="J28" s="8">
        <f>+G28*6</f>
        <v>3499999.9999999995</v>
      </c>
      <c r="K28" s="8">
        <v>3500000</v>
      </c>
      <c r="L28" s="31"/>
      <c r="M28" s="33">
        <f>-11137642-363017</f>
        <v>-11500659</v>
      </c>
      <c r="N28" s="8">
        <f>-11137642-726034</f>
        <v>-11863676</v>
      </c>
      <c r="O28" s="8">
        <f>-11137642-1089051</f>
        <v>-12226693</v>
      </c>
      <c r="P28" s="8">
        <f>-11137642-1452068</f>
        <v>-12589710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</row>
    <row r="29" spans="2:69" ht="12.75">
      <c r="B29" s="4"/>
      <c r="E29" s="36" t="s">
        <v>28</v>
      </c>
      <c r="F29" s="8">
        <f>+F27+F28</f>
        <v>0</v>
      </c>
      <c r="G29" s="8">
        <f>+G27-G28</f>
        <v>2916666.666666667</v>
      </c>
      <c r="H29" s="8">
        <f>+H27-H28</f>
        <v>1750000.0000000002</v>
      </c>
      <c r="I29" s="8">
        <f>+I27-I28</f>
        <v>583333.333333334</v>
      </c>
      <c r="J29" s="8">
        <f>+J27-J28</f>
        <v>0</v>
      </c>
      <c r="K29" s="8">
        <f>+K27-K28</f>
        <v>0</v>
      </c>
      <c r="L29" s="31"/>
      <c r="M29" s="33"/>
      <c r="N29" s="8"/>
      <c r="O29" s="8"/>
      <c r="P29" s="8"/>
      <c r="R29" s="27"/>
      <c r="S29" s="38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</row>
    <row r="30" spans="2:69" ht="12.75">
      <c r="B30" s="4"/>
      <c r="E30" s="36" t="s">
        <v>29</v>
      </c>
      <c r="F30" s="8">
        <v>4000000</v>
      </c>
      <c r="G30" s="8">
        <v>4000000</v>
      </c>
      <c r="H30" s="8">
        <f aca="true" t="shared" si="4" ref="H30:K31">+G30</f>
        <v>4000000</v>
      </c>
      <c r="I30" s="8">
        <f t="shared" si="4"/>
        <v>4000000</v>
      </c>
      <c r="J30" s="8">
        <f t="shared" si="4"/>
        <v>4000000</v>
      </c>
      <c r="K30" s="8">
        <f t="shared" si="4"/>
        <v>4000000</v>
      </c>
      <c r="L30" s="31"/>
      <c r="M30" s="33"/>
      <c r="N30" s="8"/>
      <c r="O30" s="8"/>
      <c r="P30" s="8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2:69" ht="12.75">
      <c r="B31" s="4"/>
      <c r="E31" s="36" t="s">
        <v>30</v>
      </c>
      <c r="F31" s="8"/>
      <c r="G31" s="8">
        <f>+G30</f>
        <v>4000000</v>
      </c>
      <c r="H31" s="8">
        <f t="shared" si="4"/>
        <v>4000000</v>
      </c>
      <c r="I31" s="8">
        <f t="shared" si="4"/>
        <v>4000000</v>
      </c>
      <c r="J31" s="8">
        <f t="shared" si="4"/>
        <v>4000000</v>
      </c>
      <c r="K31" s="8">
        <f t="shared" si="4"/>
        <v>4000000</v>
      </c>
      <c r="L31" s="31"/>
      <c r="M31" s="33"/>
      <c r="N31" s="8"/>
      <c r="O31" s="8"/>
      <c r="P31" s="8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</row>
    <row r="32" spans="2:69" ht="12.75">
      <c r="B32" s="4"/>
      <c r="E32" s="36" t="s">
        <v>31</v>
      </c>
      <c r="F32" s="8">
        <f>+F31+F30</f>
        <v>4000000</v>
      </c>
      <c r="G32" s="8">
        <f>+G30-G31</f>
        <v>0</v>
      </c>
      <c r="H32" s="8">
        <f>+H30-H31</f>
        <v>0</v>
      </c>
      <c r="I32" s="8">
        <f>+I30-I31</f>
        <v>0</v>
      </c>
      <c r="J32" s="8">
        <f>+J30-J31</f>
        <v>0</v>
      </c>
      <c r="K32" s="8">
        <f>+K30-K31</f>
        <v>0</v>
      </c>
      <c r="L32" s="31"/>
      <c r="M32" s="33"/>
      <c r="N32" s="8"/>
      <c r="O32" s="8"/>
      <c r="P32" s="8"/>
      <c r="R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</row>
    <row r="33" spans="2:69" ht="12.75" hidden="1">
      <c r="B33" s="4"/>
      <c r="E33" s="36"/>
      <c r="F33" s="8"/>
      <c r="G33" s="8"/>
      <c r="H33" s="8"/>
      <c r="I33" s="8"/>
      <c r="J33" s="8"/>
      <c r="K33" s="8"/>
      <c r="L33" s="31"/>
      <c r="M33" s="33" t="e">
        <f>+#REF!+#REF!</f>
        <v>#REF!</v>
      </c>
      <c r="N33" s="8" t="e">
        <f>+#REF!+#REF!</f>
        <v>#REF!</v>
      </c>
      <c r="O33" s="8" t="e">
        <f>+#REF!+#REF!</f>
        <v>#REF!</v>
      </c>
      <c r="P33" s="8" t="e">
        <f>+#REF!+#REF!</f>
        <v>#REF!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</row>
    <row r="34" spans="2:69" ht="12.75">
      <c r="B34" s="4"/>
      <c r="E34" s="13"/>
      <c r="F34" s="9"/>
      <c r="G34" s="9"/>
      <c r="H34" s="9"/>
      <c r="I34" s="9"/>
      <c r="J34" s="9"/>
      <c r="K34" s="9"/>
      <c r="L34" s="31"/>
      <c r="M34" s="35"/>
      <c r="N34" s="35"/>
      <c r="O34" s="35"/>
      <c r="P34" s="3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</row>
    <row r="35" spans="2:69" ht="12.75">
      <c r="B35" s="4"/>
      <c r="C35" s="28" t="s">
        <v>1</v>
      </c>
      <c r="D35" s="29">
        <f>+D23+1</f>
        <v>5</v>
      </c>
      <c r="E35" s="28" t="s">
        <v>200</v>
      </c>
      <c r="F35" s="39">
        <f aca="true" t="shared" si="5" ref="F35:K35">SUM(F36:F38)</f>
        <v>0</v>
      </c>
      <c r="G35" s="39">
        <f t="shared" si="5"/>
        <v>0</v>
      </c>
      <c r="H35" s="39">
        <f t="shared" si="5"/>
        <v>0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1"/>
      <c r="M35" s="32">
        <f>SUM(M36:M38)</f>
        <v>0</v>
      </c>
      <c r="N35" s="30">
        <f>SUM(N36:N38)</f>
        <v>0</v>
      </c>
      <c r="O35" s="30">
        <f>SUM(O36:O38)</f>
        <v>804816</v>
      </c>
      <c r="P35" s="30">
        <f>SUM(P36:P38)</f>
        <v>1609542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</row>
    <row r="36" spans="2:69" ht="12.75" hidden="1">
      <c r="B36" s="4"/>
      <c r="E36" s="7" t="s">
        <v>201</v>
      </c>
      <c r="F36" s="8"/>
      <c r="G36" s="8"/>
      <c r="H36" s="8"/>
      <c r="I36" s="8"/>
      <c r="J36" s="8"/>
      <c r="K36" s="8"/>
      <c r="L36" s="31"/>
      <c r="M36" s="33"/>
      <c r="N36" s="8"/>
      <c r="O36" s="8">
        <v>804816</v>
      </c>
      <c r="P36" s="8">
        <v>1609542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2:69" ht="12.75">
      <c r="B37" s="4"/>
      <c r="E37" s="12" t="s">
        <v>200</v>
      </c>
      <c r="F37" s="15"/>
      <c r="G37" s="15">
        <f>+'Información Flujo de Caja'!G19-'Información Est. de Resultados'!H60-'Información Est. de Resultados'!I60-'Información Est. de Resultados'!J60-'Información Est. de Resultados'!K60-'Información Est. de Resultados'!L60</f>
        <v>0</v>
      </c>
      <c r="H37" s="15"/>
      <c r="I37" s="15"/>
      <c r="J37" s="15"/>
      <c r="K37" s="15"/>
      <c r="L37" s="31"/>
      <c r="M37" s="35"/>
      <c r="N37" s="15"/>
      <c r="O37" s="15"/>
      <c r="P37" s="15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2:69" ht="12.75">
      <c r="B38" s="4"/>
      <c r="E38" s="10"/>
      <c r="F38" s="34"/>
      <c r="G38" s="34"/>
      <c r="H38" s="34"/>
      <c r="I38" s="34"/>
      <c r="J38" s="34"/>
      <c r="K38" s="34"/>
      <c r="L38" s="31"/>
      <c r="M38" s="35"/>
      <c r="N38" s="15"/>
      <c r="O38" s="15"/>
      <c r="P38" s="15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2:69" ht="12.75">
      <c r="B39" s="4"/>
      <c r="C39" s="28" t="s">
        <v>1</v>
      </c>
      <c r="D39" s="29">
        <f>+D35+1</f>
        <v>6</v>
      </c>
      <c r="E39" s="28" t="s">
        <v>203</v>
      </c>
      <c r="F39" s="39">
        <f aca="true" t="shared" si="6" ref="F39:K39">SUM(F40:F43)</f>
        <v>40000000</v>
      </c>
      <c r="G39" s="39">
        <f t="shared" si="6"/>
        <v>34260145.0033496</v>
      </c>
      <c r="H39" s="39">
        <f t="shared" si="6"/>
        <v>21733227.648381747</v>
      </c>
      <c r="I39" s="39">
        <f t="shared" si="6"/>
        <v>7667814.695553429</v>
      </c>
      <c r="J39" s="39">
        <f t="shared" si="6"/>
        <v>0</v>
      </c>
      <c r="K39" s="39">
        <f t="shared" si="6"/>
        <v>1</v>
      </c>
      <c r="L39" s="31"/>
      <c r="M39" s="32">
        <f>SUM(M40:M43)</f>
        <v>0</v>
      </c>
      <c r="N39" s="30">
        <f>SUM(N40:N43)</f>
        <v>0</v>
      </c>
      <c r="O39" s="30">
        <f>SUM(O40:O43)</f>
        <v>804816</v>
      </c>
      <c r="P39" s="30">
        <f>SUM(P40:P43)</f>
        <v>1609542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2:69" ht="12.75">
      <c r="B40" s="4"/>
      <c r="E40" s="7" t="s">
        <v>204</v>
      </c>
      <c r="F40" s="8">
        <v>40000000</v>
      </c>
      <c r="G40" s="8">
        <f>+'Tabla de Amortizacion'!I7</f>
        <v>34260145.0033496</v>
      </c>
      <c r="H40" s="8">
        <f>+'Tabla de Amortizacion'!U7</f>
        <v>21733227.648381747</v>
      </c>
      <c r="I40" s="8">
        <f>+'Tabla de Amortizacion'!AG7</f>
        <v>7667814.695553429</v>
      </c>
      <c r="J40" s="8">
        <v>0</v>
      </c>
      <c r="K40" s="8">
        <v>1</v>
      </c>
      <c r="L40" s="31"/>
      <c r="M40" s="33"/>
      <c r="N40" s="8"/>
      <c r="O40" s="8">
        <v>804816</v>
      </c>
      <c r="P40" s="8">
        <v>1609542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2:69" ht="12.75" hidden="1">
      <c r="B41" s="4"/>
      <c r="E41" s="7" t="s">
        <v>46</v>
      </c>
      <c r="F41" s="15"/>
      <c r="G41" s="15"/>
      <c r="H41" s="15"/>
      <c r="I41" s="15"/>
      <c r="J41" s="15"/>
      <c r="K41" s="15"/>
      <c r="L41" s="31"/>
      <c r="M41" s="35"/>
      <c r="N41" s="15"/>
      <c r="O41" s="15"/>
      <c r="P41" s="15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2:69" ht="12.75" hidden="1">
      <c r="B42" s="4"/>
      <c r="E42" s="12" t="s">
        <v>59</v>
      </c>
      <c r="F42" s="15"/>
      <c r="G42" s="15"/>
      <c r="H42" s="15"/>
      <c r="I42" s="15"/>
      <c r="J42" s="15"/>
      <c r="K42" s="15"/>
      <c r="L42" s="31"/>
      <c r="M42" s="35"/>
      <c r="N42" s="15"/>
      <c r="O42" s="15"/>
      <c r="P42" s="15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</row>
    <row r="43" spans="2:69" ht="12.75" hidden="1">
      <c r="B43" s="4"/>
      <c r="E43" s="12"/>
      <c r="F43" s="15"/>
      <c r="G43" s="15"/>
      <c r="H43" s="15"/>
      <c r="I43" s="15"/>
      <c r="J43" s="15"/>
      <c r="K43" s="15"/>
      <c r="L43" s="31"/>
      <c r="M43" s="35"/>
      <c r="N43" s="15"/>
      <c r="O43" s="15"/>
      <c r="P43" s="1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</row>
    <row r="44" spans="2:69" ht="12.75">
      <c r="B44" s="4"/>
      <c r="C44" s="40"/>
      <c r="D44" s="41"/>
      <c r="E44" s="42"/>
      <c r="F44" s="9"/>
      <c r="G44" s="9"/>
      <c r="H44" s="9"/>
      <c r="I44" s="9"/>
      <c r="J44" s="9"/>
      <c r="K44" s="9"/>
      <c r="L44" s="31"/>
      <c r="M44" s="35"/>
      <c r="N44" s="35"/>
      <c r="O44" s="35"/>
      <c r="P44" s="35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</row>
    <row r="45" spans="2:69" ht="12.75">
      <c r="B45" s="4"/>
      <c r="C45" s="28" t="s">
        <v>1</v>
      </c>
      <c r="D45" s="29">
        <f>+D39+1</f>
        <v>7</v>
      </c>
      <c r="E45" s="28" t="s">
        <v>32</v>
      </c>
      <c r="F45" s="30">
        <f aca="true" t="shared" si="7" ref="F45:K45">SUM(F46:F50)</f>
        <v>0</v>
      </c>
      <c r="G45" s="30">
        <f t="shared" si="7"/>
        <v>0</v>
      </c>
      <c r="H45" s="30">
        <f t="shared" si="7"/>
        <v>0</v>
      </c>
      <c r="I45" s="30">
        <f t="shared" si="7"/>
        <v>0</v>
      </c>
      <c r="J45" s="30">
        <f t="shared" si="7"/>
        <v>0</v>
      </c>
      <c r="K45" s="30">
        <f t="shared" si="7"/>
        <v>1</v>
      </c>
      <c r="L45" s="31"/>
      <c r="M45" s="32">
        <f>SUM(M46:M50)</f>
        <v>455348</v>
      </c>
      <c r="N45" s="30">
        <f>SUM(N46:N50)</f>
        <v>465823</v>
      </c>
      <c r="O45" s="30">
        <f>SUM(O46:O50)</f>
        <v>263798</v>
      </c>
      <c r="P45" s="30">
        <f>SUM(P46:P50)</f>
        <v>388593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</row>
    <row r="46" spans="2:69" ht="12.75">
      <c r="B46" s="4"/>
      <c r="D46" s="43"/>
      <c r="E46" s="7" t="s">
        <v>79</v>
      </c>
      <c r="F46" s="8"/>
      <c r="G46" s="8"/>
      <c r="H46" s="8"/>
      <c r="I46" s="8"/>
      <c r="J46" s="8"/>
      <c r="K46" s="8"/>
      <c r="L46" s="31"/>
      <c r="M46" s="33">
        <v>166348</v>
      </c>
      <c r="N46" s="8">
        <v>176823</v>
      </c>
      <c r="O46" s="8">
        <v>-25202</v>
      </c>
      <c r="P46" s="8">
        <v>99593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2:69" ht="12.75">
      <c r="B47" s="4"/>
      <c r="D47" s="43"/>
      <c r="E47" s="7" t="s">
        <v>33</v>
      </c>
      <c r="F47" s="8"/>
      <c r="G47" s="8"/>
      <c r="H47" s="8"/>
      <c r="I47" s="8"/>
      <c r="J47" s="8"/>
      <c r="K47" s="8"/>
      <c r="L47" s="31"/>
      <c r="M47" s="33"/>
      <c r="N47" s="8"/>
      <c r="O47" s="8"/>
      <c r="P47" s="8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</row>
    <row r="48" spans="2:69" ht="12.75">
      <c r="B48" s="4"/>
      <c r="D48" s="43"/>
      <c r="E48" s="7" t="s">
        <v>80</v>
      </c>
      <c r="F48" s="8"/>
      <c r="G48" s="8"/>
      <c r="H48" s="8"/>
      <c r="I48" s="8"/>
      <c r="J48" s="8"/>
      <c r="K48" s="8"/>
      <c r="L48" s="31"/>
      <c r="M48" s="33"/>
      <c r="N48" s="8"/>
      <c r="O48" s="8"/>
      <c r="P48" s="8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</row>
    <row r="49" spans="2:69" ht="12.75">
      <c r="B49" s="4"/>
      <c r="D49" s="43"/>
      <c r="E49" s="7" t="s">
        <v>81</v>
      </c>
      <c r="F49" s="54"/>
      <c r="G49" s="54"/>
      <c r="H49" s="54"/>
      <c r="I49" s="54"/>
      <c r="J49" s="54"/>
      <c r="K49" s="54"/>
      <c r="L49" s="31"/>
      <c r="M49" s="33"/>
      <c r="N49" s="8"/>
      <c r="O49" s="8"/>
      <c r="P49" s="8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</row>
    <row r="50" spans="2:69" ht="12.75">
      <c r="B50" s="4"/>
      <c r="D50" s="43"/>
      <c r="E50" s="7" t="s">
        <v>100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31"/>
      <c r="M50" s="33">
        <v>289000</v>
      </c>
      <c r="N50" s="8">
        <v>289000</v>
      </c>
      <c r="O50" s="8">
        <v>289000</v>
      </c>
      <c r="P50" s="8">
        <v>289000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</row>
    <row r="51" spans="2:18" ht="12.75">
      <c r="B51" s="16"/>
      <c r="C51" s="41"/>
      <c r="D51" s="44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3"/>
      <c r="R51" s="27"/>
    </row>
    <row r="52" ht="12.75">
      <c r="R52" s="27"/>
    </row>
    <row r="53" ht="12.75">
      <c r="R53" s="27"/>
    </row>
  </sheetData>
  <sheetProtection/>
  <mergeCells count="4">
    <mergeCell ref="C1:F1"/>
    <mergeCell ref="C2:F2"/>
    <mergeCell ref="C3:F3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6.7109375" style="0" bestFit="1" customWidth="1"/>
    <col min="2" max="2" width="11.7109375" style="0" bestFit="1" customWidth="1"/>
    <col min="3" max="3" width="12.140625" style="0" bestFit="1" customWidth="1"/>
    <col min="4" max="4" width="19.57421875" style="0" bestFit="1" customWidth="1"/>
  </cols>
  <sheetData>
    <row r="2" spans="2:4" ht="12.75">
      <c r="B2" t="s">
        <v>300</v>
      </c>
      <c r="C2" t="s">
        <v>299</v>
      </c>
      <c r="D2" t="s">
        <v>301</v>
      </c>
    </row>
    <row r="3" spans="1:4" ht="12.75">
      <c r="A3" s="7" t="s">
        <v>189</v>
      </c>
      <c r="B3" s="137">
        <v>1500000</v>
      </c>
      <c r="C3">
        <v>48</v>
      </c>
      <c r="D3" s="137">
        <f>B3/C3</f>
        <v>31250</v>
      </c>
    </row>
    <row r="4" spans="1:4" ht="12.75">
      <c r="A4" s="7" t="s">
        <v>73</v>
      </c>
      <c r="B4" s="137">
        <v>2000000</v>
      </c>
      <c r="C4">
        <v>48</v>
      </c>
      <c r="D4" s="137">
        <f>B4/C4</f>
        <v>41666.666666666664</v>
      </c>
    </row>
    <row r="5" spans="1:4" ht="12.75">
      <c r="A5" s="7" t="s">
        <v>188</v>
      </c>
      <c r="B5" s="137">
        <v>500000</v>
      </c>
      <c r="C5">
        <v>48</v>
      </c>
      <c r="D5" s="137">
        <f>B5/C5</f>
        <v>10416.666666666666</v>
      </c>
    </row>
    <row r="6" spans="1:4" ht="12.75">
      <c r="A6" s="7" t="s">
        <v>190</v>
      </c>
      <c r="B6" s="137">
        <v>2500000</v>
      </c>
      <c r="C6">
        <v>48</v>
      </c>
      <c r="D6" s="137">
        <f>B6/C6</f>
        <v>52083.333333333336</v>
      </c>
    </row>
    <row r="7" spans="1:4" ht="12.75">
      <c r="A7" s="7" t="s">
        <v>302</v>
      </c>
      <c r="D7" s="138">
        <f>SUM(D3:D6)</f>
        <v>135416.66666666666</v>
      </c>
    </row>
    <row r="8" ht="12.75">
      <c r="A8" s="7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3" sqref="B3:E9"/>
    </sheetView>
  </sheetViews>
  <sheetFormatPr defaultColWidth="11.421875" defaultRowHeight="12.75"/>
  <cols>
    <col min="1" max="1" width="11.421875" style="93" customWidth="1"/>
    <col min="2" max="2" width="48.8515625" style="93" customWidth="1"/>
    <col min="3" max="3" width="14.140625" style="93" bestFit="1" customWidth="1"/>
    <col min="4" max="4" width="10.421875" style="94" bestFit="1" customWidth="1"/>
    <col min="5" max="16384" width="11.421875" style="93" customWidth="1"/>
  </cols>
  <sheetData>
    <row r="1" spans="2:3" ht="12.75">
      <c r="B1" s="153" t="s">
        <v>153</v>
      </c>
      <c r="C1" s="153"/>
    </row>
    <row r="2" spans="4:5" ht="12.75">
      <c r="D2" s="94" t="s">
        <v>192</v>
      </c>
      <c r="E2" s="93" t="s">
        <v>191</v>
      </c>
    </row>
    <row r="3" spans="1:5" ht="15">
      <c r="A3" s="93" t="s">
        <v>285</v>
      </c>
      <c r="B3" s="95" t="s">
        <v>143</v>
      </c>
      <c r="C3" s="96">
        <v>4000000</v>
      </c>
      <c r="D3" s="113">
        <v>60</v>
      </c>
      <c r="E3" s="93">
        <f aca="true" t="shared" si="0" ref="E3:E9">+C3/D3</f>
        <v>66666.66666666667</v>
      </c>
    </row>
    <row r="4" spans="1:5" ht="15">
      <c r="A4" s="93" t="s">
        <v>285</v>
      </c>
      <c r="B4" s="95" t="s">
        <v>145</v>
      </c>
      <c r="C4" s="96">
        <v>2000000</v>
      </c>
      <c r="D4" s="113">
        <v>60</v>
      </c>
      <c r="E4" s="93">
        <f t="shared" si="0"/>
        <v>33333.333333333336</v>
      </c>
    </row>
    <row r="5" spans="1:5" ht="15">
      <c r="A5" s="93" t="s">
        <v>285</v>
      </c>
      <c r="B5" s="95" t="s">
        <v>146</v>
      </c>
      <c r="C5" s="96">
        <v>500000</v>
      </c>
      <c r="D5" s="113">
        <v>12</v>
      </c>
      <c r="E5" s="93">
        <f t="shared" si="0"/>
        <v>41666.666666666664</v>
      </c>
    </row>
    <row r="6" spans="1:5" ht="15">
      <c r="A6" s="93" t="s">
        <v>285</v>
      </c>
      <c r="B6" s="95" t="s">
        <v>147</v>
      </c>
      <c r="C6" s="96">
        <v>2000000</v>
      </c>
      <c r="D6" s="113">
        <v>60</v>
      </c>
      <c r="E6" s="93">
        <f t="shared" si="0"/>
        <v>33333.333333333336</v>
      </c>
    </row>
    <row r="7" spans="1:5" ht="15">
      <c r="A7" s="93" t="s">
        <v>285</v>
      </c>
      <c r="B7" s="95" t="s">
        <v>148</v>
      </c>
      <c r="C7" s="96">
        <v>35000000</v>
      </c>
      <c r="D7" s="113">
        <v>120</v>
      </c>
      <c r="E7" s="93">
        <f t="shared" si="0"/>
        <v>291666.6666666667</v>
      </c>
    </row>
    <row r="8" spans="1:5" ht="15">
      <c r="A8" s="93" t="s">
        <v>285</v>
      </c>
      <c r="B8" s="124" t="s">
        <v>151</v>
      </c>
      <c r="C8" s="125">
        <v>500000</v>
      </c>
      <c r="D8" s="113">
        <v>36</v>
      </c>
      <c r="E8" s="93">
        <f t="shared" si="0"/>
        <v>13888.888888888889</v>
      </c>
    </row>
    <row r="9" spans="2:5" ht="15">
      <c r="B9" s="122" t="s">
        <v>298</v>
      </c>
      <c r="C9" s="123">
        <v>4000000</v>
      </c>
      <c r="D9" s="128">
        <v>120</v>
      </c>
      <c r="E9" s="129">
        <f t="shared" si="0"/>
        <v>33333.333333333336</v>
      </c>
    </row>
    <row r="10" spans="1:5" ht="15">
      <c r="A10" s="93" t="s">
        <v>284</v>
      </c>
      <c r="B10" s="126" t="s">
        <v>142</v>
      </c>
      <c r="C10" s="127">
        <v>1500000</v>
      </c>
      <c r="D10" s="113">
        <v>60</v>
      </c>
      <c r="E10" s="93">
        <f>+C10/D10</f>
        <v>25000</v>
      </c>
    </row>
    <row r="11" spans="1:5" ht="15">
      <c r="A11" s="93" t="s">
        <v>284</v>
      </c>
      <c r="B11" s="95" t="s">
        <v>144</v>
      </c>
      <c r="C11" s="96">
        <v>1000000</v>
      </c>
      <c r="D11" s="113">
        <v>60</v>
      </c>
      <c r="E11" s="93">
        <f>+C11/D11</f>
        <v>16666.666666666668</v>
      </c>
    </row>
    <row r="12" spans="1:5" ht="15">
      <c r="A12" s="93" t="s">
        <v>284</v>
      </c>
      <c r="B12" s="95" t="s">
        <v>150</v>
      </c>
      <c r="C12" s="96">
        <v>800000</v>
      </c>
      <c r="D12" s="113">
        <v>12</v>
      </c>
      <c r="E12" s="93">
        <f>+C12/D12</f>
        <v>66666.66666666667</v>
      </c>
    </row>
    <row r="13" spans="1:5" ht="15">
      <c r="A13" s="93" t="s">
        <v>284</v>
      </c>
      <c r="B13" s="95" t="s">
        <v>152</v>
      </c>
      <c r="C13" s="96">
        <v>2000000</v>
      </c>
      <c r="D13" s="113">
        <v>12</v>
      </c>
      <c r="E13" s="93">
        <f>+C13/D13</f>
        <v>166666.66666666666</v>
      </c>
    </row>
    <row r="14" spans="1:5" ht="15">
      <c r="A14" s="93" t="s">
        <v>284</v>
      </c>
      <c r="B14" s="95" t="s">
        <v>149</v>
      </c>
      <c r="C14" s="96">
        <v>3500000</v>
      </c>
      <c r="D14" s="113">
        <v>36</v>
      </c>
      <c r="E14" s="93">
        <f>+C14/D14</f>
        <v>97222.22222222222</v>
      </c>
    </row>
    <row r="16" spans="3:5" ht="12.75">
      <c r="C16" s="93">
        <f>SUM(C3:C14)</f>
        <v>56800000</v>
      </c>
      <c r="E16" s="93">
        <f>SUM(E3:E14)</f>
        <v>886111.111111111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28125" style="0" bestFit="1" customWidth="1"/>
    <col min="2" max="2" width="11.421875" style="0" customWidth="1"/>
    <col min="3" max="3" width="11.140625" style="0" bestFit="1" customWidth="1"/>
    <col min="4" max="4" width="8.140625" style="0" bestFit="1" customWidth="1"/>
    <col min="5" max="6" width="10.140625" style="0" bestFit="1" customWidth="1"/>
    <col min="7" max="7" width="13.7109375" style="0" bestFit="1" customWidth="1"/>
    <col min="8" max="8" width="10.421875" style="0" bestFit="1" customWidth="1"/>
    <col min="9" max="9" width="13.28125" style="0" bestFit="1" customWidth="1"/>
    <col min="10" max="10" width="12.7109375" style="0" bestFit="1" customWidth="1"/>
    <col min="11" max="13" width="11.140625" style="0" bestFit="1" customWidth="1"/>
    <col min="14" max="14" width="11.140625" style="0" hidden="1" customWidth="1"/>
  </cols>
  <sheetData>
    <row r="1" spans="1:14" ht="12.75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3" spans="3:14" s="17" customFormat="1" ht="12.75">
      <c r="C3" s="5" t="s">
        <v>154</v>
      </c>
      <c r="D3" s="5">
        <v>41061</v>
      </c>
      <c r="E3" s="5">
        <v>41091</v>
      </c>
      <c r="F3" s="5">
        <v>41122</v>
      </c>
      <c r="G3" s="5">
        <v>41153</v>
      </c>
      <c r="H3" s="5">
        <v>41183</v>
      </c>
      <c r="I3" s="5">
        <v>41214</v>
      </c>
      <c r="J3" s="5">
        <v>41244</v>
      </c>
      <c r="K3" s="5" t="s">
        <v>155</v>
      </c>
      <c r="L3" s="5" t="s">
        <v>156</v>
      </c>
      <c r="M3" s="5" t="s">
        <v>157</v>
      </c>
      <c r="N3" s="5" t="s">
        <v>193</v>
      </c>
    </row>
    <row r="4" spans="1:14" s="58" customFormat="1" ht="12.75">
      <c r="A4" s="60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ht="12.75">
      <c r="A5" s="62" t="s">
        <v>3</v>
      </c>
      <c r="B5" s="63"/>
      <c r="C5" s="64">
        <f>+C6+C7-C8-C9</f>
        <v>472500000</v>
      </c>
      <c r="D5" s="64">
        <f aca="true" t="shared" si="0" ref="D5:N5">+D6+D7-D8-D9</f>
        <v>0</v>
      </c>
      <c r="E5" s="64">
        <f t="shared" si="0"/>
        <v>16000000</v>
      </c>
      <c r="F5" s="64">
        <f t="shared" si="0"/>
        <v>16000000</v>
      </c>
      <c r="G5" s="64">
        <f t="shared" si="0"/>
        <v>16000000</v>
      </c>
      <c r="H5" s="64">
        <f t="shared" si="0"/>
        <v>17750000</v>
      </c>
      <c r="I5" s="64">
        <f t="shared" si="0"/>
        <v>17750000</v>
      </c>
      <c r="J5" s="64">
        <f t="shared" si="0"/>
        <v>17750000</v>
      </c>
      <c r="K5" s="64">
        <f t="shared" si="0"/>
        <v>231000000</v>
      </c>
      <c r="L5" s="64">
        <f t="shared" si="0"/>
        <v>231000000</v>
      </c>
      <c r="M5" s="64">
        <f t="shared" si="0"/>
        <v>231000000</v>
      </c>
      <c r="N5" s="64">
        <f t="shared" si="0"/>
        <v>231000000</v>
      </c>
    </row>
    <row r="6" spans="1:14" s="58" customFormat="1" ht="12.75">
      <c r="A6" s="7" t="s">
        <v>102</v>
      </c>
      <c r="B6" s="67"/>
      <c r="C6" s="8">
        <f>+C13*C18</f>
        <v>472500000</v>
      </c>
      <c r="D6" s="8">
        <f aca="true" t="shared" si="1" ref="D6:N6">+D13*D18</f>
        <v>0</v>
      </c>
      <c r="E6" s="8">
        <f t="shared" si="1"/>
        <v>12500000</v>
      </c>
      <c r="F6" s="8">
        <f t="shared" si="1"/>
        <v>12500000</v>
      </c>
      <c r="G6" s="8">
        <f t="shared" si="1"/>
        <v>12500000</v>
      </c>
      <c r="H6" s="8">
        <f t="shared" si="1"/>
        <v>13750000</v>
      </c>
      <c r="I6" s="8">
        <f t="shared" si="1"/>
        <v>13750000</v>
      </c>
      <c r="J6" s="8">
        <f t="shared" si="1"/>
        <v>13750000</v>
      </c>
      <c r="K6" s="8">
        <f t="shared" si="1"/>
        <v>180000000</v>
      </c>
      <c r="L6" s="8">
        <f t="shared" si="1"/>
        <v>180000000</v>
      </c>
      <c r="M6" s="8">
        <f t="shared" si="1"/>
        <v>180000000</v>
      </c>
      <c r="N6" s="8">
        <f t="shared" si="1"/>
        <v>180000000</v>
      </c>
    </row>
    <row r="7" spans="1:14" s="58" customFormat="1" ht="12.75">
      <c r="A7" s="7" t="s">
        <v>103</v>
      </c>
      <c r="B7" s="67"/>
      <c r="C7" s="8">
        <f>+C14*C19</f>
        <v>0</v>
      </c>
      <c r="D7" s="8">
        <f aca="true" t="shared" si="2" ref="D7:N7">+D14*D19</f>
        <v>0</v>
      </c>
      <c r="E7" s="8">
        <f t="shared" si="2"/>
        <v>3500000</v>
      </c>
      <c r="F7" s="8">
        <f t="shared" si="2"/>
        <v>3500000</v>
      </c>
      <c r="G7" s="8">
        <f t="shared" si="2"/>
        <v>3500000</v>
      </c>
      <c r="H7" s="8">
        <f t="shared" si="2"/>
        <v>4000000</v>
      </c>
      <c r="I7" s="8">
        <f t="shared" si="2"/>
        <v>4000000</v>
      </c>
      <c r="J7" s="8">
        <f t="shared" si="2"/>
        <v>4000000</v>
      </c>
      <c r="K7" s="8">
        <f t="shared" si="2"/>
        <v>51000000</v>
      </c>
      <c r="L7" s="8">
        <f t="shared" si="2"/>
        <v>51000000</v>
      </c>
      <c r="M7" s="8">
        <f t="shared" si="2"/>
        <v>51000000</v>
      </c>
      <c r="N7" s="8">
        <f t="shared" si="2"/>
        <v>51000000</v>
      </c>
    </row>
    <row r="8" spans="1:14" s="58" customFormat="1" ht="12.75">
      <c r="A8" s="7" t="s">
        <v>211</v>
      </c>
      <c r="B8" s="67"/>
      <c r="C8" s="8">
        <f>+C23*C28</f>
        <v>0</v>
      </c>
      <c r="D8" s="8">
        <f aca="true" t="shared" si="3" ref="D8:N8">+D23*D28</f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</row>
    <row r="9" spans="1:14" s="58" customFormat="1" ht="12.75">
      <c r="A9" s="7" t="s">
        <v>212</v>
      </c>
      <c r="B9" s="67"/>
      <c r="C9" s="8">
        <f>+C24*C29</f>
        <v>0</v>
      </c>
      <c r="D9" s="8">
        <f aca="true" t="shared" si="4" ref="D9:N9">+D24*D29</f>
        <v>0</v>
      </c>
      <c r="E9" s="8">
        <f t="shared" si="4"/>
        <v>0</v>
      </c>
      <c r="F9" s="8">
        <f t="shared" si="4"/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</row>
    <row r="11" spans="1:14" ht="12.75">
      <c r="A11" s="112" t="s">
        <v>209</v>
      </c>
      <c r="C11" s="155" t="s">
        <v>221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s="2" customFormat="1" ht="12.75">
      <c r="A12" s="62" t="s">
        <v>207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s="58" customFormat="1" ht="12.75">
      <c r="A13" s="7" t="s">
        <v>102</v>
      </c>
      <c r="B13" s="67"/>
      <c r="C13" s="8">
        <f>SUM(D13:J13)</f>
        <v>15000</v>
      </c>
      <c r="D13" s="8"/>
      <c r="E13" s="8">
        <v>2500</v>
      </c>
      <c r="F13" s="8">
        <v>2500</v>
      </c>
      <c r="G13" s="8">
        <v>2500</v>
      </c>
      <c r="H13" s="8">
        <v>2500</v>
      </c>
      <c r="I13" s="8">
        <v>2500</v>
      </c>
      <c r="J13" s="8">
        <v>2500</v>
      </c>
      <c r="K13" s="8">
        <v>2500</v>
      </c>
      <c r="L13" s="8">
        <v>2500</v>
      </c>
      <c r="M13" s="8">
        <v>2500</v>
      </c>
      <c r="N13" s="8">
        <v>2500</v>
      </c>
    </row>
    <row r="14" spans="1:14" s="58" customFormat="1" ht="12.75">
      <c r="A14" s="7" t="s">
        <v>103</v>
      </c>
      <c r="B14" s="67"/>
      <c r="C14" s="8">
        <v>0</v>
      </c>
      <c r="D14" s="8"/>
      <c r="E14" s="8">
        <v>5000</v>
      </c>
      <c r="F14" s="8">
        <v>5000</v>
      </c>
      <c r="G14" s="8">
        <v>5000</v>
      </c>
      <c r="H14" s="8">
        <v>5000</v>
      </c>
      <c r="I14" s="8">
        <v>5000</v>
      </c>
      <c r="J14" s="8">
        <v>5000</v>
      </c>
      <c r="K14" s="8">
        <v>5000</v>
      </c>
      <c r="L14" s="8">
        <v>5000</v>
      </c>
      <c r="M14" s="8">
        <v>5000</v>
      </c>
      <c r="N14" s="8">
        <v>5000</v>
      </c>
    </row>
    <row r="16" spans="3:14" ht="12.75">
      <c r="C16" s="155" t="s">
        <v>222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s="2" customFormat="1" ht="12.75">
      <c r="A17" s="62" t="s">
        <v>208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s="58" customFormat="1" ht="12.75">
      <c r="A18" s="7" t="s">
        <v>102</v>
      </c>
      <c r="B18" s="67"/>
      <c r="C18" s="8">
        <f>SUM(D18:J18)</f>
        <v>31500</v>
      </c>
      <c r="D18" s="8"/>
      <c r="E18" s="8">
        <v>5000</v>
      </c>
      <c r="F18" s="8">
        <v>5000</v>
      </c>
      <c r="G18" s="8">
        <v>5000</v>
      </c>
      <c r="H18" s="8">
        <v>5500</v>
      </c>
      <c r="I18" s="8">
        <v>5500</v>
      </c>
      <c r="J18" s="8">
        <v>5500</v>
      </c>
      <c r="K18" s="8">
        <f>6000*12</f>
        <v>72000</v>
      </c>
      <c r="L18" s="8">
        <f>6000*12</f>
        <v>72000</v>
      </c>
      <c r="M18" s="8">
        <f>6000*12</f>
        <v>72000</v>
      </c>
      <c r="N18" s="8">
        <f>6000*12</f>
        <v>72000</v>
      </c>
    </row>
    <row r="19" spans="1:14" s="58" customFormat="1" ht="12.75">
      <c r="A19" s="7" t="s">
        <v>103</v>
      </c>
      <c r="B19" s="67"/>
      <c r="C19" s="8">
        <v>0</v>
      </c>
      <c r="D19" s="8"/>
      <c r="E19" s="8">
        <v>700</v>
      </c>
      <c r="F19" s="8">
        <v>700</v>
      </c>
      <c r="G19" s="8">
        <v>700</v>
      </c>
      <c r="H19" s="8">
        <v>800</v>
      </c>
      <c r="I19" s="8">
        <v>800</v>
      </c>
      <c r="J19" s="8">
        <v>800</v>
      </c>
      <c r="K19" s="8">
        <f>850*12</f>
        <v>10200</v>
      </c>
      <c r="L19" s="8">
        <f>850*12</f>
        <v>10200</v>
      </c>
      <c r="M19" s="8">
        <f>850*12</f>
        <v>10200</v>
      </c>
      <c r="N19" s="8">
        <f>850*12</f>
        <v>10200</v>
      </c>
    </row>
    <row r="21" spans="1:14" ht="12.75">
      <c r="A21" s="1" t="s">
        <v>210</v>
      </c>
      <c r="C21" s="155" t="s">
        <v>221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2" customFormat="1" ht="12.75">
      <c r="A22" s="62" t="s">
        <v>207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s="58" customFormat="1" ht="12.75">
      <c r="A23" s="7" t="s">
        <v>102</v>
      </c>
      <c r="B23" s="67"/>
      <c r="C23" s="8">
        <f>SUM(D23:J23)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58" customFormat="1" ht="12.75">
      <c r="A24" s="7" t="s">
        <v>103</v>
      </c>
      <c r="B24" s="67"/>
      <c r="C24" s="8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6" spans="3:14" ht="12.75">
      <c r="C26" s="155" t="s">
        <v>222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s="2" customFormat="1" ht="12.75">
      <c r="A27" s="62" t="s">
        <v>208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s="58" customFormat="1" ht="12.75">
      <c r="A28" s="7" t="s">
        <v>102</v>
      </c>
      <c r="B28" s="67"/>
      <c r="C28" s="8">
        <f>SUM(D28:J28)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58" customFormat="1" ht="12.75">
      <c r="A29" s="7" t="s">
        <v>103</v>
      </c>
      <c r="B29" s="67"/>
      <c r="C29" s="8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</sheetData>
  <sheetProtection/>
  <mergeCells count="5">
    <mergeCell ref="A1:N1"/>
    <mergeCell ref="C11:N11"/>
    <mergeCell ref="C16:N16"/>
    <mergeCell ref="C21:N21"/>
    <mergeCell ref="C26:N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Norby Rios Lozano</dc:creator>
  <cp:keywords/>
  <dc:description/>
  <cp:lastModifiedBy>Angelica Carolina</cp:lastModifiedBy>
  <cp:lastPrinted>2012-07-25T13:57:45Z</cp:lastPrinted>
  <dcterms:created xsi:type="dcterms:W3CDTF">2010-02-01T16:13:17Z</dcterms:created>
  <dcterms:modified xsi:type="dcterms:W3CDTF">2012-07-30T02:43:10Z</dcterms:modified>
  <cp:category/>
  <cp:version/>
  <cp:contentType/>
  <cp:contentStatus/>
</cp:coreProperties>
</file>