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580" windowHeight="8400" firstSheet="1" activeTab="1"/>
  </bookViews>
  <sheets>
    <sheet name="Resumen de escenario" sheetId="1" state="hidden" r:id="rId1"/>
    <sheet name="Formato Evaluación Proyecto" sheetId="2" r:id="rId2"/>
    <sheet name="Costeo" sheetId="3" r:id="rId3"/>
    <sheet name="Ventas" sheetId="4" r:id="rId4"/>
    <sheet name="Indicadores financieros" sheetId="5" r:id="rId5"/>
  </sheets>
  <definedNames>
    <definedName name="MEDICIÓN_DEL_RIESGO_A_TRAVÉS_DE_LA_DISTRIBUCIÓN_BETA">'Formato Evaluación Proyecto'!#REF!</definedName>
    <definedName name="MEDICION_DEL_RIESGO_DEL_PROYECTO_A_TRAVÉS_DE_LA_DISTRIBUCION_BETA_II">'Formato Evaluación Proyecto'!#REF!</definedName>
    <definedName name="TABLA_DE_AMORTIZACION_DE_LA_FINANCIACION">'Formato Evaluación Proyecto'!$B$160</definedName>
    <definedName name="VALOR_TERMINAL">'Formato Evaluación Proyecto'!$I$234</definedName>
  </definedNames>
  <calcPr fullCalcOnLoad="1"/>
</workbook>
</file>

<file path=xl/comments2.xml><?xml version="1.0" encoding="utf-8"?>
<comments xmlns="http://schemas.openxmlformats.org/spreadsheetml/2006/main">
  <authors>
    <author>uean</author>
    <author>Luffi</author>
  </authors>
  <commentList>
    <comment ref="C38" authorId="0">
      <text>
        <r>
          <rPr>
            <b/>
            <sz val="9"/>
            <rFont val="Tahoma"/>
            <family val="2"/>
          </rPr>
          <t>uean:</t>
        </r>
        <r>
          <rPr>
            <sz val="9"/>
            <rFont val="Tahoma"/>
            <family val="2"/>
          </rPr>
          <t xml:space="preserve">
resultado del beta del año dos dividido por el beta del año 1</t>
        </r>
      </text>
    </comment>
    <comment ref="H285" authorId="1">
      <text>
        <r>
          <rPr>
            <b/>
            <sz val="9"/>
            <rFont val="Tahoma"/>
            <family val="2"/>
          </rPr>
          <t>Luffi:</t>
        </r>
        <r>
          <rPr>
            <sz val="9"/>
            <rFont val="Tahoma"/>
            <family val="2"/>
          </rPr>
          <t xml:space="preserve">
VALOR TERMINAL:
VALOR QUE INDICA EN CUANTO SE PUEDE VENDERE EL PROYECTO.</t>
        </r>
      </text>
    </comment>
    <comment ref="I285" authorId="1">
      <text>
        <r>
          <rPr>
            <b/>
            <sz val="9"/>
            <rFont val="Tahoma"/>
            <family val="2"/>
          </rPr>
          <t>Luffi:</t>
        </r>
        <r>
          <rPr>
            <sz val="9"/>
            <rFont val="Tahoma"/>
            <family val="2"/>
          </rPr>
          <t xml:space="preserve">
VALOR TERMINAL:
VALOR QUE INDICA EN CUANTO SE PUEDE VENDERE EL PROYECTO.</t>
        </r>
      </text>
    </comment>
  </commentList>
</comments>
</file>

<file path=xl/sharedStrings.xml><?xml version="1.0" encoding="utf-8"?>
<sst xmlns="http://schemas.openxmlformats.org/spreadsheetml/2006/main" count="594" uniqueCount="356">
  <si>
    <t>BALANCE GENERAL</t>
  </si>
  <si>
    <t>AÑO 0</t>
  </si>
  <si>
    <t>AÑO 1</t>
  </si>
  <si>
    <t>AÑO 2</t>
  </si>
  <si>
    <t>AÑO 3</t>
  </si>
  <si>
    <t>AÑO 4</t>
  </si>
  <si>
    <t>AÑO 5</t>
  </si>
  <si>
    <t>Efectivo</t>
  </si>
  <si>
    <t>Cuentas por Cobrar</t>
  </si>
  <si>
    <t>Inventario materia prima</t>
  </si>
  <si>
    <t>Inventario Producto Terminado</t>
  </si>
  <si>
    <t>Total Activo Corriente</t>
  </si>
  <si>
    <t>Edificios</t>
  </si>
  <si>
    <t>Terreno</t>
  </si>
  <si>
    <t>Maquinaria</t>
  </si>
  <si>
    <t>Muebles y Enseres</t>
  </si>
  <si>
    <t>Total Activo Fijo</t>
  </si>
  <si>
    <t>Cuentas por Pagar</t>
  </si>
  <si>
    <t>Obligaciones Bancarias</t>
  </si>
  <si>
    <t>Impuestos por Pagar</t>
  </si>
  <si>
    <t>Total Pasivos Corrientes</t>
  </si>
  <si>
    <t>intereses</t>
  </si>
  <si>
    <t>Total Otros Pasivos</t>
  </si>
  <si>
    <t xml:space="preserve">TOTAL ACTIVO </t>
  </si>
  <si>
    <t>Capital</t>
  </si>
  <si>
    <t>Utilidades Retenidas</t>
  </si>
  <si>
    <t>Utilidades del Ejercicio</t>
  </si>
  <si>
    <t>TOTAL PASIVO</t>
  </si>
  <si>
    <t>TOTAL PATRIMONIO</t>
  </si>
  <si>
    <t>TOTAL PASIVO Y PATRIMONIO</t>
  </si>
  <si>
    <t>ESTADO DE PERDIDAS Y GANANCIAS</t>
  </si>
  <si>
    <t>Inventario Inicial Productos Terminados</t>
  </si>
  <si>
    <t>Inventario Inicial de Materia Prima</t>
  </si>
  <si>
    <t>Compras</t>
  </si>
  <si>
    <t>Inventario Final de Materia Prima</t>
  </si>
  <si>
    <t>Materia Prima Utilizada</t>
  </si>
  <si>
    <t>Salarios mano de Obra Directa</t>
  </si>
  <si>
    <t>Inventario Final de Productos Terminados</t>
  </si>
  <si>
    <t>COSTO DE VENTAS</t>
  </si>
  <si>
    <t>VENTAS</t>
  </si>
  <si>
    <t>UTILIDAD BRUTA</t>
  </si>
  <si>
    <t>UTILIDAD ANTES DE IMPUESTOS</t>
  </si>
  <si>
    <t>Impuestos</t>
  </si>
  <si>
    <t>UTILIDAD NETA</t>
  </si>
  <si>
    <t>SALDO INICIAL DE CAJA</t>
  </si>
  <si>
    <t xml:space="preserve">Ingresos por Ventas </t>
  </si>
  <si>
    <t>Ingresos Ventas Meses anteriores</t>
  </si>
  <si>
    <t>Ingresos por Aportes de Socios</t>
  </si>
  <si>
    <t>Ingresos por prestamos</t>
  </si>
  <si>
    <t>TOTAL INGRESOS</t>
  </si>
  <si>
    <t>Egresos por Salarios</t>
  </si>
  <si>
    <t>Egresos por Prima de Servicios</t>
  </si>
  <si>
    <t>Egresos Compras de materia prima</t>
  </si>
  <si>
    <t>Egresos por Impuestos</t>
  </si>
  <si>
    <t>TOTAL EGRESOS</t>
  </si>
  <si>
    <t>SALDO FINAL DE CAJA</t>
  </si>
  <si>
    <t>FLUJO DE CAJA LIBRE</t>
  </si>
  <si>
    <t>ESTUDIO DE MERCADO</t>
  </si>
  <si>
    <t>Egresos por publicidad de lanzamiento</t>
  </si>
  <si>
    <t>Activos Diferidos</t>
  </si>
  <si>
    <t>Total Activo Diferido</t>
  </si>
  <si>
    <t>CAPITAL DE TRABAJO</t>
  </si>
  <si>
    <t>Ciudad</t>
  </si>
  <si>
    <t>Bogota</t>
  </si>
  <si>
    <t>1)INVERSIONES</t>
  </si>
  <si>
    <t>2) MERCADEO</t>
  </si>
  <si>
    <t>Promedio Precio</t>
  </si>
  <si>
    <t>3.1 Materias Primas</t>
  </si>
  <si>
    <t>Materia prima</t>
  </si>
  <si>
    <t>Cantidad</t>
  </si>
  <si>
    <t>Valor Unitario</t>
  </si>
  <si>
    <t>Valor Total</t>
  </si>
  <si>
    <t>TOTAL</t>
  </si>
  <si>
    <t>3.2 Mano de Obra</t>
  </si>
  <si>
    <t>Prestaciones</t>
  </si>
  <si>
    <t>Salario por mes</t>
  </si>
  <si>
    <t>Valor Hora</t>
  </si>
  <si>
    <t xml:space="preserve">horas trabajadas por mes </t>
  </si>
  <si>
    <t>Horas de Mano de Obra Directa por producto</t>
  </si>
  <si>
    <t>horas</t>
  </si>
  <si>
    <t>Valor Mano de obra directa por producto</t>
  </si>
  <si>
    <t>Mercado Total</t>
  </si>
  <si>
    <t>Mercado Objetivo Porcentaje %</t>
  </si>
  <si>
    <t>UNIDADES</t>
  </si>
  <si>
    <t xml:space="preserve">INVENTARIO </t>
  </si>
  <si>
    <t xml:space="preserve">INICIAL </t>
  </si>
  <si>
    <t># Unidades</t>
  </si>
  <si>
    <t>Costo Unitario</t>
  </si>
  <si>
    <t>Costo Total</t>
  </si>
  <si>
    <t>COMPRAS</t>
  </si>
  <si>
    <t>DISPONIBLE</t>
  </si>
  <si>
    <t xml:space="preserve">USADA EN </t>
  </si>
  <si>
    <t>INVENTARIO</t>
  </si>
  <si>
    <t>FINAL</t>
  </si>
  <si>
    <t xml:space="preserve">COSTO DE </t>
  </si>
  <si>
    <t>Costo Materia Prima por Unidad</t>
  </si>
  <si>
    <t>Costo Total por Unidad</t>
  </si>
  <si>
    <t>MANO DE OBRA DIRECTA POR UNIDAD</t>
  </si>
  <si>
    <t>5) ENTORNO</t>
  </si>
  <si>
    <t>PERIODO</t>
  </si>
  <si>
    <t>SALDO INICIAL</t>
  </si>
  <si>
    <t>INTERESES</t>
  </si>
  <si>
    <t xml:space="preserve">CUOTA </t>
  </si>
  <si>
    <t>ABONO A CAPITAL</t>
  </si>
  <si>
    <t>SALDO FINAL</t>
  </si>
  <si>
    <t>FORMA DE PAGO</t>
  </si>
  <si>
    <t>CUOTAS IGUALES ANUALES</t>
  </si>
  <si>
    <t>Intereses</t>
  </si>
  <si>
    <t>Pago Cuota Banco</t>
  </si>
  <si>
    <t>MENOS APORTES SOCIOS</t>
  </si>
  <si>
    <t>MENOS PRESTAMOS</t>
  </si>
  <si>
    <t xml:space="preserve">MAS PAGO DE INTERESES </t>
  </si>
  <si>
    <t>MENOS AHORRO IMPUESTOS POR INTERESES</t>
  </si>
  <si>
    <t>MAS DIVIDENDOS PAGADOS</t>
  </si>
  <si>
    <t>INGRESOS POR PRESTAMOS</t>
  </si>
  <si>
    <t>PAGO DE PRESTAMOS</t>
  </si>
  <si>
    <t>PAGO DE INTERESES</t>
  </si>
  <si>
    <t>AHORRO POR INTERESES</t>
  </si>
  <si>
    <t>FLUJO DE CAJA DE LOS ACCIONISTAS</t>
  </si>
  <si>
    <t>APORTES</t>
  </si>
  <si>
    <t>VALOR PRESENTE NETO A PESOS CORRIENTES</t>
  </si>
  <si>
    <t>Egresos por pago de Dividendos</t>
  </si>
  <si>
    <t>INVERSIONES</t>
  </si>
  <si>
    <t>Estudio de Mercado</t>
  </si>
  <si>
    <t>Capital de Trabajo</t>
  </si>
  <si>
    <t>MERCADO</t>
  </si>
  <si>
    <t>Plazo en años</t>
  </si>
  <si>
    <t>Horas Trabajadas por mes</t>
  </si>
  <si>
    <t>ENTORNO</t>
  </si>
  <si>
    <t>CUOTA</t>
  </si>
  <si>
    <t>Spread efectivo ganado por los bancos</t>
  </si>
  <si>
    <t>Rentabilidad Libre de Riesgo efectiva anual</t>
  </si>
  <si>
    <t>Rentabilidad del Mercado</t>
  </si>
  <si>
    <t>Betas de la empresa o empresas similares</t>
  </si>
  <si>
    <t>Tasa de Impuestos sobre las Utilidades</t>
  </si>
  <si>
    <t>PRECIO</t>
  </si>
  <si>
    <t>AÑO1</t>
  </si>
  <si>
    <t>AÑO2</t>
  </si>
  <si>
    <t>AÑO3</t>
  </si>
  <si>
    <t>AÑO4</t>
  </si>
  <si>
    <t>AÑO5</t>
  </si>
  <si>
    <t>días</t>
  </si>
  <si>
    <t>Egresos compras periodos anteriores</t>
  </si>
  <si>
    <t>prueba</t>
  </si>
  <si>
    <t>FCL = FCF + FCA</t>
  </si>
  <si>
    <t>MANO DE OBRA DIRECTA</t>
  </si>
  <si>
    <t>FINANCIACIÓN</t>
  </si>
  <si>
    <t>% financiación del proyecto</t>
  </si>
  <si>
    <t>Población Objetivo</t>
  </si>
  <si>
    <t>INGENIERÍA DEL PROYECTO</t>
  </si>
  <si>
    <t>Gastos de Fabricación</t>
  </si>
  <si>
    <t>GASTOS DE ADMINISTRACIÓN</t>
  </si>
  <si>
    <t>Inflación esperada por año del proyecto</t>
  </si>
  <si>
    <t>TASA DE INTERÉS COBRADA POR EL BANCO Kd</t>
  </si>
  <si>
    <t>TASA DE INTERÉS RECURSOS PROPIOS Ke</t>
  </si>
  <si>
    <t>PROYECCIÓN A PESOS CORRIENTES</t>
  </si>
  <si>
    <t>INVERSIÓN MAQUINARIA</t>
  </si>
  <si>
    <t xml:space="preserve">TOTAL  INVERSIÓN </t>
  </si>
  <si>
    <t>FINANCIACIÓN DEL PROYECTO</t>
  </si>
  <si>
    <t xml:space="preserve">Población Objetivo </t>
  </si>
  <si>
    <t>Política de Ventas</t>
  </si>
  <si>
    <t>Política de Compras</t>
  </si>
  <si>
    <t>3) INGENIERÍA DEL PROYECTO</t>
  </si>
  <si>
    <t>3.3 Gastos de Fabricación</t>
  </si>
  <si>
    <t>3.4 Depreciación Maquinaria</t>
  </si>
  <si>
    <t>Gasto Depreciación</t>
  </si>
  <si>
    <t>4) Gastos de Administración</t>
  </si>
  <si>
    <t>Gtos de Amortización (publicidad inicial, inv mercado)</t>
  </si>
  <si>
    <t>Inflación</t>
  </si>
  <si>
    <t>PRODUCCIÓN</t>
  </si>
  <si>
    <t>POLÍTICA DE INVENTARIOS</t>
  </si>
  <si>
    <t>COSTO DE CONVERSIÓN</t>
  </si>
  <si>
    <t>GASTOS DE FABRICACIÓN POR AÑO</t>
  </si>
  <si>
    <t>GASTOS DEPRECIACIÓN POR AÑO</t>
  </si>
  <si>
    <t>COSTO DE CONVERSIÓN UNITARIO</t>
  </si>
  <si>
    <t>Costo Unitario de Conversión</t>
  </si>
  <si>
    <t>TABLA DE AMORTIZACIÓN DE LA FINANCIACIÓN</t>
  </si>
  <si>
    <t>TASA DE INTERÉS</t>
  </si>
  <si>
    <t>Depreciación Acumulada</t>
  </si>
  <si>
    <t>Amortización Diferidos</t>
  </si>
  <si>
    <t xml:space="preserve">Gastos de Fabricación </t>
  </si>
  <si>
    <t xml:space="preserve">Depreciación Maquinaria </t>
  </si>
  <si>
    <t>Depreciación Edificio</t>
  </si>
  <si>
    <t xml:space="preserve">Total Costo de Fabricación </t>
  </si>
  <si>
    <t>Depreciación Muebles</t>
  </si>
  <si>
    <t>Gastos de Administración</t>
  </si>
  <si>
    <t>Gastos de Amortización Activos Diferidos</t>
  </si>
  <si>
    <t>FLUJO DE TESORERÍA</t>
  </si>
  <si>
    <t>Egresos por Administración</t>
  </si>
  <si>
    <t>Egresos por Fabricación</t>
  </si>
  <si>
    <t>Egresos Adquisición de Maquinaria</t>
  </si>
  <si>
    <t>Egresos por investigación de mercados</t>
  </si>
  <si>
    <t>SALDO FINAL POR AÑO FLUJO DE TESORERÍA</t>
  </si>
  <si>
    <t>MAS AMORTIZACIÓN DE PRESTAMOS</t>
  </si>
  <si>
    <t>MENOS INVERSIÓN DE ACCIONISTAS EN ESPECIE</t>
  </si>
  <si>
    <t>FLUJO DE CAJA DE LA FINANCIACIÓN</t>
  </si>
  <si>
    <t>SALDO FINAL DE CAJA TESORERÍA</t>
  </si>
  <si>
    <t>VPN</t>
  </si>
  <si>
    <t>Familias</t>
  </si>
  <si>
    <t>(igual a media hora)</t>
  </si>
  <si>
    <t>Participacion en el mercado</t>
  </si>
  <si>
    <t>Margen Bruto</t>
  </si>
  <si>
    <t>UTILIDAD OPERATIVA</t>
  </si>
  <si>
    <t>EBITDA</t>
  </si>
  <si>
    <t>Margen EBITDA</t>
  </si>
  <si>
    <t>margen neto</t>
  </si>
  <si>
    <t>MAS VALOR TERMINAL</t>
  </si>
  <si>
    <t>TASA DE INTERÉS DE LA FINANCIACIÓN (Kd)</t>
  </si>
  <si>
    <t>TASA DE OPORTUNIDAD DEL PROYECTO (KE)</t>
  </si>
  <si>
    <t>%PORCENTAJE DE PASIVOS</t>
  </si>
  <si>
    <t>%PORCENTAJE PATRIMONIO</t>
  </si>
  <si>
    <t>TASA DE DESCUENTO WACC</t>
  </si>
  <si>
    <t>FACTOR</t>
  </si>
  <si>
    <t>FACTOR DE DESCUENTO</t>
  </si>
  <si>
    <t>$D$19</t>
  </si>
  <si>
    <t>$D$20</t>
  </si>
  <si>
    <t>$D$21</t>
  </si>
  <si>
    <t>$D$22</t>
  </si>
  <si>
    <t>$D$24</t>
  </si>
  <si>
    <t>$D$25</t>
  </si>
  <si>
    <t>$D$26</t>
  </si>
  <si>
    <t>$C$335</t>
  </si>
  <si>
    <t>$D$335</t>
  </si>
  <si>
    <t>$E$335</t>
  </si>
  <si>
    <t>$F$335</t>
  </si>
  <si>
    <t>$G$335</t>
  </si>
  <si>
    <t>$H$335</t>
  </si>
  <si>
    <t>$D$363</t>
  </si>
  <si>
    <t>$H$291</t>
  </si>
  <si>
    <t>PESIMISTAS</t>
  </si>
  <si>
    <t>Creado por GIOVANNI el 10/11/2011</t>
  </si>
  <si>
    <t>OPTIMISTA</t>
  </si>
  <si>
    <t>Resumen de escenario</t>
  </si>
  <si>
    <t>Celdas cambiantes:</t>
  </si>
  <si>
    <t>Valores actuales:</t>
  </si>
  <si>
    <t>Celdas de resultado:</t>
  </si>
  <si>
    <t>Notas: La columna de valores actuales representa los valores de las celdas cambiantes</t>
  </si>
  <si>
    <t>en el momento en que se creó el Informe resumen de escenario. Las celdas cambiantes de</t>
  </si>
  <si>
    <t>cada escenario se muestran en gris.</t>
  </si>
  <si>
    <t>CONSUMO</t>
  </si>
  <si>
    <t>FCL0</t>
  </si>
  <si>
    <t>FCL1</t>
  </si>
  <si>
    <t>FCL2</t>
  </si>
  <si>
    <t>FCL3</t>
  </si>
  <si>
    <t>FCL4</t>
  </si>
  <si>
    <t>FCL5</t>
  </si>
  <si>
    <t>MARGEN EBITDA</t>
  </si>
  <si>
    <t>PET</t>
  </si>
  <si>
    <t>INVENTARIO PERFILES DE MADERA SINTETICA</t>
  </si>
  <si>
    <t>INVENTARIO DE PET</t>
  </si>
  <si>
    <t>ARRIENDO</t>
  </si>
  <si>
    <t>CAFETERIA Y ASEO</t>
  </si>
  <si>
    <t>COMBUSTIBLES</t>
  </si>
  <si>
    <t>COMUNICACIÓN Y TELEFONO</t>
  </si>
  <si>
    <t>PAPELERIA Y UTILES DE OFICINA</t>
  </si>
  <si>
    <t>GASTOS PREOPERATIVOS</t>
  </si>
  <si>
    <t xml:space="preserve">CONSTITUCION DE LA SOCIEDAD </t>
  </si>
  <si>
    <t>ADECUACIONES DE PLANTA</t>
  </si>
  <si>
    <t>Gastos preoperativos</t>
  </si>
  <si>
    <t>OTROS GASTOS</t>
  </si>
  <si>
    <t>MADERA SINTETICA</t>
  </si>
  <si>
    <t>Plasticos: HDPE, LDPE</t>
  </si>
  <si>
    <t>Elaborado por:</t>
  </si>
  <si>
    <t>Caracteristicas:</t>
  </si>
  <si>
    <t>Fácil instalación y limpieza.</t>
  </si>
  <si>
    <t>Sin mantenimiento</t>
  </si>
  <si>
    <t>No se pudre</t>
  </si>
  <si>
    <t>No requiere aceites</t>
  </si>
  <si>
    <t>,</t>
  </si>
  <si>
    <t>Duradero</t>
  </si>
  <si>
    <t>Anticorrosivo</t>
  </si>
  <si>
    <t>Resistente al fuego</t>
  </si>
  <si>
    <t xml:space="preserve">Impermeable </t>
  </si>
  <si>
    <t xml:space="preserve">Resistente </t>
  </si>
  <si>
    <t xml:space="preserve">Inmune </t>
  </si>
  <si>
    <t>Antideslizante y seguro</t>
  </si>
  <si>
    <t>Dimensiones</t>
  </si>
  <si>
    <t xml:space="preserve"> 1,250 mm x 2,500 mm (4' x 8'), gruesos de 15 mm hasta 90 mm.</t>
  </si>
  <si>
    <t>SALARIOS</t>
  </si>
  <si>
    <t>RUBRO</t>
  </si>
  <si>
    <t>MENSUAL</t>
  </si>
  <si>
    <t>ANUAL</t>
  </si>
  <si>
    <t>COSTOS FIJOS</t>
  </si>
  <si>
    <t>Arendamiento</t>
  </si>
  <si>
    <t>sueldos</t>
  </si>
  <si>
    <t>Mano de obra</t>
  </si>
  <si>
    <t>precio venta</t>
  </si>
  <si>
    <t>COSTOS VARIABLES</t>
  </si>
  <si>
    <t>horas trabajadas por año</t>
  </si>
  <si>
    <t>Mano de Obra mensual</t>
  </si>
  <si>
    <t xml:space="preserve"> EVALUACIÓN FINANCIERA DE PROYECTO DE INVERSIÓN MADERA SINTETICA</t>
  </si>
  <si>
    <t>Produccion maquina / hora</t>
  </si>
  <si>
    <t>Tiempo</t>
  </si>
  <si>
    <t>Cantidad de tableros</t>
  </si>
  <si>
    <t>Materia prima en kg</t>
  </si>
  <si>
    <t>costo materia prima Kg</t>
  </si>
  <si>
    <t>MANO DE OBRA</t>
  </si>
  <si>
    <t xml:space="preserve"> Precio venta</t>
  </si>
  <si>
    <t>18,8 minutos</t>
  </si>
  <si>
    <t>1 hora</t>
  </si>
  <si>
    <t>8 horas</t>
  </si>
  <si>
    <t>16 horas</t>
  </si>
  <si>
    <t>24 horas</t>
  </si>
  <si>
    <t>COSTOS DE ADMINISTRACION</t>
  </si>
  <si>
    <t>PROYECTO MADERA SINTETICA</t>
  </si>
  <si>
    <t>Prueba</t>
  </si>
  <si>
    <t>PUNTO DE EQUILIBRIO ANUAL</t>
  </si>
  <si>
    <t>PUNTO DE EQUILIBRIO  ANUAL</t>
  </si>
  <si>
    <t>Q Punto de equilibrio</t>
  </si>
  <si>
    <t xml:space="preserve">Mercado Objetivo Numero de Unidades </t>
  </si>
  <si>
    <t>1 turno</t>
  </si>
  <si>
    <t>2 turnos</t>
  </si>
  <si>
    <t>3 turnos</t>
  </si>
  <si>
    <t>4 turnos</t>
  </si>
  <si>
    <t xml:space="preserve">Produccion </t>
  </si>
  <si>
    <t xml:space="preserve"> Q anual</t>
  </si>
  <si>
    <t>VENTAS Q</t>
  </si>
  <si>
    <t>VENTAS P</t>
  </si>
  <si>
    <t>Capital socios</t>
  </si>
  <si>
    <t>FINANCIACIÓN DEL PROYECTO * BANCOS</t>
  </si>
  <si>
    <t>tir</t>
  </si>
  <si>
    <t>ENERGIA</t>
  </si>
  <si>
    <t>Razon corriente</t>
  </si>
  <si>
    <t>Activo corriente</t>
  </si>
  <si>
    <t>Pasivo corriente</t>
  </si>
  <si>
    <t>Prueba acida</t>
  </si>
  <si>
    <t>inventarios</t>
  </si>
  <si>
    <t>Activo total</t>
  </si>
  <si>
    <t>Pasivo total</t>
  </si>
  <si>
    <t>Nivel de endeudamiento</t>
  </si>
  <si>
    <t>leverage</t>
  </si>
  <si>
    <t>Patrimonio</t>
  </si>
  <si>
    <t>Parafiscales</t>
  </si>
  <si>
    <t>Prestaciones sociales y seguridad social</t>
  </si>
  <si>
    <t>ebitda</t>
  </si>
  <si>
    <t>activos</t>
  </si>
  <si>
    <t>ROA</t>
  </si>
  <si>
    <t>ROE</t>
  </si>
  <si>
    <t>patrimonio</t>
  </si>
  <si>
    <t>Utilidad neta</t>
  </si>
  <si>
    <t>Margen bruto</t>
  </si>
  <si>
    <t>Ebitda</t>
  </si>
  <si>
    <t>Margen ebitda</t>
  </si>
  <si>
    <t>ventas netas</t>
  </si>
  <si>
    <t>cxc</t>
  </si>
  <si>
    <t>Rotacion de la cartera</t>
  </si>
  <si>
    <t>inventario</t>
  </si>
  <si>
    <t>costo de ventas</t>
  </si>
  <si>
    <t>rotacion en dias</t>
  </si>
  <si>
    <t>Rotacion del inventario</t>
  </si>
  <si>
    <t>ventas</t>
  </si>
  <si>
    <t>utlidad neta</t>
  </si>
  <si>
    <t>Activos netos operativos</t>
  </si>
  <si>
    <t>Wacc</t>
  </si>
  <si>
    <t>EVA</t>
  </si>
  <si>
    <t>TIR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</si>
</sst>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.00_-;\-* #,##0.00_-;_-* &quot;-&quot;??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&quot;$&quot;* #,##0_-;\-&quot;$&quot;* #,##0_-;_-&quot;$&quot;* &quot;-&quot;_-;_-@_-"/>
    <numFmt numFmtId="184" formatCode="_-* #,##0_-;\-* #,##0_-;_-* &quot;-&quot;??_-;_-@_-"/>
    <numFmt numFmtId="185" formatCode="&quot;$&quot;#,##0;[Red]\-&quot;$&quot;#,##0"/>
    <numFmt numFmtId="186" formatCode="_-&quot;$&quot;* #,##0_-;\-&quot;$&quot;* #,##0_-;_-&quot;$&quot;* &quot;-&quot;??_-;_-@_-"/>
    <numFmt numFmtId="187" formatCode="_-* #,##0.00000_-;\-* #,##0.00000_-;_-* &quot;-&quot;??_-;_-@_-"/>
    <numFmt numFmtId="188" formatCode="&quot;$&quot;#,##0.00;[Red]\-&quot;$&quot;#,##0.00"/>
    <numFmt numFmtId="189" formatCode="_-* #,##0.0000_-;\-* #,##0.0000_-;_-* &quot;-&quot;??_-;_-@_-"/>
    <numFmt numFmtId="190" formatCode="0.0%"/>
    <numFmt numFmtId="191" formatCode="_ * #,##0.00000_ ;_ * \-#,##0.00000_ ;_ * &quot;-&quot;?????_ ;_ @_ "/>
    <numFmt numFmtId="192" formatCode="_ * #,##0.0_ ;_ * \-#,##0.0_ ;_ * &quot;-&quot;??_ ;_ @_ "/>
    <numFmt numFmtId="193" formatCode="_ * #,##0_ ;_ * \-#,##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00%"/>
    <numFmt numFmtId="199" formatCode="[$$-240A]\ #,##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,##0.0"/>
    <numFmt numFmtId="207" formatCode="[$$-240A]\ #,##0.0"/>
    <numFmt numFmtId="208" formatCode="[$$-240A]\ #,##0.00"/>
    <numFmt numFmtId="209" formatCode="[$-C0A]dddd\,\ dd&quot; de &quot;mmmm&quot; de &quot;yyyy"/>
  </numFmts>
  <fonts count="70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Arial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sz val="12"/>
      <color theme="0"/>
      <name val="Times New Roman"/>
      <family val="1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8"/>
      <color rgb="FF000000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2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82" fontId="0" fillId="0" borderId="0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182" fontId="63" fillId="36" borderId="14" xfId="53" applyFont="1" applyFill="1" applyBorder="1" applyAlignment="1">
      <alignment/>
    </xf>
    <xf numFmtId="182" fontId="8" fillId="0" borderId="14" xfId="53" applyFont="1" applyBorder="1" applyAlignment="1">
      <alignment/>
    </xf>
    <xf numFmtId="182" fontId="9" fillId="0" borderId="14" xfId="53" applyFont="1" applyBorder="1" applyAlignment="1">
      <alignment/>
    </xf>
    <xf numFmtId="0" fontId="9" fillId="0" borderId="14" xfId="0" applyFont="1" applyBorder="1" applyAlignment="1">
      <alignment/>
    </xf>
    <xf numFmtId="184" fontId="63" fillId="36" borderId="14" xfId="50" applyNumberFormat="1" applyFont="1" applyFill="1" applyBorder="1" applyAlignment="1">
      <alignment/>
    </xf>
    <xf numFmtId="0" fontId="63" fillId="36" borderId="14" xfId="0" applyFont="1" applyFill="1" applyBorder="1" applyAlignment="1">
      <alignment/>
    </xf>
    <xf numFmtId="185" fontId="63" fillId="36" borderId="14" xfId="53" applyNumberFormat="1" applyFont="1" applyFill="1" applyBorder="1" applyAlignment="1">
      <alignment/>
    </xf>
    <xf numFmtId="0" fontId="63" fillId="36" borderId="0" xfId="0" applyFont="1" applyFill="1" applyAlignment="1">
      <alignment/>
    </xf>
    <xf numFmtId="0" fontId="8" fillId="0" borderId="14" xfId="0" applyFont="1" applyBorder="1" applyAlignment="1">
      <alignment/>
    </xf>
    <xf numFmtId="182" fontId="8" fillId="37" borderId="14" xfId="53" applyFont="1" applyFill="1" applyBorder="1" applyAlignment="1">
      <alignment/>
    </xf>
    <xf numFmtId="185" fontId="8" fillId="37" borderId="14" xfId="53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indent="1"/>
    </xf>
    <xf numFmtId="199" fontId="8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/>
    </xf>
    <xf numFmtId="19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99" fontId="8" fillId="37" borderId="14" xfId="0" applyNumberFormat="1" applyFont="1" applyFill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0" fontId="1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99" fontId="8" fillId="37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38" borderId="14" xfId="0" applyFont="1" applyFill="1" applyBorder="1" applyAlignment="1">
      <alignment horizontal="center" vertical="top"/>
    </xf>
    <xf numFmtId="1" fontId="8" fillId="38" borderId="14" xfId="0" applyNumberFormat="1" applyFont="1" applyFill="1" applyBorder="1" applyAlignment="1">
      <alignment horizontal="center" vertical="top"/>
    </xf>
    <xf numFmtId="199" fontId="8" fillId="38" borderId="14" xfId="0" applyNumberFormat="1" applyFont="1" applyFill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37" borderId="14" xfId="0" applyFont="1" applyFill="1" applyBorder="1" applyAlignment="1">
      <alignment/>
    </xf>
    <xf numFmtId="0" fontId="8" fillId="0" borderId="0" xfId="0" applyFont="1" applyBorder="1" applyAlignment="1">
      <alignment/>
    </xf>
    <xf numFmtId="182" fontId="8" fillId="0" borderId="0" xfId="53" applyFont="1" applyBorder="1" applyAlignment="1">
      <alignment/>
    </xf>
    <xf numFmtId="9" fontId="63" fillId="36" borderId="14" xfId="56" applyFont="1" applyFill="1" applyBorder="1" applyAlignment="1">
      <alignment/>
    </xf>
    <xf numFmtId="9" fontId="8" fillId="0" borderId="0" xfId="56" applyFont="1" applyAlignment="1">
      <alignment/>
    </xf>
    <xf numFmtId="0" fontId="8" fillId="0" borderId="15" xfId="0" applyFont="1" applyBorder="1" applyAlignment="1">
      <alignment/>
    </xf>
    <xf numFmtId="180" fontId="63" fillId="36" borderId="14" xfId="5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10" fontId="63" fillId="36" borderId="14" xfId="56" applyNumberFormat="1" applyFont="1" applyFill="1" applyBorder="1" applyAlignment="1">
      <alignment/>
    </xf>
    <xf numFmtId="9" fontId="8" fillId="0" borderId="14" xfId="56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180" fontId="9" fillId="0" borderId="14" xfId="50" applyFont="1" applyBorder="1" applyAlignment="1">
      <alignment horizontal="center"/>
    </xf>
    <xf numFmtId="0" fontId="14" fillId="0" borderId="14" xfId="0" applyFont="1" applyBorder="1" applyAlignment="1">
      <alignment/>
    </xf>
    <xf numFmtId="0" fontId="64" fillId="36" borderId="16" xfId="0" applyFont="1" applyFill="1" applyBorder="1" applyAlignment="1">
      <alignment horizontal="justify" vertical="center" wrapText="1"/>
    </xf>
    <xf numFmtId="205" fontId="64" fillId="36" borderId="17" xfId="0" applyNumberFormat="1" applyFont="1" applyFill="1" applyBorder="1" applyAlignment="1">
      <alignment horizontal="center" vertical="center" wrapText="1"/>
    </xf>
    <xf numFmtId="6" fontId="64" fillId="36" borderId="18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80" fontId="8" fillId="0" borderId="0" xfId="50" applyFont="1" applyBorder="1" applyAlignment="1">
      <alignment/>
    </xf>
    <xf numFmtId="180" fontId="8" fillId="0" borderId="0" xfId="50" applyFont="1" applyAlignment="1">
      <alignment/>
    </xf>
    <xf numFmtId="180" fontId="63" fillId="36" borderId="0" xfId="50" applyFont="1" applyFill="1" applyAlignment="1">
      <alignment/>
    </xf>
    <xf numFmtId="186" fontId="63" fillId="36" borderId="14" xfId="53" applyNumberFormat="1" applyFont="1" applyFill="1" applyBorder="1" applyAlignment="1">
      <alignment/>
    </xf>
    <xf numFmtId="9" fontId="8" fillId="0" borderId="0" xfId="0" applyNumberFormat="1" applyFont="1" applyAlignment="1">
      <alignment/>
    </xf>
    <xf numFmtId="9" fontId="13" fillId="0" borderId="19" xfId="0" applyNumberFormat="1" applyFont="1" applyBorder="1" applyAlignment="1">
      <alignment horizontal="center" vertical="center" wrapText="1"/>
    </xf>
    <xf numFmtId="9" fontId="13" fillId="0" borderId="2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10" fontId="65" fillId="36" borderId="14" xfId="50" applyNumberFormat="1" applyFont="1" applyFill="1" applyBorder="1" applyAlignment="1">
      <alignment/>
    </xf>
    <xf numFmtId="179" fontId="8" fillId="0" borderId="0" xfId="0" applyNumberFormat="1" applyFont="1" applyAlignment="1">
      <alignment/>
    </xf>
    <xf numFmtId="9" fontId="8" fillId="0" borderId="0" xfId="50" applyNumberFormat="1" applyFont="1" applyAlignment="1">
      <alignment/>
    </xf>
    <xf numFmtId="10" fontId="8" fillId="0" borderId="0" xfId="0" applyNumberFormat="1" applyFont="1" applyAlignment="1">
      <alignment/>
    </xf>
    <xf numFmtId="186" fontId="8" fillId="0" borderId="0" xfId="53" applyNumberFormat="1" applyFont="1" applyAlignment="1">
      <alignment/>
    </xf>
    <xf numFmtId="0" fontId="9" fillId="39" borderId="0" xfId="0" applyFont="1" applyFill="1" applyAlignment="1">
      <alignment/>
    </xf>
    <xf numFmtId="10" fontId="8" fillId="0" borderId="0" xfId="56" applyNumberFormat="1" applyFont="1" applyAlignment="1">
      <alignment/>
    </xf>
    <xf numFmtId="182" fontId="9" fillId="0" borderId="14" xfId="0" applyNumberFormat="1" applyFont="1" applyBorder="1" applyAlignment="1">
      <alignment/>
    </xf>
    <xf numFmtId="9" fontId="9" fillId="0" borderId="14" xfId="56" applyFont="1" applyBorder="1" applyAlignment="1">
      <alignment/>
    </xf>
    <xf numFmtId="182" fontId="8" fillId="0" borderId="14" xfId="0" applyNumberFormat="1" applyFont="1" applyBorder="1" applyAlignment="1">
      <alignment/>
    </xf>
    <xf numFmtId="182" fontId="8" fillId="0" borderId="0" xfId="0" applyNumberFormat="1" applyFont="1" applyAlignment="1">
      <alignment/>
    </xf>
    <xf numFmtId="180" fontId="8" fillId="0" borderId="14" xfId="50" applyFont="1" applyBorder="1" applyAlignment="1">
      <alignment/>
    </xf>
    <xf numFmtId="0" fontId="8" fillId="0" borderId="14" xfId="0" applyFont="1" applyBorder="1" applyAlignment="1">
      <alignment horizontal="right"/>
    </xf>
    <xf numFmtId="0" fontId="9" fillId="40" borderId="21" xfId="0" applyFont="1" applyFill="1" applyBorder="1" applyAlignment="1">
      <alignment/>
    </xf>
    <xf numFmtId="180" fontId="9" fillId="41" borderId="21" xfId="50" applyFont="1" applyFill="1" applyBorder="1" applyAlignment="1">
      <alignment/>
    </xf>
    <xf numFmtId="10" fontId="8" fillId="0" borderId="14" xfId="56" applyNumberFormat="1" applyFont="1" applyBorder="1" applyAlignment="1">
      <alignment/>
    </xf>
    <xf numFmtId="0" fontId="8" fillId="40" borderId="14" xfId="0" applyFont="1" applyFill="1" applyBorder="1" applyAlignment="1">
      <alignment/>
    </xf>
    <xf numFmtId="180" fontId="8" fillId="41" borderId="14" xfId="50" applyFont="1" applyFill="1" applyBorder="1" applyAlignment="1">
      <alignment/>
    </xf>
    <xf numFmtId="0" fontId="9" fillId="0" borderId="21" xfId="0" applyFont="1" applyBorder="1" applyAlignment="1">
      <alignment/>
    </xf>
    <xf numFmtId="180" fontId="8" fillId="0" borderId="21" xfId="50" applyFont="1" applyBorder="1" applyAlignment="1">
      <alignment/>
    </xf>
    <xf numFmtId="0" fontId="8" fillId="0" borderId="21" xfId="0" applyFont="1" applyBorder="1" applyAlignment="1">
      <alignment/>
    </xf>
    <xf numFmtId="0" fontId="9" fillId="42" borderId="14" xfId="0" applyFont="1" applyFill="1" applyBorder="1" applyAlignment="1">
      <alignment/>
    </xf>
    <xf numFmtId="179" fontId="8" fillId="42" borderId="14" xfId="48" applyFont="1" applyFill="1" applyBorder="1" applyAlignment="1">
      <alignment/>
    </xf>
    <xf numFmtId="0" fontId="14" fillId="0" borderId="22" xfId="0" applyFont="1" applyBorder="1" applyAlignment="1">
      <alignment/>
    </xf>
    <xf numFmtId="0" fontId="9" fillId="0" borderId="22" xfId="0" applyFont="1" applyBorder="1" applyAlignment="1">
      <alignment/>
    </xf>
    <xf numFmtId="180" fontId="8" fillId="0" borderId="22" xfId="50" applyFont="1" applyBorder="1" applyAlignment="1">
      <alignment/>
    </xf>
    <xf numFmtId="0" fontId="8" fillId="0" borderId="22" xfId="0" applyFont="1" applyBorder="1" applyAlignment="1">
      <alignment/>
    </xf>
    <xf numFmtId="182" fontId="8" fillId="42" borderId="14" xfId="53" applyFont="1" applyFill="1" applyBorder="1" applyAlignment="1">
      <alignment/>
    </xf>
    <xf numFmtId="0" fontId="14" fillId="0" borderId="0" xfId="0" applyFont="1" applyAlignment="1">
      <alignment/>
    </xf>
    <xf numFmtId="182" fontId="9" fillId="0" borderId="0" xfId="0" applyNumberFormat="1" applyFont="1" applyAlignment="1">
      <alignment/>
    </xf>
    <xf numFmtId="182" fontId="9" fillId="0" borderId="0" xfId="53" applyFont="1" applyAlignment="1">
      <alignment/>
    </xf>
    <xf numFmtId="185" fontId="9" fillId="0" borderId="14" xfId="53" applyNumberFormat="1" applyFont="1" applyBorder="1" applyAlignment="1">
      <alignment/>
    </xf>
    <xf numFmtId="185" fontId="9" fillId="0" borderId="0" xfId="53" applyNumberFormat="1" applyFont="1" applyAlignment="1">
      <alignment/>
    </xf>
    <xf numFmtId="185" fontId="9" fillId="0" borderId="14" xfId="53" applyNumberFormat="1" applyFont="1" applyBorder="1" applyAlignment="1">
      <alignment horizontal="center"/>
    </xf>
    <xf numFmtId="186" fontId="9" fillId="0" borderId="14" xfId="53" applyNumberFormat="1" applyFont="1" applyBorder="1" applyAlignment="1">
      <alignment/>
    </xf>
    <xf numFmtId="9" fontId="9" fillId="0" borderId="14" xfId="53" applyNumberFormat="1" applyFont="1" applyBorder="1" applyAlignment="1">
      <alignment/>
    </xf>
    <xf numFmtId="9" fontId="9" fillId="0" borderId="0" xfId="53" applyNumberFormat="1" applyFont="1" applyAlignment="1">
      <alignment/>
    </xf>
    <xf numFmtId="187" fontId="8" fillId="0" borderId="0" xfId="50" applyNumberFormat="1" applyFont="1" applyAlignment="1">
      <alignment/>
    </xf>
    <xf numFmtId="10" fontId="63" fillId="36" borderId="0" xfId="56" applyNumberFormat="1" applyFont="1" applyFill="1" applyAlignment="1">
      <alignment/>
    </xf>
    <xf numFmtId="9" fontId="9" fillId="40" borderId="14" xfId="53" applyNumberFormat="1" applyFont="1" applyFill="1" applyBorder="1" applyAlignment="1">
      <alignment/>
    </xf>
    <xf numFmtId="180" fontId="65" fillId="36" borderId="14" xfId="50" applyFont="1" applyFill="1" applyBorder="1" applyAlignment="1">
      <alignment/>
    </xf>
    <xf numFmtId="0" fontId="8" fillId="43" borderId="0" xfId="0" applyFont="1" applyFill="1" applyAlignment="1">
      <alignment/>
    </xf>
    <xf numFmtId="9" fontId="9" fillId="43" borderId="0" xfId="53" applyNumberFormat="1" applyFont="1" applyFill="1" applyAlignment="1">
      <alignment/>
    </xf>
    <xf numFmtId="9" fontId="63" fillId="36" borderId="0" xfId="50" applyNumberFormat="1" applyFont="1" applyFill="1" applyAlignment="1">
      <alignment/>
    </xf>
    <xf numFmtId="0" fontId="8" fillId="44" borderId="14" xfId="0" applyFont="1" applyFill="1" applyBorder="1" applyAlignment="1">
      <alignment/>
    </xf>
    <xf numFmtId="180" fontId="8" fillId="0" borderId="0" xfId="0" applyNumberFormat="1" applyFont="1" applyAlignment="1">
      <alignment/>
    </xf>
    <xf numFmtId="0" fontId="9" fillId="41" borderId="14" xfId="0" applyFont="1" applyFill="1" applyBorder="1" applyAlignment="1">
      <alignment wrapText="1"/>
    </xf>
    <xf numFmtId="9" fontId="9" fillId="41" borderId="14" xfId="53" applyNumberFormat="1" applyFont="1" applyFill="1" applyBorder="1" applyAlignment="1">
      <alignment/>
    </xf>
    <xf numFmtId="180" fontId="9" fillId="0" borderId="14" xfId="50" applyFont="1" applyBorder="1" applyAlignment="1">
      <alignment/>
    </xf>
    <xf numFmtId="0" fontId="9" fillId="45" borderId="14" xfId="0" applyFont="1" applyFill="1" applyBorder="1" applyAlignment="1">
      <alignment wrapText="1"/>
    </xf>
    <xf numFmtId="184" fontId="8" fillId="0" borderId="0" xfId="50" applyNumberFormat="1" applyFont="1" applyAlignment="1">
      <alignment/>
    </xf>
    <xf numFmtId="0" fontId="8" fillId="0" borderId="14" xfId="0" applyFont="1" applyBorder="1" applyAlignment="1">
      <alignment horizontal="center"/>
    </xf>
    <xf numFmtId="9" fontId="9" fillId="0" borderId="14" xfId="53" applyNumberFormat="1" applyFont="1" applyBorder="1" applyAlignment="1">
      <alignment horizontal="center"/>
    </xf>
    <xf numFmtId="184" fontId="8" fillId="0" borderId="14" xfId="50" applyNumberFormat="1" applyFont="1" applyBorder="1" applyAlignment="1">
      <alignment/>
    </xf>
    <xf numFmtId="188" fontId="8" fillId="0" borderId="14" xfId="53" applyNumberFormat="1" applyFont="1" applyBorder="1" applyAlignment="1">
      <alignment/>
    </xf>
    <xf numFmtId="187" fontId="8" fillId="0" borderId="0" xfId="0" applyNumberFormat="1" applyFont="1" applyAlignment="1">
      <alignment/>
    </xf>
    <xf numFmtId="0" fontId="9" fillId="41" borderId="0" xfId="0" applyFont="1" applyFill="1" applyAlignment="1">
      <alignment/>
    </xf>
    <xf numFmtId="182" fontId="9" fillId="41" borderId="0" xfId="0" applyNumberFormat="1" applyFont="1" applyFill="1" applyAlignment="1">
      <alignment/>
    </xf>
    <xf numFmtId="0" fontId="9" fillId="41" borderId="14" xfId="0" applyFont="1" applyFill="1" applyBorder="1" applyAlignment="1">
      <alignment/>
    </xf>
    <xf numFmtId="186" fontId="8" fillId="0" borderId="14" xfId="53" applyNumberFormat="1" applyFont="1" applyBorder="1" applyAlignment="1">
      <alignment/>
    </xf>
    <xf numFmtId="186" fontId="8" fillId="0" borderId="0" xfId="0" applyNumberFormat="1" applyFont="1" applyAlignment="1">
      <alignment/>
    </xf>
    <xf numFmtId="0" fontId="9" fillId="46" borderId="14" xfId="0" applyFont="1" applyFill="1" applyBorder="1" applyAlignment="1">
      <alignment/>
    </xf>
    <xf numFmtId="179" fontId="8" fillId="0" borderId="14" xfId="0" applyNumberFormat="1" applyFont="1" applyBorder="1" applyAlignment="1">
      <alignment/>
    </xf>
    <xf numFmtId="182" fontId="8" fillId="0" borderId="0" xfId="53" applyFont="1" applyAlignment="1">
      <alignment/>
    </xf>
    <xf numFmtId="0" fontId="66" fillId="38" borderId="14" xfId="0" applyFont="1" applyFill="1" applyBorder="1" applyAlignment="1">
      <alignment/>
    </xf>
    <xf numFmtId="0" fontId="67" fillId="38" borderId="14" xfId="0" applyFont="1" applyFill="1" applyBorder="1" applyAlignment="1">
      <alignment/>
    </xf>
    <xf numFmtId="182" fontId="67" fillId="38" borderId="14" xfId="53" applyFont="1" applyFill="1" applyBorder="1" applyAlignment="1">
      <alignment/>
    </xf>
    <xf numFmtId="182" fontId="8" fillId="0" borderId="0" xfId="53" applyFont="1" applyFill="1" applyBorder="1" applyAlignment="1">
      <alignment/>
    </xf>
    <xf numFmtId="10" fontId="67" fillId="38" borderId="14" xfId="56" applyNumberFormat="1" applyFont="1" applyFill="1" applyBorder="1" applyAlignment="1">
      <alignment/>
    </xf>
    <xf numFmtId="182" fontId="8" fillId="0" borderId="0" xfId="53" applyFont="1" applyFill="1" applyBorder="1" applyAlignment="1">
      <alignment wrapText="1"/>
    </xf>
    <xf numFmtId="9" fontId="8" fillId="0" borderId="0" xfId="56" applyFont="1" applyFill="1" applyBorder="1" applyAlignment="1">
      <alignment/>
    </xf>
    <xf numFmtId="179" fontId="8" fillId="0" borderId="0" xfId="48" applyFont="1" applyFill="1" applyBorder="1" applyAlignment="1">
      <alignment/>
    </xf>
    <xf numFmtId="10" fontId="8" fillId="0" borderId="0" xfId="56" applyNumberFormat="1" applyFont="1" applyFill="1" applyBorder="1" applyAlignment="1">
      <alignment/>
    </xf>
    <xf numFmtId="0" fontId="8" fillId="0" borderId="0" xfId="53" applyNumberFormat="1" applyFont="1" applyAlignment="1">
      <alignment/>
    </xf>
    <xf numFmtId="188" fontId="8" fillId="0" borderId="14" xfId="0" applyNumberFormat="1" applyFont="1" applyBorder="1" applyAlignment="1">
      <alignment/>
    </xf>
    <xf numFmtId="188" fontId="8" fillId="0" borderId="0" xfId="0" applyNumberFormat="1" applyFont="1" applyAlignment="1">
      <alignment/>
    </xf>
    <xf numFmtId="178" fontId="8" fillId="38" borderId="14" xfId="51" applyFont="1" applyFill="1" applyBorder="1" applyAlignment="1">
      <alignment/>
    </xf>
    <xf numFmtId="0" fontId="8" fillId="41" borderId="14" xfId="0" applyFont="1" applyFill="1" applyBorder="1" applyAlignment="1">
      <alignment/>
    </xf>
    <xf numFmtId="0" fontId="8" fillId="0" borderId="14" xfId="0" applyFont="1" applyBorder="1" applyAlignment="1">
      <alignment wrapText="1"/>
    </xf>
    <xf numFmtId="10" fontId="8" fillId="0" borderId="14" xfId="0" applyNumberFormat="1" applyFont="1" applyBorder="1" applyAlignment="1">
      <alignment/>
    </xf>
    <xf numFmtId="9" fontId="8" fillId="0" borderId="14" xfId="0" applyNumberFormat="1" applyFont="1" applyBorder="1" applyAlignment="1">
      <alignment/>
    </xf>
    <xf numFmtId="10" fontId="9" fillId="0" borderId="14" xfId="0" applyNumberFormat="1" applyFont="1" applyBorder="1" applyAlignment="1">
      <alignment/>
    </xf>
    <xf numFmtId="0" fontId="9" fillId="47" borderId="14" xfId="0" applyFont="1" applyFill="1" applyBorder="1" applyAlignment="1">
      <alignment wrapText="1"/>
    </xf>
    <xf numFmtId="179" fontId="9" fillId="47" borderId="14" xfId="0" applyNumberFormat="1" applyFont="1" applyFill="1" applyBorder="1" applyAlignment="1">
      <alignment/>
    </xf>
    <xf numFmtId="44" fontId="8" fillId="0" borderId="0" xfId="0" applyNumberFormat="1" applyFont="1" applyAlignment="1">
      <alignment/>
    </xf>
    <xf numFmtId="186" fontId="9" fillId="0" borderId="0" xfId="53" applyNumberFormat="1" applyFont="1" applyAlignment="1">
      <alignment/>
    </xf>
    <xf numFmtId="188" fontId="8" fillId="0" borderId="0" xfId="53" applyNumberFormat="1" applyFont="1" applyAlignment="1">
      <alignment/>
    </xf>
    <xf numFmtId="189" fontId="8" fillId="0" borderId="0" xfId="50" applyNumberFormat="1" applyFont="1" applyAlignment="1">
      <alignment/>
    </xf>
    <xf numFmtId="0" fontId="9" fillId="0" borderId="14" xfId="0" applyFont="1" applyFill="1" applyBorder="1" applyAlignment="1">
      <alignment/>
    </xf>
    <xf numFmtId="0" fontId="8" fillId="42" borderId="14" xfId="0" applyFont="1" applyFill="1" applyBorder="1" applyAlignment="1">
      <alignment/>
    </xf>
    <xf numFmtId="0" fontId="9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0" xfId="0" applyNumberFormat="1" applyFont="1" applyFill="1" applyAlignment="1">
      <alignment/>
    </xf>
    <xf numFmtId="0" fontId="9" fillId="37" borderId="0" xfId="0" applyFont="1" applyFill="1" applyAlignment="1">
      <alignment horizontal="center"/>
    </xf>
    <xf numFmtId="182" fontId="8" fillId="37" borderId="0" xfId="53" applyFont="1" applyFill="1" applyAlignment="1">
      <alignment/>
    </xf>
    <xf numFmtId="182" fontId="9" fillId="37" borderId="0" xfId="53" applyFont="1" applyFill="1" applyAlignment="1">
      <alignment/>
    </xf>
    <xf numFmtId="179" fontId="9" fillId="37" borderId="0" xfId="0" applyNumberFormat="1" applyFont="1" applyFill="1" applyAlignment="1">
      <alignment/>
    </xf>
    <xf numFmtId="182" fontId="9" fillId="37" borderId="0" xfId="0" applyNumberFormat="1" applyFont="1" applyFill="1" applyAlignment="1">
      <alignment/>
    </xf>
    <xf numFmtId="182" fontId="8" fillId="37" borderId="0" xfId="0" applyNumberFormat="1" applyFont="1" applyFill="1" applyAlignment="1">
      <alignment/>
    </xf>
    <xf numFmtId="9" fontId="8" fillId="37" borderId="0" xfId="0" applyNumberFormat="1" applyFont="1" applyFill="1" applyAlignment="1">
      <alignment/>
    </xf>
    <xf numFmtId="179" fontId="8" fillId="37" borderId="0" xfId="0" applyNumberFormat="1" applyFont="1" applyFill="1" applyAlignment="1">
      <alignment/>
    </xf>
    <xf numFmtId="180" fontId="8" fillId="37" borderId="0" xfId="50" applyFont="1" applyFill="1" applyAlignment="1">
      <alignment/>
    </xf>
    <xf numFmtId="0" fontId="67" fillId="37" borderId="0" xfId="0" applyFont="1" applyFill="1" applyAlignment="1">
      <alignment/>
    </xf>
    <xf numFmtId="9" fontId="65" fillId="37" borderId="0" xfId="53" applyNumberFormat="1" applyFont="1" applyFill="1" applyAlignment="1">
      <alignment/>
    </xf>
    <xf numFmtId="0" fontId="66" fillId="42" borderId="0" xfId="0" applyFont="1" applyFill="1" applyAlignment="1">
      <alignment/>
    </xf>
    <xf numFmtId="0" fontId="67" fillId="42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48" borderId="0" xfId="0" applyFont="1" applyFill="1" applyAlignment="1">
      <alignment/>
    </xf>
    <xf numFmtId="179" fontId="8" fillId="48" borderId="0" xfId="0" applyNumberFormat="1" applyFont="1" applyFill="1" applyAlignment="1">
      <alignment/>
    </xf>
    <xf numFmtId="199" fontId="0" fillId="0" borderId="0" xfId="0" applyNumberFormat="1" applyAlignment="1">
      <alignment/>
    </xf>
    <xf numFmtId="3" fontId="0" fillId="38" borderId="14" xfId="0" applyNumberFormat="1" applyFill="1" applyBorder="1" applyAlignment="1">
      <alignment/>
    </xf>
    <xf numFmtId="0" fontId="8" fillId="37" borderId="14" xfId="0" applyNumberFormat="1" applyFont="1" applyFill="1" applyBorder="1" applyAlignment="1">
      <alignment horizontal="center" vertical="top"/>
    </xf>
    <xf numFmtId="4" fontId="0" fillId="0" borderId="14" xfId="0" applyNumberFormat="1" applyBorder="1" applyAlignment="1">
      <alignment/>
    </xf>
    <xf numFmtId="0" fontId="14" fillId="0" borderId="14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180" fontId="8" fillId="0" borderId="14" xfId="50" applyFont="1" applyFill="1" applyBorder="1" applyAlignment="1">
      <alignment/>
    </xf>
    <xf numFmtId="0" fontId="8" fillId="0" borderId="14" xfId="0" applyFont="1" applyFill="1" applyBorder="1" applyAlignment="1">
      <alignment horizontal="right"/>
    </xf>
    <xf numFmtId="0" fontId="9" fillId="0" borderId="21" xfId="0" applyFont="1" applyFill="1" applyBorder="1" applyAlignment="1">
      <alignment/>
    </xf>
    <xf numFmtId="180" fontId="9" fillId="0" borderId="21" xfId="50" applyFont="1" applyFill="1" applyBorder="1" applyAlignment="1">
      <alignment/>
    </xf>
    <xf numFmtId="10" fontId="8" fillId="0" borderId="14" xfId="56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82" fontId="8" fillId="0" borderId="0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 horizontal="center" vertical="center"/>
    </xf>
    <xf numFmtId="180" fontId="0" fillId="0" borderId="0" xfId="0" applyNumberFormat="1" applyAlignment="1">
      <alignment/>
    </xf>
    <xf numFmtId="180" fontId="63" fillId="0" borderId="0" xfId="50" applyFont="1" applyFill="1" applyBorder="1" applyAlignment="1">
      <alignment/>
    </xf>
    <xf numFmtId="180" fontId="8" fillId="0" borderId="0" xfId="50" applyFont="1" applyFill="1" applyBorder="1" applyAlignment="1">
      <alignment/>
    </xf>
    <xf numFmtId="0" fontId="68" fillId="0" borderId="0" xfId="0" applyFont="1" applyAlignment="1">
      <alignment horizontal="center" vertical="center" readingOrder="1"/>
    </xf>
    <xf numFmtId="0" fontId="14" fillId="0" borderId="15" xfId="0" applyFont="1" applyBorder="1" applyAlignment="1">
      <alignment/>
    </xf>
    <xf numFmtId="0" fontId="8" fillId="0" borderId="24" xfId="0" applyFont="1" applyBorder="1" applyAlignment="1">
      <alignment/>
    </xf>
    <xf numFmtId="182" fontId="8" fillId="0" borderId="15" xfId="53" applyFont="1" applyBorder="1" applyAlignment="1">
      <alignment/>
    </xf>
    <xf numFmtId="186" fontId="8" fillId="0" borderId="0" xfId="53" applyNumberFormat="1" applyFont="1" applyBorder="1" applyAlignment="1">
      <alignment/>
    </xf>
    <xf numFmtId="186" fontId="9" fillId="0" borderId="0" xfId="53" applyNumberFormat="1" applyFont="1" applyBorder="1" applyAlignment="1">
      <alignment/>
    </xf>
    <xf numFmtId="186" fontId="66" fillId="0" borderId="14" xfId="53" applyNumberFormat="1" applyFont="1" applyBorder="1" applyAlignment="1">
      <alignment/>
    </xf>
    <xf numFmtId="180" fontId="63" fillId="36" borderId="15" xfId="5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208" fontId="8" fillId="37" borderId="14" xfId="0" applyNumberFormat="1" applyFont="1" applyFill="1" applyBorder="1" applyAlignment="1">
      <alignment horizontal="center" vertical="top"/>
    </xf>
    <xf numFmtId="208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9" fontId="0" fillId="0" borderId="14" xfId="56" applyFont="1" applyBorder="1" applyAlignment="1">
      <alignment/>
    </xf>
    <xf numFmtId="9" fontId="0" fillId="0" borderId="0" xfId="56" applyFont="1" applyAlignment="1">
      <alignment/>
    </xf>
    <xf numFmtId="9" fontId="8" fillId="0" borderId="15" xfId="56" applyFont="1" applyBorder="1" applyAlignment="1">
      <alignment/>
    </xf>
    <xf numFmtId="10" fontId="0" fillId="0" borderId="0" xfId="56" applyNumberFormat="1" applyFont="1" applyAlignment="1">
      <alignment/>
    </xf>
    <xf numFmtId="10" fontId="0" fillId="0" borderId="0" xfId="0" applyNumberFormat="1" applyAlignment="1">
      <alignment/>
    </xf>
    <xf numFmtId="10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4" fontId="8" fillId="37" borderId="14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180" fontId="8" fillId="38" borderId="14" xfId="50" applyFont="1" applyFill="1" applyBorder="1" applyAlignment="1">
      <alignment/>
    </xf>
    <xf numFmtId="10" fontId="8" fillId="38" borderId="14" xfId="56" applyNumberFormat="1" applyFont="1" applyFill="1" applyBorder="1" applyAlignment="1">
      <alignment/>
    </xf>
    <xf numFmtId="10" fontId="13" fillId="0" borderId="25" xfId="0" applyNumberFormat="1" applyFont="1" applyBorder="1" applyAlignment="1">
      <alignment horizontal="center" vertical="center" wrapText="1"/>
    </xf>
    <xf numFmtId="10" fontId="13" fillId="0" borderId="26" xfId="0" applyNumberFormat="1" applyFont="1" applyBorder="1" applyAlignment="1">
      <alignment horizontal="center" vertical="center" wrapText="1"/>
    </xf>
    <xf numFmtId="10" fontId="8" fillId="0" borderId="14" xfId="50" applyNumberFormat="1" applyFont="1" applyBorder="1" applyAlignment="1">
      <alignment/>
    </xf>
    <xf numFmtId="0" fontId="9" fillId="0" borderId="23" xfId="0" applyFont="1" applyBorder="1" applyAlignment="1">
      <alignment horizontal="center"/>
    </xf>
    <xf numFmtId="182" fontId="8" fillId="0" borderId="23" xfId="0" applyNumberFormat="1" applyFont="1" applyBorder="1" applyAlignment="1">
      <alignment/>
    </xf>
    <xf numFmtId="0" fontId="8" fillId="38" borderId="14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82" fontId="9" fillId="0" borderId="0" xfId="53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5" fillId="36" borderId="14" xfId="0" applyFont="1" applyFill="1" applyBorder="1" applyAlignment="1">
      <alignment horizontal="center"/>
    </xf>
    <xf numFmtId="0" fontId="9" fillId="37" borderId="15" xfId="0" applyFont="1" applyFill="1" applyBorder="1" applyAlignment="1">
      <alignment horizontal="center" wrapText="1"/>
    </xf>
    <xf numFmtId="0" fontId="9" fillId="37" borderId="23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textRotation="255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0" fillId="0" borderId="21" xfId="0" applyBorder="1" applyAlignment="1">
      <alignment horizontal="center" textRotation="90" wrapText="1"/>
    </xf>
    <xf numFmtId="0" fontId="0" fillId="0" borderId="27" xfId="0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Currency" xfId="51"/>
    <cellStyle name="Currency [0]" xfId="52"/>
    <cellStyle name="Moneda_Hoja1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Proyeccion de las ventas</a:t>
            </a:r>
          </a:p>
        </c:rich>
      </c:tx>
      <c:layout>
        <c:manualLayout>
          <c:xMode val="factor"/>
          <c:yMode val="factor"/>
          <c:x val="-0.00225"/>
          <c:y val="-0.01275"/>
        </c:manualLayout>
      </c:layout>
      <c:spPr>
        <a:noFill/>
        <a:ln w="3175"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2925"/>
          <c:w val="0.9545"/>
          <c:h val="0.84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Ventas!$C$15:$G$15</c:f>
              <c:strCache/>
            </c:strRef>
          </c:cat>
          <c:val>
            <c:numRef>
              <c:f>Ventas!$C$16:$G$16</c:f>
              <c:numCache/>
            </c:numRef>
          </c:val>
          <c:shape val="cylinder"/>
        </c:ser>
        <c:shape val="cylinder"/>
        <c:axId val="15006827"/>
        <c:axId val="46376076"/>
      </c:bar3DChart>
      <c:catAx>
        <c:axId val="150068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76076"/>
        <c:crosses val="autoZero"/>
        <c:auto val="1"/>
        <c:lblOffset val="100"/>
        <c:tickLblSkip val="1"/>
        <c:noMultiLvlLbl val="0"/>
      </c:catAx>
      <c:valAx>
        <c:axId val="46376076"/>
        <c:scaling>
          <c:orientation val="minMax"/>
        </c:scaling>
        <c:axPos val="l"/>
        <c:delete val="1"/>
        <c:majorTickMark val="out"/>
        <c:minorTickMark val="none"/>
        <c:tickLblPos val="nextTo"/>
        <c:crossAx val="150068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Margen bruto</a:t>
            </a:r>
          </a:p>
        </c:rich>
      </c:tx>
      <c:layout>
        <c:manualLayout>
          <c:xMode val="factor"/>
          <c:yMode val="factor"/>
          <c:x val="-0.0045"/>
          <c:y val="-0.007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1"/>
          <c:y val="0.1865"/>
          <c:w val="0.95525"/>
          <c:h val="0.7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'Indicadores financieros'!$A$64</c:f>
              <c:strCache>
                <c:ptCount val="1"/>
                <c:pt idx="0">
                  <c:v>Margen bruto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'Indicadores financieros'!$B$63:$F$63</c:f>
              <c:strCache/>
            </c:strRef>
          </c:cat>
          <c:val>
            <c:numRef>
              <c:f>'Indicadores financieros'!$B$64:$F$64</c:f>
              <c:numCache/>
            </c:numRef>
          </c:val>
          <c:shape val="cylinder"/>
        </c:ser>
        <c:shape val="cylinder"/>
        <c:axId val="46009211"/>
        <c:axId val="33708444"/>
      </c:bar3DChart>
      <c:catAx>
        <c:axId val="46009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08444"/>
        <c:crosses val="autoZero"/>
        <c:auto val="1"/>
        <c:lblOffset val="100"/>
        <c:tickLblSkip val="1"/>
        <c:noMultiLvlLbl val="0"/>
      </c:catAx>
      <c:valAx>
        <c:axId val="33708444"/>
        <c:scaling>
          <c:orientation val="minMax"/>
        </c:scaling>
        <c:axPos val="l"/>
        <c:delete val="1"/>
        <c:majorTickMark val="out"/>
        <c:minorTickMark val="none"/>
        <c:tickLblPos val="nextTo"/>
        <c:crossAx val="460092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75"/>
          <c:y val="0.18275"/>
          <c:w val="0.7255"/>
          <c:h val="0.81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'Indicadores financieros'!$A$68</c:f>
              <c:strCache>
                <c:ptCount val="1"/>
                <c:pt idx="0">
                  <c:v>Margen ebitda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'Indicadores financieros'!$B$66:$F$66</c:f>
              <c:strCache/>
            </c:strRef>
          </c:cat>
          <c:val>
            <c:numRef>
              <c:f>'Indicadores financieros'!$B$68:$F$68</c:f>
              <c:numCache/>
            </c:numRef>
          </c:val>
        </c:ser>
        <c:axId val="48493597"/>
        <c:axId val="6258430"/>
      </c:barChart>
      <c:catAx>
        <c:axId val="48493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8430"/>
        <c:crosses val="autoZero"/>
        <c:auto val="1"/>
        <c:lblOffset val="100"/>
        <c:tickLblSkip val="1"/>
        <c:noMultiLvlLbl val="0"/>
      </c:catAx>
      <c:valAx>
        <c:axId val="62584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93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15"/>
          <c:y val="0.52375"/>
          <c:w val="0.226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5"/>
      <c:rotY val="20"/>
      <c:depthPercent val="100"/>
      <c:rAngAx val="1"/>
    </c:view3D>
    <c:plotArea>
      <c:layout>
        <c:manualLayout>
          <c:xMode val="edge"/>
          <c:yMode val="edge"/>
          <c:x val="0.021"/>
          <c:y val="0.03525"/>
          <c:w val="0.745"/>
          <c:h val="0.92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'Indicadores financieros'!$A$83</c:f>
              <c:strCache>
                <c:ptCount val="1"/>
                <c:pt idx="0">
                  <c:v>ventas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'Indicadores financieros'!$B$66:$F$66</c:f>
              <c:strCache/>
            </c:strRef>
          </c:cat>
          <c:val>
            <c:numRef>
              <c:f>'Indicadores financieros'!$B$83:$F$83</c:f>
              <c:numCache/>
            </c:numRef>
          </c:val>
          <c:shape val="box"/>
        </c:ser>
        <c:ser>
          <c:idx val="1"/>
          <c:order val="1"/>
          <c:tx>
            <c:strRef>
              <c:f>'Indicadores financieros'!$A$84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'Indicadores financieros'!$B$66:$F$66</c:f>
              <c:strCache/>
            </c:strRef>
          </c:cat>
          <c:val>
            <c:numRef>
              <c:f>'Indicadores financieros'!$B$84:$F$84</c:f>
              <c:numCache/>
            </c:numRef>
          </c:val>
          <c:shape val="box"/>
        </c:ser>
        <c:ser>
          <c:idx val="2"/>
          <c:order val="2"/>
          <c:tx>
            <c:strRef>
              <c:f>'Indicadores financieros'!$A$85</c:f>
              <c:strCache>
                <c:ptCount val="1"/>
                <c:pt idx="0">
                  <c:v>utlidad neta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'Indicadores financieros'!$B$66:$F$66</c:f>
              <c:strCache/>
            </c:strRef>
          </c:cat>
          <c:val>
            <c:numRef>
              <c:f>'Indicadores financieros'!$B$85:$F$85</c:f>
              <c:numCache/>
            </c:numRef>
          </c:val>
          <c:shape val="box"/>
        </c:ser>
        <c:shape val="box"/>
        <c:axId val="3087935"/>
        <c:axId val="31094240"/>
      </c:bar3DChart>
      <c:catAx>
        <c:axId val="308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94240"/>
        <c:crosses val="autoZero"/>
        <c:auto val="1"/>
        <c:lblOffset val="100"/>
        <c:tickLblSkip val="1"/>
        <c:noMultiLvlLbl val="0"/>
      </c:catAx>
      <c:valAx>
        <c:axId val="310942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7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365"/>
          <c:w val="0.193"/>
          <c:h val="0.25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EVA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825"/>
          <c:y val="0.1865"/>
          <c:w val="0.96075"/>
          <c:h val="0.77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'Indicadores financieros'!$B$66:$F$66</c:f>
              <c:strCache/>
            </c:strRef>
          </c:cat>
          <c:val>
            <c:numRef>
              <c:f>'Indicadores financieros'!$B$92:$F$92</c:f>
              <c:numCache/>
            </c:numRef>
          </c:val>
          <c:shape val="cylinder"/>
        </c:ser>
        <c:shape val="cylinder"/>
        <c:axId val="63351265"/>
        <c:axId val="38166082"/>
      </c:bar3DChart>
      <c:catAx>
        <c:axId val="63351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66082"/>
        <c:crosses val="autoZero"/>
        <c:auto val="1"/>
        <c:lblOffset val="100"/>
        <c:tickLblSkip val="1"/>
        <c:noMultiLvlLbl val="0"/>
      </c:catAx>
      <c:valAx>
        <c:axId val="38166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3512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Capacidad instalada</a:t>
            </a:r>
          </a:p>
        </c:rich>
      </c:tx>
      <c:layout>
        <c:manualLayout>
          <c:xMode val="factor"/>
          <c:yMode val="factor"/>
          <c:x val="-0.00225"/>
          <c:y val="-0.0072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8725"/>
          <c:w val="0.9545"/>
          <c:h val="0.7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Ventas!$A$31:$D$31</c:f>
              <c:strCache/>
            </c:strRef>
          </c:cat>
          <c:val>
            <c:numRef>
              <c:f>Ventas!$A$32:$D$32</c:f>
              <c:numCache/>
            </c:numRef>
          </c:val>
          <c:shape val="cylinder"/>
        </c:ser>
        <c:shape val="cylinder"/>
        <c:axId val="2185485"/>
        <c:axId val="10665454"/>
      </c:bar3DChart>
      <c:catAx>
        <c:axId val="2185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65454"/>
        <c:crosses val="autoZero"/>
        <c:auto val="1"/>
        <c:lblOffset val="100"/>
        <c:tickLblSkip val="1"/>
        <c:noMultiLvlLbl val="0"/>
      </c:catAx>
      <c:valAx>
        <c:axId val="10665454"/>
        <c:scaling>
          <c:orientation val="minMax"/>
        </c:scaling>
        <c:axPos val="l"/>
        <c:delete val="1"/>
        <c:majorTickMark val="out"/>
        <c:minorTickMark val="none"/>
        <c:tickLblPos val="nextTo"/>
        <c:crossAx val="21854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4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29"/>
          <c:w val="0.717"/>
          <c:h val="0.93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Ventas!$B$17</c:f>
              <c:strCache>
                <c:ptCount val="1"/>
                <c:pt idx="0">
                  <c:v>VENTAS P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Ventas!$C$15:$G$15</c:f>
              <c:strCache/>
            </c:strRef>
          </c:cat>
          <c:val>
            <c:numRef>
              <c:f>Ventas!$C$17:$G$17</c:f>
              <c:numCache/>
            </c:numRef>
          </c:val>
          <c:shape val="cylinder"/>
        </c:ser>
        <c:ser>
          <c:idx val="1"/>
          <c:order val="1"/>
          <c:tx>
            <c:strRef>
              <c:f>Ventas!$B$18</c:f>
              <c:strCache>
                <c:ptCount val="1"/>
                <c:pt idx="0">
                  <c:v>COSTO DE VENTAS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Ventas!$C$15:$G$15</c:f>
              <c:strCache/>
            </c:strRef>
          </c:cat>
          <c:val>
            <c:numRef>
              <c:f>Ventas!$C$18:$G$18</c:f>
              <c:numCache/>
            </c:numRef>
          </c:val>
          <c:shape val="cylinder"/>
        </c:ser>
        <c:ser>
          <c:idx val="2"/>
          <c:order val="2"/>
          <c:tx>
            <c:strRef>
              <c:f>Ventas!$B$19</c:f>
              <c:strCache>
                <c:ptCount val="1"/>
                <c:pt idx="0">
                  <c:v>UTILIDAD BRUTA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Ventas!$C$15:$G$15</c:f>
              <c:strCache/>
            </c:strRef>
          </c:cat>
          <c:val>
            <c:numRef>
              <c:f>Ventas!$C$19:$G$19</c:f>
              <c:numCache/>
            </c:numRef>
          </c:val>
          <c:shape val="cylinder"/>
        </c:ser>
        <c:shape val="cylinder"/>
        <c:axId val="27916079"/>
        <c:axId val="23505104"/>
      </c:bar3DChart>
      <c:catAx>
        <c:axId val="27916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505104"/>
        <c:crosses val="autoZero"/>
        <c:auto val="1"/>
        <c:lblOffset val="100"/>
        <c:tickLblSkip val="1"/>
        <c:noMultiLvlLbl val="0"/>
      </c:catAx>
      <c:valAx>
        <c:axId val="23505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916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574"/>
          <c:w val="0.262"/>
          <c:h val="0.42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Composicion  de Financiacion del proyecto </a:t>
            </a:r>
          </a:p>
        </c:rich>
      </c:tx>
      <c:layout>
        <c:manualLayout>
          <c:xMode val="factor"/>
          <c:yMode val="factor"/>
          <c:x val="-0.003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32"/>
          <c:w val="0.8435"/>
          <c:h val="0.67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'Indicadores financieros'!$A$11:$A$12</c:f>
              <c:strCache/>
            </c:strRef>
          </c:cat>
          <c:val>
            <c:numRef>
              <c:f>'Indicadores financieros'!$B$11:$B$12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Razon corriente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335"/>
          <c:w val="0.776"/>
          <c:h val="0.87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'Indicadores financieros'!$B$21:$G$21</c:f>
              <c:strCache/>
            </c:strRef>
          </c:cat>
          <c:val>
            <c:numRef>
              <c:f>'Indicadores financieros'!$B$24:$G$24</c:f>
              <c:numCache/>
            </c:numRef>
          </c:val>
          <c:smooth val="0"/>
        </c:ser>
        <c:marker val="1"/>
        <c:axId val="65402577"/>
        <c:axId val="35816754"/>
      </c:lineChart>
      <c:catAx>
        <c:axId val="65402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816754"/>
        <c:crosses val="autoZero"/>
        <c:auto val="1"/>
        <c:lblOffset val="100"/>
        <c:tickLblSkip val="1"/>
        <c:noMultiLvlLbl val="0"/>
      </c:catAx>
      <c:valAx>
        <c:axId val="358167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02577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75"/>
          <c:y val="0.5185"/>
          <c:w val="0.17475"/>
          <c:h val="0.0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Prueba acida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3125"/>
          <c:w val="0.7775"/>
          <c:h val="0.87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'Indicadores financieros'!$B$21:$G$21</c:f>
              <c:strCache/>
            </c:strRef>
          </c:cat>
          <c:val>
            <c:numRef>
              <c:f>'Indicadores financieros'!$B$32:$G$32</c:f>
              <c:numCache/>
            </c:numRef>
          </c:val>
          <c:smooth val="0"/>
        </c:ser>
        <c:marker val="1"/>
        <c:axId val="51673075"/>
        <c:axId val="46232340"/>
      </c:lineChart>
      <c:catAx>
        <c:axId val="51673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32340"/>
        <c:crosses val="autoZero"/>
        <c:auto val="1"/>
        <c:lblOffset val="100"/>
        <c:tickLblSkip val="1"/>
        <c:noMultiLvlLbl val="0"/>
      </c:catAx>
      <c:valAx>
        <c:axId val="46232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673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"/>
          <c:y val="0.5165"/>
          <c:w val="0.17375"/>
          <c:h val="0.0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Nivel de endeudamiento</a:t>
            </a:r>
          </a:p>
        </c:rich>
      </c:tx>
      <c:layout>
        <c:manualLayout>
          <c:xMode val="factor"/>
          <c:yMode val="factor"/>
          <c:x val="-0.004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31"/>
          <c:w val="0.968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'Indicadores financieros'!$B$21:$G$21</c:f>
              <c:strCache/>
            </c:strRef>
          </c:cat>
          <c:val>
            <c:numRef>
              <c:f>'Indicadores financieros'!$B$38:$G$38</c:f>
              <c:numCache/>
            </c:numRef>
          </c:val>
        </c:ser>
        <c:axId val="55351957"/>
        <c:axId val="430710"/>
      </c:barChart>
      <c:catAx>
        <c:axId val="55351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710"/>
        <c:crosses val="autoZero"/>
        <c:auto val="1"/>
        <c:lblOffset val="100"/>
        <c:tickLblSkip val="1"/>
        <c:noMultiLvlLbl val="0"/>
      </c:catAx>
      <c:valAx>
        <c:axId val="4307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351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Leverage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3675"/>
          <c:w val="0.9687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'Indicadores financieros'!$B$28:$G$28</c:f>
              <c:strCache/>
            </c:strRef>
          </c:cat>
          <c:val>
            <c:numRef>
              <c:f>'Indicadores financieros'!$B$45:$G$45</c:f>
              <c:numCache/>
            </c:numRef>
          </c:val>
        </c:ser>
        <c:axId val="41778871"/>
        <c:axId val="26018648"/>
      </c:barChart>
      <c:catAx>
        <c:axId val="41778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18648"/>
        <c:crosses val="autoZero"/>
        <c:auto val="1"/>
        <c:lblOffset val="100"/>
        <c:tickLblSkip val="1"/>
        <c:noMultiLvlLbl val="0"/>
      </c:catAx>
      <c:valAx>
        <c:axId val="26018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778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Rentabilidad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14125"/>
          <c:w val="0.747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'Indicadores financieros'!$A$56</c:f>
              <c:strCache>
                <c:ptCount val="1"/>
                <c:pt idx="0">
                  <c:v>ROA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'Indicadores financieros'!$C$58:$G$58</c:f>
              <c:strCache/>
            </c:strRef>
          </c:cat>
          <c:val>
            <c:numRef>
              <c:f>'Indicadores financieros'!$C$56:$G$56</c:f>
              <c:numCache/>
            </c:numRef>
          </c:val>
          <c:smooth val="0"/>
        </c:ser>
        <c:ser>
          <c:idx val="1"/>
          <c:order val="1"/>
          <c:tx>
            <c:strRef>
              <c:f>'Indicadores financieros'!$A$61</c:f>
              <c:strCache>
                <c:ptCount val="1"/>
                <c:pt idx="0">
                  <c:v>ROE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'Indicadores financieros'!$C$58:$G$58</c:f>
              <c:strCache/>
            </c:strRef>
          </c:cat>
          <c:val>
            <c:numRef>
              <c:f>'Indicadores financieros'!$C$61:$G$61</c:f>
              <c:numCache/>
            </c:numRef>
          </c:val>
          <c:smooth val="0"/>
        </c:ser>
        <c:marker val="1"/>
        <c:axId val="40780889"/>
        <c:axId val="63432122"/>
      </c:lineChart>
      <c:catAx>
        <c:axId val="40780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32122"/>
        <c:crosses val="autoZero"/>
        <c:auto val="1"/>
        <c:lblOffset val="100"/>
        <c:tickLblSkip val="1"/>
        <c:noMultiLvlLbl val="0"/>
      </c:catAx>
      <c:valAx>
        <c:axId val="63432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80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477"/>
          <c:w val="0.1385"/>
          <c:h val="0.1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</xdr:row>
      <xdr:rowOff>114300</xdr:rowOff>
    </xdr:from>
    <xdr:to>
      <xdr:col>13</xdr:col>
      <xdr:colOff>733425</xdr:colOff>
      <xdr:row>28</xdr:row>
      <xdr:rowOff>142875</xdr:rowOff>
    </xdr:to>
    <xdr:graphicFrame>
      <xdr:nvGraphicFramePr>
        <xdr:cNvPr id="1" name="5 Gráfico"/>
        <xdr:cNvGraphicFramePr/>
      </xdr:nvGraphicFramePr>
      <xdr:xfrm>
        <a:off x="11887200" y="1304925"/>
        <a:ext cx="43910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29</xdr:row>
      <xdr:rowOff>57150</xdr:rowOff>
    </xdr:from>
    <xdr:to>
      <xdr:col>14</xdr:col>
      <xdr:colOff>66675</xdr:colOff>
      <xdr:row>45</xdr:row>
      <xdr:rowOff>85725</xdr:rowOff>
    </xdr:to>
    <xdr:graphicFrame>
      <xdr:nvGraphicFramePr>
        <xdr:cNvPr id="2" name="6 Gráfico"/>
        <xdr:cNvGraphicFramePr/>
      </xdr:nvGraphicFramePr>
      <xdr:xfrm>
        <a:off x="11982450" y="5219700"/>
        <a:ext cx="4391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32</xdr:row>
      <xdr:rowOff>142875</xdr:rowOff>
    </xdr:from>
    <xdr:to>
      <xdr:col>3</xdr:col>
      <xdr:colOff>1066800</xdr:colOff>
      <xdr:row>52</xdr:row>
      <xdr:rowOff>114300</xdr:rowOff>
    </xdr:to>
    <xdr:graphicFrame>
      <xdr:nvGraphicFramePr>
        <xdr:cNvPr id="3" name="1 Gráfico"/>
        <xdr:cNvGraphicFramePr/>
      </xdr:nvGraphicFramePr>
      <xdr:xfrm>
        <a:off x="866775" y="5819775"/>
        <a:ext cx="52101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0</xdr:row>
      <xdr:rowOff>85725</xdr:rowOff>
    </xdr:from>
    <xdr:to>
      <xdr:col>8</xdr:col>
      <xdr:colOff>361950</xdr:colOff>
      <xdr:row>15</xdr:row>
      <xdr:rowOff>104775</xdr:rowOff>
    </xdr:to>
    <xdr:graphicFrame>
      <xdr:nvGraphicFramePr>
        <xdr:cNvPr id="1" name="1 Gráfico"/>
        <xdr:cNvGraphicFramePr/>
      </xdr:nvGraphicFramePr>
      <xdr:xfrm>
        <a:off x="5638800" y="85725"/>
        <a:ext cx="66008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666750</xdr:colOff>
      <xdr:row>16</xdr:row>
      <xdr:rowOff>19050</xdr:rowOff>
    </xdr:from>
    <xdr:to>
      <xdr:col>13</xdr:col>
      <xdr:colOff>485775</xdr:colOff>
      <xdr:row>32</xdr:row>
      <xdr:rowOff>114300</xdr:rowOff>
    </xdr:to>
    <xdr:graphicFrame>
      <xdr:nvGraphicFramePr>
        <xdr:cNvPr id="2" name="1 Gráfico"/>
        <xdr:cNvGraphicFramePr/>
      </xdr:nvGraphicFramePr>
      <xdr:xfrm>
        <a:off x="11782425" y="3000375"/>
        <a:ext cx="43910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676275</xdr:colOff>
      <xdr:row>32</xdr:row>
      <xdr:rowOff>142875</xdr:rowOff>
    </xdr:from>
    <xdr:to>
      <xdr:col>13</xdr:col>
      <xdr:colOff>523875</xdr:colOff>
      <xdr:row>49</xdr:row>
      <xdr:rowOff>85725</xdr:rowOff>
    </xdr:to>
    <xdr:graphicFrame>
      <xdr:nvGraphicFramePr>
        <xdr:cNvPr id="3" name="2 Gráfico"/>
        <xdr:cNvGraphicFramePr/>
      </xdr:nvGraphicFramePr>
      <xdr:xfrm>
        <a:off x="11791950" y="5962650"/>
        <a:ext cx="44196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695325</xdr:colOff>
      <xdr:row>50</xdr:row>
      <xdr:rowOff>104775</xdr:rowOff>
    </xdr:from>
    <xdr:to>
      <xdr:col>13</xdr:col>
      <xdr:colOff>552450</xdr:colOff>
      <xdr:row>67</xdr:row>
      <xdr:rowOff>47625</xdr:rowOff>
    </xdr:to>
    <xdr:graphicFrame>
      <xdr:nvGraphicFramePr>
        <xdr:cNvPr id="4" name="3 Gráfico"/>
        <xdr:cNvGraphicFramePr/>
      </xdr:nvGraphicFramePr>
      <xdr:xfrm>
        <a:off x="11811000" y="9124950"/>
        <a:ext cx="442912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714375</xdr:colOff>
      <xdr:row>68</xdr:row>
      <xdr:rowOff>114300</xdr:rowOff>
    </xdr:from>
    <xdr:to>
      <xdr:col>13</xdr:col>
      <xdr:colOff>571500</xdr:colOff>
      <xdr:row>85</xdr:row>
      <xdr:rowOff>57150</xdr:rowOff>
    </xdr:to>
    <xdr:graphicFrame>
      <xdr:nvGraphicFramePr>
        <xdr:cNvPr id="5" name="4 Gráfico"/>
        <xdr:cNvGraphicFramePr/>
      </xdr:nvGraphicFramePr>
      <xdr:xfrm>
        <a:off x="11830050" y="12344400"/>
        <a:ext cx="4429125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47625</xdr:colOff>
      <xdr:row>85</xdr:row>
      <xdr:rowOff>142875</xdr:rowOff>
    </xdr:from>
    <xdr:to>
      <xdr:col>13</xdr:col>
      <xdr:colOff>657225</xdr:colOff>
      <xdr:row>102</xdr:row>
      <xdr:rowOff>85725</xdr:rowOff>
    </xdr:to>
    <xdr:graphicFrame>
      <xdr:nvGraphicFramePr>
        <xdr:cNvPr id="6" name="6 Gráfico"/>
        <xdr:cNvGraphicFramePr/>
      </xdr:nvGraphicFramePr>
      <xdr:xfrm>
        <a:off x="11925300" y="15297150"/>
        <a:ext cx="441960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103</xdr:row>
      <xdr:rowOff>9525</xdr:rowOff>
    </xdr:from>
    <xdr:to>
      <xdr:col>13</xdr:col>
      <xdr:colOff>638175</xdr:colOff>
      <xdr:row>119</xdr:row>
      <xdr:rowOff>104775</xdr:rowOff>
    </xdr:to>
    <xdr:graphicFrame>
      <xdr:nvGraphicFramePr>
        <xdr:cNvPr id="7" name="7 Gráfico"/>
        <xdr:cNvGraphicFramePr/>
      </xdr:nvGraphicFramePr>
      <xdr:xfrm>
        <a:off x="11896725" y="18164175"/>
        <a:ext cx="4429125" cy="2686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47625</xdr:colOff>
      <xdr:row>121</xdr:row>
      <xdr:rowOff>9525</xdr:rowOff>
    </xdr:from>
    <xdr:to>
      <xdr:col>13</xdr:col>
      <xdr:colOff>657225</xdr:colOff>
      <xdr:row>137</xdr:row>
      <xdr:rowOff>104775</xdr:rowOff>
    </xdr:to>
    <xdr:graphicFrame>
      <xdr:nvGraphicFramePr>
        <xdr:cNvPr id="8" name="8 Gráfico"/>
        <xdr:cNvGraphicFramePr/>
      </xdr:nvGraphicFramePr>
      <xdr:xfrm>
        <a:off x="11925300" y="21078825"/>
        <a:ext cx="4419600" cy="2686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138</xdr:row>
      <xdr:rowOff>114300</xdr:rowOff>
    </xdr:from>
    <xdr:to>
      <xdr:col>13</xdr:col>
      <xdr:colOff>514350</xdr:colOff>
      <xdr:row>155</xdr:row>
      <xdr:rowOff>57150</xdr:rowOff>
    </xdr:to>
    <xdr:graphicFrame>
      <xdr:nvGraphicFramePr>
        <xdr:cNvPr id="9" name="9 Gráfico"/>
        <xdr:cNvGraphicFramePr/>
      </xdr:nvGraphicFramePr>
      <xdr:xfrm>
        <a:off x="11772900" y="23936325"/>
        <a:ext cx="442912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276225</xdr:colOff>
      <xdr:row>93</xdr:row>
      <xdr:rowOff>19050</xdr:rowOff>
    </xdr:from>
    <xdr:to>
      <xdr:col>6</xdr:col>
      <xdr:colOff>466725</xdr:colOff>
      <xdr:row>109</xdr:row>
      <xdr:rowOff>114300</xdr:rowOff>
    </xdr:to>
    <xdr:graphicFrame>
      <xdr:nvGraphicFramePr>
        <xdr:cNvPr id="10" name="10 Gráfico"/>
        <xdr:cNvGraphicFramePr/>
      </xdr:nvGraphicFramePr>
      <xdr:xfrm>
        <a:off x="5324475" y="16554450"/>
        <a:ext cx="5105400" cy="2686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F24"/>
  <sheetViews>
    <sheetView showGridLines="0" zoomScalePageLayoutView="0" workbookViewId="0" topLeftCell="A4">
      <selection activeCell="I20" sqref="I20"/>
    </sheetView>
  </sheetViews>
  <sheetFormatPr defaultColWidth="11.421875" defaultRowHeight="12.75" outlineLevelRow="1" outlineLevelCol="1"/>
  <cols>
    <col min="2" max="2" width="15.421875" style="0" customWidth="1"/>
    <col min="3" max="3" width="7.421875" style="0" customWidth="1"/>
    <col min="4" max="6" width="17.57421875" style="0" bestFit="1" customWidth="1" outlineLevel="1"/>
  </cols>
  <sheetData>
    <row r="1" ht="13.5" thickBot="1"/>
    <row r="2" spans="2:6" ht="15">
      <c r="B2" s="6" t="s">
        <v>232</v>
      </c>
      <c r="C2" s="6"/>
      <c r="D2" s="11"/>
      <c r="E2" s="11"/>
      <c r="F2" s="11"/>
    </row>
    <row r="3" spans="2:6" ht="15">
      <c r="B3" s="5"/>
      <c r="C3" s="5"/>
      <c r="D3" s="12" t="s">
        <v>234</v>
      </c>
      <c r="E3" s="12" t="s">
        <v>229</v>
      </c>
      <c r="F3" s="12" t="s">
        <v>231</v>
      </c>
    </row>
    <row r="4" spans="2:6" ht="22.5" outlineLevel="1">
      <c r="B4" s="8"/>
      <c r="C4" s="8"/>
      <c r="D4" s="1"/>
      <c r="E4" s="14" t="s">
        <v>230</v>
      </c>
      <c r="F4" s="14" t="s">
        <v>230</v>
      </c>
    </row>
    <row r="5" spans="2:6" ht="12.75">
      <c r="B5" s="9" t="s">
        <v>233</v>
      </c>
      <c r="C5" s="9"/>
      <c r="D5" s="7"/>
      <c r="E5" s="7"/>
      <c r="F5" s="7"/>
    </row>
    <row r="6" spans="2:6" ht="12.75" outlineLevel="1">
      <c r="B6" s="8" t="s">
        <v>239</v>
      </c>
      <c r="C6" s="8" t="s">
        <v>214</v>
      </c>
      <c r="D6" s="1">
        <v>200</v>
      </c>
      <c r="E6" s="13">
        <v>1000</v>
      </c>
      <c r="F6" s="13">
        <v>0</v>
      </c>
    </row>
    <row r="7" spans="2:6" ht="12.75" outlineLevel="1">
      <c r="B7" s="8" t="s">
        <v>239</v>
      </c>
      <c r="C7" s="8" t="s">
        <v>215</v>
      </c>
      <c r="D7" s="1">
        <v>450</v>
      </c>
      <c r="E7" s="13">
        <v>250</v>
      </c>
      <c r="F7" s="13">
        <v>0</v>
      </c>
    </row>
    <row r="8" spans="2:6" ht="12.75" outlineLevel="1">
      <c r="B8" s="8" t="s">
        <v>239</v>
      </c>
      <c r="C8" s="8" t="s">
        <v>216</v>
      </c>
      <c r="D8" s="1">
        <v>375</v>
      </c>
      <c r="E8" s="13">
        <v>0</v>
      </c>
      <c r="F8" s="13">
        <v>250</v>
      </c>
    </row>
    <row r="9" spans="2:6" ht="12.75" outlineLevel="1">
      <c r="B9" s="8" t="s">
        <v>239</v>
      </c>
      <c r="C9" s="8" t="s">
        <v>217</v>
      </c>
      <c r="D9" s="1">
        <v>225</v>
      </c>
      <c r="E9" s="13">
        <v>0</v>
      </c>
      <c r="F9" s="13">
        <v>1000</v>
      </c>
    </row>
    <row r="10" spans="2:6" ht="12.75" outlineLevel="1">
      <c r="B10" s="8" t="s">
        <v>135</v>
      </c>
      <c r="C10" s="8" t="s">
        <v>218</v>
      </c>
      <c r="D10" s="1">
        <v>600</v>
      </c>
      <c r="E10" s="13">
        <v>1000</v>
      </c>
      <c r="F10" s="13">
        <v>0</v>
      </c>
    </row>
    <row r="11" spans="2:6" ht="12.75" outlineLevel="1">
      <c r="B11" s="8" t="s">
        <v>135</v>
      </c>
      <c r="C11" s="8" t="s">
        <v>219</v>
      </c>
      <c r="D11" s="1">
        <v>350</v>
      </c>
      <c r="E11" s="13">
        <v>250</v>
      </c>
      <c r="F11" s="13">
        <v>250</v>
      </c>
    </row>
    <row r="12" spans="2:6" ht="12.75" outlineLevel="1">
      <c r="B12" s="8" t="s">
        <v>135</v>
      </c>
      <c r="C12" s="8" t="s">
        <v>220</v>
      </c>
      <c r="D12" s="1">
        <v>300</v>
      </c>
      <c r="E12" s="13">
        <v>0</v>
      </c>
      <c r="F12" s="13">
        <v>1000</v>
      </c>
    </row>
    <row r="13" spans="2:6" ht="12.75">
      <c r="B13" s="9" t="s">
        <v>235</v>
      </c>
      <c r="C13" s="9"/>
      <c r="D13" s="7"/>
      <c r="E13" s="7"/>
      <c r="F13" s="7"/>
    </row>
    <row r="14" spans="2:6" ht="12.75" outlineLevel="1">
      <c r="B14" s="8" t="s">
        <v>240</v>
      </c>
      <c r="C14" s="8" t="s">
        <v>221</v>
      </c>
      <c r="D14" s="2">
        <v>-185000000</v>
      </c>
      <c r="E14" s="2">
        <v>-185000000</v>
      </c>
      <c r="F14" s="2">
        <v>-185000000</v>
      </c>
    </row>
    <row r="15" spans="2:6" ht="12.75" outlineLevel="1">
      <c r="B15" s="8" t="s">
        <v>241</v>
      </c>
      <c r="C15" s="8" t="s">
        <v>222</v>
      </c>
      <c r="D15" s="2">
        <v>-7434331.66666665</v>
      </c>
      <c r="E15" s="2">
        <v>-34221590</v>
      </c>
      <c r="F15" s="2">
        <v>32238769.3333334</v>
      </c>
    </row>
    <row r="16" spans="2:6" ht="12.75" outlineLevel="1">
      <c r="B16" s="8" t="s">
        <v>242</v>
      </c>
      <c r="C16" s="8" t="s">
        <v>223</v>
      </c>
      <c r="D16" s="2">
        <v>38717880.9666667</v>
      </c>
      <c r="E16" s="2">
        <v>-3414546.94666668</v>
      </c>
      <c r="F16" s="2">
        <v>91636695.557647</v>
      </c>
    </row>
    <row r="17" spans="2:6" ht="12.75" outlineLevel="1">
      <c r="B17" s="8" t="s">
        <v>243</v>
      </c>
      <c r="C17" s="8" t="s">
        <v>224</v>
      </c>
      <c r="D17" s="2">
        <v>66145184.5557563</v>
      </c>
      <c r="E17" s="2">
        <v>16101486.3922562</v>
      </c>
      <c r="F17" s="2">
        <v>120143973.336628</v>
      </c>
    </row>
    <row r="18" spans="2:6" ht="12.75" outlineLevel="1">
      <c r="B18" s="8" t="s">
        <v>244</v>
      </c>
      <c r="C18" s="8" t="s">
        <v>225</v>
      </c>
      <c r="D18" s="2">
        <v>90862703.9431082</v>
      </c>
      <c r="E18" s="2">
        <v>40899984.3863206</v>
      </c>
      <c r="F18" s="2">
        <v>156106062.68008</v>
      </c>
    </row>
    <row r="19" spans="2:6" ht="12.75" outlineLevel="1">
      <c r="B19" s="8" t="s">
        <v>245</v>
      </c>
      <c r="C19" s="8" t="s">
        <v>226</v>
      </c>
      <c r="D19" s="2">
        <v>689357469.220961</v>
      </c>
      <c r="E19" s="2">
        <v>304558395.435203</v>
      </c>
      <c r="F19" s="2">
        <v>1240390482.53533</v>
      </c>
    </row>
    <row r="20" spans="2:6" ht="12.75" outlineLevel="1">
      <c r="B20" s="8" t="s">
        <v>197</v>
      </c>
      <c r="C20" s="8" t="s">
        <v>227</v>
      </c>
      <c r="D20" s="3">
        <v>365254313.013614</v>
      </c>
      <c r="E20" s="3">
        <v>9370757.28999889</v>
      </c>
      <c r="F20" s="3">
        <v>856878237.694474</v>
      </c>
    </row>
    <row r="21" spans="2:6" ht="13.5" outlineLevel="1" thickBot="1">
      <c r="B21" s="10" t="s">
        <v>246</v>
      </c>
      <c r="C21" s="10" t="s">
        <v>228</v>
      </c>
      <c r="D21" s="4">
        <v>0.223831629972077</v>
      </c>
      <c r="E21" s="4">
        <v>0.132216858388785</v>
      </c>
      <c r="F21" s="4">
        <v>0.307096687762925</v>
      </c>
    </row>
    <row r="22" ht="12.75">
      <c r="B22" t="s">
        <v>236</v>
      </c>
    </row>
    <row r="23" ht="12.75">
      <c r="B23" t="s">
        <v>237</v>
      </c>
    </row>
    <row r="24" ht="12.75">
      <c r="B24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474"/>
  <sheetViews>
    <sheetView showGridLines="0" tabSelected="1" zoomScale="55" zoomScaleNormal="55" zoomScalePageLayoutView="0" workbookViewId="0" topLeftCell="B1">
      <selection activeCell="D205" sqref="D205"/>
    </sheetView>
  </sheetViews>
  <sheetFormatPr defaultColWidth="11.421875" defaultRowHeight="12.75"/>
  <cols>
    <col min="1" max="1" width="17.140625" style="47" bestFit="1" customWidth="1"/>
    <col min="2" max="2" width="110.140625" style="47" bestFit="1" customWidth="1"/>
    <col min="3" max="3" width="44.8515625" style="47" customWidth="1"/>
    <col min="4" max="4" width="32.421875" style="47" customWidth="1"/>
    <col min="5" max="5" width="36.140625" style="47" bestFit="1" customWidth="1"/>
    <col min="6" max="6" width="28.28125" style="47" bestFit="1" customWidth="1"/>
    <col min="7" max="7" width="47.7109375" style="47" bestFit="1" customWidth="1"/>
    <col min="8" max="8" width="32.57421875" style="47" customWidth="1"/>
    <col min="9" max="9" width="31.57421875" style="47" bestFit="1" customWidth="1"/>
    <col min="10" max="10" width="53.28125" style="47" customWidth="1"/>
    <col min="11" max="11" width="43.28125" style="47" customWidth="1"/>
    <col min="12" max="16384" width="11.421875" style="47" customWidth="1"/>
  </cols>
  <sheetData>
    <row r="1" ht="15.75">
      <c r="B1" s="46" t="s">
        <v>290</v>
      </c>
    </row>
    <row r="2" ht="15.75">
      <c r="B2" s="48"/>
    </row>
    <row r="3" ht="15"/>
    <row r="4" spans="2:3" ht="15.75">
      <c r="B4" s="237" t="s">
        <v>122</v>
      </c>
      <c r="C4" s="238"/>
    </row>
    <row r="5" spans="2:6" ht="15.75">
      <c r="B5" s="23" t="s">
        <v>14</v>
      </c>
      <c r="C5" s="15">
        <f>334800000+45000000</f>
        <v>379800000</v>
      </c>
      <c r="E5" s="243" t="s">
        <v>255</v>
      </c>
      <c r="F5" s="244"/>
    </row>
    <row r="6" spans="2:6" ht="15">
      <c r="B6" s="23" t="s">
        <v>258</v>
      </c>
      <c r="C6" s="15">
        <f>+F9</f>
        <v>13500000</v>
      </c>
      <c r="E6" s="23" t="s">
        <v>259</v>
      </c>
      <c r="F6" s="25">
        <v>4000000</v>
      </c>
    </row>
    <row r="7" spans="2:6" ht="15">
      <c r="B7" s="23" t="s">
        <v>123</v>
      </c>
      <c r="C7" s="15">
        <v>1500000</v>
      </c>
      <c r="E7" s="49" t="s">
        <v>256</v>
      </c>
      <c r="F7" s="25">
        <v>2000000</v>
      </c>
    </row>
    <row r="8" spans="2:6" ht="15">
      <c r="B8" s="23" t="s">
        <v>124</v>
      </c>
      <c r="C8" s="15">
        <f>+C5*0.25</f>
        <v>94950000</v>
      </c>
      <c r="E8" s="49" t="s">
        <v>257</v>
      </c>
      <c r="F8" s="25">
        <v>7500000</v>
      </c>
    </row>
    <row r="9" spans="2:6" ht="15">
      <c r="B9" s="50"/>
      <c r="C9" s="51"/>
      <c r="E9" s="20" t="s">
        <v>72</v>
      </c>
      <c r="F9" s="21">
        <f>+SUM(F6:F8)</f>
        <v>13500000</v>
      </c>
    </row>
    <row r="10" spans="2:3" ht="15.75">
      <c r="B10" s="237" t="s">
        <v>146</v>
      </c>
      <c r="C10" s="239"/>
    </row>
    <row r="11" spans="2:3" ht="15">
      <c r="B11" s="23" t="s">
        <v>147</v>
      </c>
      <c r="C11" s="52">
        <v>0.7</v>
      </c>
    </row>
    <row r="12" spans="2:3" ht="15">
      <c r="B12" s="23" t="s">
        <v>126</v>
      </c>
      <c r="C12" s="20">
        <v>5</v>
      </c>
    </row>
    <row r="13" ht="15"/>
    <row r="14" ht="15"/>
    <row r="15" spans="2:3" ht="15.75">
      <c r="B15" s="48" t="s">
        <v>125</v>
      </c>
      <c r="C15" s="53"/>
    </row>
    <row r="16" spans="2:6" ht="15.75">
      <c r="B16" s="54" t="s">
        <v>148</v>
      </c>
      <c r="C16" s="55">
        <v>4099000</v>
      </c>
      <c r="D16" s="20" t="s">
        <v>198</v>
      </c>
      <c r="E16" s="56"/>
      <c r="F16" s="56"/>
    </row>
    <row r="17" spans="2:9" ht="15.75">
      <c r="B17" s="54" t="s">
        <v>82</v>
      </c>
      <c r="C17" s="57">
        <v>0.0005</v>
      </c>
      <c r="D17" s="58"/>
      <c r="E17" s="59"/>
      <c r="F17" s="59"/>
      <c r="G17" s="242" t="s">
        <v>303</v>
      </c>
      <c r="H17" s="242"/>
      <c r="I17" s="242"/>
    </row>
    <row r="18" spans="2:9" ht="15.75">
      <c r="B18" s="54"/>
      <c r="C18" s="60"/>
      <c r="D18" s="60"/>
      <c r="E18" s="59"/>
      <c r="F18" s="59"/>
      <c r="G18" s="18" t="s">
        <v>279</v>
      </c>
      <c r="H18" s="15" t="s">
        <v>280</v>
      </c>
      <c r="I18" s="15" t="s">
        <v>281</v>
      </c>
    </row>
    <row r="19" spans="2:9" ht="15.75">
      <c r="B19" s="60" t="s">
        <v>149</v>
      </c>
      <c r="C19" s="60" t="s">
        <v>68</v>
      </c>
      <c r="D19" s="61" t="s">
        <v>69</v>
      </c>
      <c r="E19" s="60" t="s">
        <v>70</v>
      </c>
      <c r="G19" s="18" t="s">
        <v>321</v>
      </c>
      <c r="H19" s="15">
        <v>2500000</v>
      </c>
      <c r="I19" s="15">
        <f aca="true" t="shared" si="0" ref="I19:I25">+H19*12</f>
        <v>30000000</v>
      </c>
    </row>
    <row r="20" spans="2:9" ht="16.5" thickBot="1">
      <c r="B20" s="62"/>
      <c r="C20" s="63" t="s">
        <v>247</v>
      </c>
      <c r="D20" s="64">
        <v>56.426332288401255</v>
      </c>
      <c r="E20" s="65">
        <v>350</v>
      </c>
      <c r="G20" s="18" t="s">
        <v>250</v>
      </c>
      <c r="H20" s="15">
        <v>25600000</v>
      </c>
      <c r="I20" s="15">
        <f t="shared" si="0"/>
        <v>307200000</v>
      </c>
    </row>
    <row r="21" spans="2:9" ht="15.75">
      <c r="B21" s="66"/>
      <c r="C21" s="67"/>
      <c r="D21" s="68"/>
      <c r="E21" s="68"/>
      <c r="G21" s="18" t="s">
        <v>251</v>
      </c>
      <c r="H21" s="15">
        <v>300000</v>
      </c>
      <c r="I21" s="15">
        <f t="shared" si="0"/>
        <v>3600000</v>
      </c>
    </row>
    <row r="22" spans="2:9" ht="15.75">
      <c r="B22" s="237" t="s">
        <v>145</v>
      </c>
      <c r="C22" s="238"/>
      <c r="D22" s="69"/>
      <c r="G22" s="18" t="s">
        <v>252</v>
      </c>
      <c r="H22" s="15">
        <v>200000</v>
      </c>
      <c r="I22" s="15">
        <f t="shared" si="0"/>
        <v>2400000</v>
      </c>
    </row>
    <row r="23" spans="2:9" ht="15.75">
      <c r="B23" s="23" t="s">
        <v>75</v>
      </c>
      <c r="C23" s="15">
        <v>800000</v>
      </c>
      <c r="D23" s="69"/>
      <c r="G23" s="18" t="s">
        <v>278</v>
      </c>
      <c r="H23" s="15">
        <f>1800000*5+800000*5</f>
        <v>13000000</v>
      </c>
      <c r="I23" s="15">
        <f t="shared" si="0"/>
        <v>156000000</v>
      </c>
    </row>
    <row r="24" spans="2:9" ht="15.75">
      <c r="B24" s="23" t="s">
        <v>127</v>
      </c>
      <c r="C24" s="19">
        <f>48*4</f>
        <v>192</v>
      </c>
      <c r="D24" s="69"/>
      <c r="G24" s="18" t="s">
        <v>253</v>
      </c>
      <c r="H24" s="15">
        <v>50000</v>
      </c>
      <c r="I24" s="15">
        <f t="shared" si="0"/>
        <v>600000</v>
      </c>
    </row>
    <row r="25" spans="2:9" ht="15.75">
      <c r="B25" s="23" t="s">
        <v>78</v>
      </c>
      <c r="C25" s="20">
        <v>0.5</v>
      </c>
      <c r="D25" s="70" t="s">
        <v>199</v>
      </c>
      <c r="G25" s="18" t="s">
        <v>254</v>
      </c>
      <c r="H25" s="15">
        <v>50000</v>
      </c>
      <c r="I25" s="15">
        <f t="shared" si="0"/>
        <v>600000</v>
      </c>
    </row>
    <row r="26" spans="2:9" ht="15.75">
      <c r="B26" s="23" t="s">
        <v>150</v>
      </c>
      <c r="C26" s="21">
        <v>2500000</v>
      </c>
      <c r="G26" s="237" t="s">
        <v>72</v>
      </c>
      <c r="H26" s="238"/>
      <c r="I26" s="24">
        <f>+SUM(I19:I25)</f>
        <v>500400000</v>
      </c>
    </row>
    <row r="27" ht="15">
      <c r="C27" s="22"/>
    </row>
    <row r="28" spans="2:3" ht="15.75">
      <c r="B28" s="18" t="s">
        <v>151</v>
      </c>
      <c r="C28" s="71">
        <f>+I26</f>
        <v>500400000</v>
      </c>
    </row>
    <row r="29" ht="15"/>
    <row r="30" spans="2:7" ht="15.75">
      <c r="B30" s="237" t="s">
        <v>128</v>
      </c>
      <c r="C30" s="241"/>
      <c r="D30" s="241"/>
      <c r="E30" s="241"/>
      <c r="F30" s="241"/>
      <c r="G30" s="239"/>
    </row>
    <row r="31" spans="2:7" ht="16.5" thickBot="1">
      <c r="B31" s="23"/>
      <c r="C31" s="61" t="s">
        <v>2</v>
      </c>
      <c r="D31" s="60" t="s">
        <v>3</v>
      </c>
      <c r="E31" s="60" t="s">
        <v>4</v>
      </c>
      <c r="F31" s="60" t="s">
        <v>5</v>
      </c>
      <c r="G31" s="60" t="s">
        <v>6</v>
      </c>
    </row>
    <row r="32" spans="2:8" ht="16.5" thickBot="1">
      <c r="B32" s="23" t="s">
        <v>152</v>
      </c>
      <c r="C32" s="231">
        <v>0.038</v>
      </c>
      <c r="D32" s="232">
        <v>0.0365</v>
      </c>
      <c r="E32" s="232">
        <v>0.0355</v>
      </c>
      <c r="F32" s="232">
        <v>0.0355</v>
      </c>
      <c r="G32" s="232">
        <v>0.035</v>
      </c>
      <c r="H32" s="72"/>
    </row>
    <row r="33" spans="2:8" ht="16.5" thickBot="1">
      <c r="B33" s="23" t="s">
        <v>130</v>
      </c>
      <c r="C33" s="73">
        <v>0.1</v>
      </c>
      <c r="D33" s="74">
        <v>0.1</v>
      </c>
      <c r="E33" s="74">
        <v>0.09</v>
      </c>
      <c r="F33" s="74">
        <v>0.08</v>
      </c>
      <c r="G33" s="74">
        <v>0.08</v>
      </c>
      <c r="H33" s="72"/>
    </row>
    <row r="34" spans="2:8" ht="16.5" thickBot="1">
      <c r="B34" s="23" t="s">
        <v>131</v>
      </c>
      <c r="C34" s="73">
        <v>0.03</v>
      </c>
      <c r="D34" s="74">
        <v>0.03</v>
      </c>
      <c r="E34" s="74">
        <v>0.03</v>
      </c>
      <c r="F34" s="74">
        <v>0.03</v>
      </c>
      <c r="G34" s="74">
        <v>0.03</v>
      </c>
      <c r="H34" s="72"/>
    </row>
    <row r="35" spans="2:8" ht="16.5" thickBot="1">
      <c r="B35" s="23" t="s">
        <v>132</v>
      </c>
      <c r="C35" s="73">
        <v>0.1</v>
      </c>
      <c r="D35" s="74">
        <v>0.1</v>
      </c>
      <c r="E35" s="74">
        <v>0.12</v>
      </c>
      <c r="F35" s="74">
        <v>0.13</v>
      </c>
      <c r="G35" s="74">
        <v>0.13</v>
      </c>
      <c r="H35" s="72"/>
    </row>
    <row r="36" spans="2:8" ht="16.5" thickBot="1">
      <c r="B36" s="23" t="s">
        <v>133</v>
      </c>
      <c r="C36" s="75">
        <v>1</v>
      </c>
      <c r="D36" s="76">
        <v>1.1</v>
      </c>
      <c r="E36" s="76">
        <v>1</v>
      </c>
      <c r="F36" s="76">
        <v>0.9</v>
      </c>
      <c r="G36" s="76">
        <v>0.9</v>
      </c>
      <c r="H36" s="72"/>
    </row>
    <row r="37" spans="2:8" ht="16.5" thickBot="1">
      <c r="B37" s="23" t="s">
        <v>134</v>
      </c>
      <c r="C37" s="73">
        <v>0.33</v>
      </c>
      <c r="D37" s="74">
        <v>0.33</v>
      </c>
      <c r="E37" s="74">
        <v>0.33</v>
      </c>
      <c r="F37" s="74">
        <v>0.33</v>
      </c>
      <c r="G37" s="74">
        <v>0.33</v>
      </c>
      <c r="H37" s="72"/>
    </row>
    <row r="38" spans="2:8" ht="15.75">
      <c r="B38" s="77" t="s">
        <v>153</v>
      </c>
      <c r="C38" s="78">
        <f>(1+C32)*(1+C33)-1</f>
        <v>0.14180000000000015</v>
      </c>
      <c r="D38" s="78">
        <f>(1+D32)*(1+D33)-1</f>
        <v>0.14015</v>
      </c>
      <c r="E38" s="78">
        <f>(1+E32)*(1+E33)-1</f>
        <v>0.12869500000000023</v>
      </c>
      <c r="F38" s="78">
        <f>(1+F32)*(1+F33)-1</f>
        <v>0.11834000000000011</v>
      </c>
      <c r="G38" s="78">
        <f>(1+G32)*(1+G33)-1</f>
        <v>0.1177999999999999</v>
      </c>
      <c r="H38" s="72"/>
    </row>
    <row r="39" spans="2:8" ht="15.75">
      <c r="B39" s="77" t="s">
        <v>154</v>
      </c>
      <c r="C39" s="78">
        <f>C34+C36*(C35-C34)</f>
        <v>0.1</v>
      </c>
      <c r="D39" s="78">
        <f>D34+D36*(D35-D34)</f>
        <v>0.10700000000000001</v>
      </c>
      <c r="E39" s="78">
        <f>E34+E36*(E35-E34)</f>
        <v>0.12</v>
      </c>
      <c r="F39" s="78">
        <f>F34+F36*(F35-F34)</f>
        <v>0.12000000000000001</v>
      </c>
      <c r="G39" s="78">
        <f>G34+G36*(G35-G34)</f>
        <v>0.12000000000000001</v>
      </c>
      <c r="H39" s="72"/>
    </row>
    <row r="40" spans="3:8" ht="15">
      <c r="C40" s="79"/>
      <c r="D40" s="79"/>
      <c r="E40" s="80"/>
      <c r="F40" s="80"/>
      <c r="G40" s="80"/>
      <c r="H40" s="72"/>
    </row>
    <row r="41" spans="3:8" ht="15">
      <c r="C41" s="81"/>
      <c r="E41" s="80"/>
      <c r="F41" s="80"/>
      <c r="G41" s="80"/>
      <c r="H41" s="72"/>
    </row>
    <row r="42" spans="3:8" ht="15">
      <c r="C42" s="81"/>
      <c r="E42" s="80"/>
      <c r="F42" s="80"/>
      <c r="G42" s="80"/>
      <c r="H42" s="72"/>
    </row>
    <row r="43" spans="3:8" ht="15">
      <c r="C43" s="80"/>
      <c r="D43" s="80"/>
      <c r="E43" s="80"/>
      <c r="F43" s="80"/>
      <c r="G43" s="80"/>
      <c r="H43" s="72"/>
    </row>
    <row r="44" spans="3:8" ht="15">
      <c r="C44" s="80"/>
      <c r="D44" s="80"/>
      <c r="E44" s="80"/>
      <c r="F44" s="80"/>
      <c r="G44" s="80"/>
      <c r="H44" s="72"/>
    </row>
    <row r="45" ht="15">
      <c r="C45" s="82"/>
    </row>
    <row r="46" ht="15">
      <c r="B46" s="47" t="s">
        <v>155</v>
      </c>
    </row>
    <row r="47" ht="15.75">
      <c r="B47" s="83" t="s">
        <v>304</v>
      </c>
    </row>
    <row r="48" spans="8:9" ht="15">
      <c r="H48" s="84"/>
      <c r="I48" s="84"/>
    </row>
    <row r="49" spans="2:8" ht="15">
      <c r="B49" s="62" t="s">
        <v>64</v>
      </c>
      <c r="C49" s="23"/>
      <c r="H49" s="81"/>
    </row>
    <row r="50" spans="2:3" ht="15">
      <c r="B50" s="23" t="s">
        <v>156</v>
      </c>
      <c r="C50" s="16">
        <f>+C5</f>
        <v>379800000</v>
      </c>
    </row>
    <row r="51" spans="2:3" ht="15">
      <c r="B51" s="23" t="s">
        <v>255</v>
      </c>
      <c r="C51" s="16">
        <f>+C6</f>
        <v>13500000</v>
      </c>
    </row>
    <row r="52" spans="2:3" ht="15">
      <c r="B52" s="23" t="s">
        <v>57</v>
      </c>
      <c r="C52" s="16">
        <f>+C7</f>
        <v>1500000</v>
      </c>
    </row>
    <row r="53" spans="2:4" ht="15">
      <c r="B53" s="23" t="s">
        <v>61</v>
      </c>
      <c r="C53" s="16">
        <f>+C8</f>
        <v>94950000</v>
      </c>
      <c r="D53" s="88"/>
    </row>
    <row r="54" spans="2:3" ht="15.75">
      <c r="B54" s="18" t="s">
        <v>157</v>
      </c>
      <c r="C54" s="85">
        <f>SUM(C50:C53)</f>
        <v>489750000</v>
      </c>
    </row>
    <row r="55" spans="2:4" ht="15.75">
      <c r="B55" s="18" t="s">
        <v>147</v>
      </c>
      <c r="C55" s="86">
        <f>+C11</f>
        <v>0.7</v>
      </c>
      <c r="D55" s="88"/>
    </row>
    <row r="56" spans="2:3" ht="15.75">
      <c r="B56" s="77" t="s">
        <v>158</v>
      </c>
      <c r="C56" s="87">
        <f>+C54*C55</f>
        <v>342825000</v>
      </c>
    </row>
    <row r="57" spans="2:3" ht="15.75">
      <c r="B57" s="46"/>
      <c r="C57" s="88"/>
    </row>
    <row r="58" spans="2:3" ht="15.75">
      <c r="B58" s="46"/>
      <c r="C58" s="88"/>
    </row>
    <row r="59" spans="2:3" ht="15">
      <c r="B59" s="62" t="s">
        <v>65</v>
      </c>
      <c r="C59" s="87"/>
    </row>
    <row r="60" spans="2:3" ht="15">
      <c r="B60" s="23" t="s">
        <v>159</v>
      </c>
      <c r="C60" s="89">
        <f>+C16</f>
        <v>4099000</v>
      </c>
    </row>
    <row r="61" spans="2:3" ht="15">
      <c r="B61" s="23" t="s">
        <v>62</v>
      </c>
      <c r="C61" s="90" t="s">
        <v>63</v>
      </c>
    </row>
    <row r="62" spans="3:4" ht="15.75">
      <c r="C62" s="91" t="s">
        <v>66</v>
      </c>
      <c r="D62" s="92">
        <v>70000</v>
      </c>
    </row>
    <row r="63" spans="2:5" ht="15.75">
      <c r="B63" s="62" t="s">
        <v>81</v>
      </c>
      <c r="C63" s="18"/>
      <c r="D63" s="229">
        <f>+C60</f>
        <v>4099000</v>
      </c>
      <c r="E63" s="18" t="s">
        <v>83</v>
      </c>
    </row>
    <row r="64" spans="2:5" ht="15.75">
      <c r="B64" s="23" t="s">
        <v>82</v>
      </c>
      <c r="C64" s="18"/>
      <c r="D64" s="230">
        <v>0.0035</v>
      </c>
      <c r="E64" s="23"/>
    </row>
    <row r="65" spans="2:5" ht="15.75">
      <c r="B65" s="167" t="s">
        <v>309</v>
      </c>
      <c r="C65" s="166"/>
      <c r="D65" s="95">
        <f>+D63*D64</f>
        <v>14346.5</v>
      </c>
      <c r="E65" s="18" t="s">
        <v>83</v>
      </c>
    </row>
    <row r="66" spans="3:4" ht="15.75">
      <c r="C66" s="46"/>
      <c r="D66" s="69"/>
    </row>
    <row r="67" spans="2:7" ht="15.75">
      <c r="B67" s="96" t="s">
        <v>160</v>
      </c>
      <c r="C67" s="96">
        <v>45</v>
      </c>
      <c r="D67" s="97" t="s">
        <v>141</v>
      </c>
      <c r="E67" s="96" t="s">
        <v>161</v>
      </c>
      <c r="F67" s="96">
        <v>60</v>
      </c>
      <c r="G67" s="98" t="s">
        <v>141</v>
      </c>
    </row>
    <row r="68" spans="2:8" ht="15.75">
      <c r="B68" s="23"/>
      <c r="C68" s="18"/>
      <c r="D68" s="61" t="s">
        <v>136</v>
      </c>
      <c r="E68" s="61" t="s">
        <v>137</v>
      </c>
      <c r="F68" s="61" t="s">
        <v>138</v>
      </c>
      <c r="G68" s="61" t="s">
        <v>139</v>
      </c>
      <c r="H68" s="61" t="s">
        <v>140</v>
      </c>
    </row>
    <row r="69" spans="2:8" ht="15.75">
      <c r="B69" s="99" t="s">
        <v>135</v>
      </c>
      <c r="C69" s="99"/>
      <c r="D69" s="100">
        <f>D62*(1+D95)</f>
        <v>72660</v>
      </c>
      <c r="E69" s="100">
        <f>+D69*(1+E95)</f>
        <v>75312.09</v>
      </c>
      <c r="F69" s="100">
        <f>+E69*(1+F95)</f>
        <v>77985.66919500001</v>
      </c>
      <c r="G69" s="100">
        <f>+F69*(1+G95)</f>
        <v>80754.16045142252</v>
      </c>
      <c r="H69" s="100">
        <f>+G69*(1+H95)</f>
        <v>83580.5560672223</v>
      </c>
    </row>
    <row r="70" spans="2:6" ht="15.75">
      <c r="B70" s="101" t="s">
        <v>162</v>
      </c>
      <c r="C70" s="102"/>
      <c r="D70" s="103"/>
      <c r="E70" s="104"/>
      <c r="F70" s="104"/>
    </row>
    <row r="71" spans="2:6" ht="15.75">
      <c r="B71" s="62" t="s">
        <v>67</v>
      </c>
      <c r="C71" s="60" t="s">
        <v>68</v>
      </c>
      <c r="D71" s="61" t="s">
        <v>69</v>
      </c>
      <c r="E71" s="60" t="s">
        <v>70</v>
      </c>
      <c r="F71" s="60" t="s">
        <v>71</v>
      </c>
    </row>
    <row r="72" spans="2:6" ht="15.75">
      <c r="B72" s="62"/>
      <c r="C72" s="60" t="s">
        <v>247</v>
      </c>
      <c r="D72" s="105">
        <f>+D20</f>
        <v>56.426332288401255</v>
      </c>
      <c r="E72" s="105">
        <f>+E20</f>
        <v>350</v>
      </c>
      <c r="F72" s="16">
        <f>+D72*E72</f>
        <v>19749.21630094044</v>
      </c>
    </row>
    <row r="73" spans="2:6" ht="15.75">
      <c r="B73" s="62"/>
      <c r="C73" s="18"/>
      <c r="D73" s="89"/>
      <c r="E73" s="60" t="s">
        <v>72</v>
      </c>
      <c r="F73" s="85">
        <f>SUM(F72:F72)</f>
        <v>19749.21630094044</v>
      </c>
    </row>
    <row r="74" spans="2:6" ht="15.75">
      <c r="B74" s="106"/>
      <c r="C74" s="46"/>
      <c r="D74" s="69"/>
      <c r="E74" s="48"/>
      <c r="F74" s="107"/>
    </row>
    <row r="75" spans="2:4" ht="15.75">
      <c r="B75" s="62" t="s">
        <v>73</v>
      </c>
      <c r="C75" s="18"/>
      <c r="D75" s="69"/>
    </row>
    <row r="76" spans="2:4" ht="15">
      <c r="B76" s="62" t="s">
        <v>75</v>
      </c>
      <c r="C76" s="16">
        <f>+C23</f>
        <v>800000</v>
      </c>
      <c r="D76" s="69"/>
    </row>
    <row r="77" spans="2:4" ht="15">
      <c r="B77" s="62" t="s">
        <v>74</v>
      </c>
      <c r="C77" s="16">
        <v>636571</v>
      </c>
      <c r="D77" s="69"/>
    </row>
    <row r="78" spans="2:4" ht="15">
      <c r="B78" s="62" t="s">
        <v>72</v>
      </c>
      <c r="C78" s="16">
        <f>+C76+C77</f>
        <v>1436571</v>
      </c>
      <c r="D78" s="69"/>
    </row>
    <row r="79" spans="2:4" ht="15">
      <c r="B79" s="62" t="s">
        <v>77</v>
      </c>
      <c r="C79" s="16">
        <f>192*4</f>
        <v>768</v>
      </c>
      <c r="D79" s="69"/>
    </row>
    <row r="80" spans="2:4" ht="15.75">
      <c r="B80" s="62" t="s">
        <v>76</v>
      </c>
      <c r="C80" s="17">
        <f>+C78/C79</f>
        <v>1870.53515625</v>
      </c>
      <c r="D80" s="69"/>
    </row>
    <row r="81" spans="2:4" ht="15.75">
      <c r="B81" s="62" t="s">
        <v>78</v>
      </c>
      <c r="C81" s="18">
        <f>+C25</f>
        <v>0.5</v>
      </c>
      <c r="D81" s="69" t="s">
        <v>79</v>
      </c>
    </row>
    <row r="82" spans="2:4" ht="15.75">
      <c r="B82" s="62" t="s">
        <v>80</v>
      </c>
      <c r="C82" s="17">
        <f>+C80*C81</f>
        <v>935.267578125</v>
      </c>
      <c r="D82" s="69"/>
    </row>
    <row r="83" spans="2:4" ht="15.75">
      <c r="B83" s="106"/>
      <c r="C83" s="108"/>
      <c r="D83" s="69"/>
    </row>
    <row r="84" spans="2:4" ht="15.75">
      <c r="B84" s="62" t="s">
        <v>163</v>
      </c>
      <c r="C84" s="109">
        <f>+C26</f>
        <v>2500000</v>
      </c>
      <c r="D84" s="69"/>
    </row>
    <row r="85" spans="2:4" ht="15.75">
      <c r="B85" s="106"/>
      <c r="C85" s="110"/>
      <c r="D85" s="69"/>
    </row>
    <row r="86" spans="2:8" ht="15.75">
      <c r="B86" s="62" t="s">
        <v>164</v>
      </c>
      <c r="C86" s="109"/>
      <c r="D86" s="61" t="s">
        <v>2</v>
      </c>
      <c r="E86" s="60" t="s">
        <v>3</v>
      </c>
      <c r="F86" s="60" t="s">
        <v>4</v>
      </c>
      <c r="G86" s="60" t="s">
        <v>5</v>
      </c>
      <c r="H86" s="60" t="s">
        <v>6</v>
      </c>
    </row>
    <row r="87" spans="2:8" ht="15.75">
      <c r="B87" s="62" t="s">
        <v>165</v>
      </c>
      <c r="C87" s="109"/>
      <c r="D87" s="89">
        <f>+C50/5</f>
        <v>75960000</v>
      </c>
      <c r="E87" s="89">
        <f>+D87</f>
        <v>75960000</v>
      </c>
      <c r="F87" s="89">
        <f>+E87</f>
        <v>75960000</v>
      </c>
      <c r="G87" s="89">
        <f>+F87</f>
        <v>75960000</v>
      </c>
      <c r="H87" s="89">
        <f>+G87</f>
        <v>75960000</v>
      </c>
    </row>
    <row r="88" spans="3:8" ht="15.75">
      <c r="C88" s="110"/>
      <c r="D88" s="69"/>
      <c r="E88" s="69"/>
      <c r="F88" s="69"/>
      <c r="G88" s="69"/>
      <c r="H88" s="69"/>
    </row>
    <row r="89" spans="2:4" ht="15.75">
      <c r="B89" s="106"/>
      <c r="C89" s="110"/>
      <c r="D89" s="69"/>
    </row>
    <row r="90" spans="2:8" ht="15.75">
      <c r="B90" s="62"/>
      <c r="C90" s="111" t="s">
        <v>1</v>
      </c>
      <c r="D90" s="61" t="s">
        <v>2</v>
      </c>
      <c r="E90" s="60" t="s">
        <v>3</v>
      </c>
      <c r="F90" s="60" t="s">
        <v>4</v>
      </c>
      <c r="G90" s="60" t="s">
        <v>5</v>
      </c>
      <c r="H90" s="60" t="s">
        <v>6</v>
      </c>
    </row>
    <row r="91" spans="2:8" ht="15.75">
      <c r="B91" s="62" t="s">
        <v>166</v>
      </c>
      <c r="C91" s="112">
        <f>C28</f>
        <v>500400000</v>
      </c>
      <c r="D91" s="89">
        <f>+C91*(1+D95)</f>
        <v>519415200</v>
      </c>
      <c r="E91" s="89">
        <f>+D91*(1+E95)</f>
        <v>538373854.8</v>
      </c>
      <c r="F91" s="89">
        <f>+E91*(1+F95)</f>
        <v>557486126.6454</v>
      </c>
      <c r="G91" s="89">
        <f>+F91*(1+G95)</f>
        <v>577276884.1413118</v>
      </c>
      <c r="H91" s="89">
        <f>+G91*(1+H95)</f>
        <v>597481575.0862576</v>
      </c>
    </row>
    <row r="92" spans="2:8" ht="15.75">
      <c r="B92" s="62" t="s">
        <v>167</v>
      </c>
      <c r="C92" s="112">
        <f>+C51+C52</f>
        <v>15000000</v>
      </c>
      <c r="D92" s="89">
        <f>+$C$92/5</f>
        <v>3000000</v>
      </c>
      <c r="E92" s="89">
        <f>+$C$92/5</f>
        <v>3000000</v>
      </c>
      <c r="F92" s="89">
        <f>+$C$92/5</f>
        <v>3000000</v>
      </c>
      <c r="G92" s="89">
        <f>+$C$92/5</f>
        <v>3000000</v>
      </c>
      <c r="H92" s="89">
        <f>+$C$92/5</f>
        <v>3000000</v>
      </c>
    </row>
    <row r="93" spans="2:4" ht="15.75">
      <c r="B93" s="106"/>
      <c r="C93" s="108"/>
      <c r="D93" s="69"/>
    </row>
    <row r="94" spans="2:8" ht="15.75">
      <c r="B94" s="62" t="s">
        <v>98</v>
      </c>
      <c r="C94" s="17"/>
      <c r="D94" s="61" t="s">
        <v>2</v>
      </c>
      <c r="E94" s="60" t="s">
        <v>3</v>
      </c>
      <c r="F94" s="60" t="s">
        <v>4</v>
      </c>
      <c r="G94" s="60" t="s">
        <v>5</v>
      </c>
      <c r="H94" s="60" t="s">
        <v>6</v>
      </c>
    </row>
    <row r="95" spans="2:9" ht="15.75">
      <c r="B95" s="23" t="s">
        <v>168</v>
      </c>
      <c r="C95" s="113"/>
      <c r="D95" s="233">
        <f>+C32</f>
        <v>0.038</v>
      </c>
      <c r="E95" s="233">
        <f>+D32</f>
        <v>0.0365</v>
      </c>
      <c r="F95" s="233">
        <f>+E32</f>
        <v>0.0355</v>
      </c>
      <c r="G95" s="233">
        <f>+F32</f>
        <v>0.0355</v>
      </c>
      <c r="H95" s="233">
        <f>+G32</f>
        <v>0.035</v>
      </c>
      <c r="I95" s="80"/>
    </row>
    <row r="96" spans="2:8" ht="15.75">
      <c r="B96" s="106"/>
      <c r="C96" s="114"/>
      <c r="D96" s="115"/>
      <c r="E96" s="115"/>
      <c r="F96" s="115"/>
      <c r="G96" s="115"/>
      <c r="H96" s="115"/>
    </row>
    <row r="97" spans="2:8" ht="15.75">
      <c r="B97" s="22" t="s">
        <v>200</v>
      </c>
      <c r="C97" s="114"/>
      <c r="D97" s="116">
        <f>+D64</f>
        <v>0.0035</v>
      </c>
      <c r="E97" s="116">
        <v>0.03</v>
      </c>
      <c r="F97" s="116">
        <v>0.03</v>
      </c>
      <c r="G97" s="116">
        <v>0.03</v>
      </c>
      <c r="H97" s="116">
        <v>0.03</v>
      </c>
    </row>
    <row r="98" spans="2:8" ht="15.75">
      <c r="B98" s="23"/>
      <c r="C98" s="113"/>
      <c r="D98" s="60" t="s">
        <v>2</v>
      </c>
      <c r="E98" s="60" t="s">
        <v>3</v>
      </c>
      <c r="F98" s="60" t="s">
        <v>4</v>
      </c>
      <c r="G98" s="60" t="s">
        <v>5</v>
      </c>
      <c r="H98" s="60" t="s">
        <v>6</v>
      </c>
    </row>
    <row r="99" spans="2:8" ht="15.75">
      <c r="B99" s="94" t="s">
        <v>169</v>
      </c>
      <c r="C99" s="117"/>
      <c r="D99" s="118">
        <f>D100*(1+D101)</f>
        <v>14633.43</v>
      </c>
      <c r="E99" s="118">
        <f>E100*(1+E101)-(D99-D100)</f>
        <v>14785.502900000001</v>
      </c>
      <c r="F99" s="118">
        <f>F100*(1+F101)-(E99-E100)</f>
        <v>15515.997987</v>
      </c>
      <c r="G99" s="118">
        <f>G100*(1+G101)-(F99-F100)</f>
        <v>15694.547926610003</v>
      </c>
      <c r="H99" s="118">
        <f>H100*(1+H101)-(G99-G100)</f>
        <v>16452.314364408303</v>
      </c>
    </row>
    <row r="100" spans="2:8" ht="15.75">
      <c r="B100" s="23" t="s">
        <v>39</v>
      </c>
      <c r="C100" s="113"/>
      <c r="D100" s="55">
        <f>D97*$D$63</f>
        <v>14346.5</v>
      </c>
      <c r="E100" s="55">
        <f>+D100*E97+D100</f>
        <v>14776.895</v>
      </c>
      <c r="F100" s="55">
        <f>+E100*F97+E100</f>
        <v>15220.201850000001</v>
      </c>
      <c r="G100" s="55">
        <f>+F100*G97+F100</f>
        <v>15676.807905500002</v>
      </c>
      <c r="H100" s="55">
        <f>+G100*H97+G100</f>
        <v>16147.112142665002</v>
      </c>
    </row>
    <row r="101" spans="2:8" ht="15.75">
      <c r="B101" s="119" t="s">
        <v>170</v>
      </c>
      <c r="C101" s="120"/>
      <c r="D101" s="121">
        <v>0.02</v>
      </c>
      <c r="E101" s="121">
        <v>0.02</v>
      </c>
      <c r="F101" s="121">
        <v>0.02</v>
      </c>
      <c r="G101" s="121">
        <v>0.02</v>
      </c>
      <c r="H101" s="121">
        <v>0.02</v>
      </c>
    </row>
    <row r="102" spans="1:8" ht="15.75">
      <c r="A102" s="23"/>
      <c r="B102" s="94" t="s">
        <v>249</v>
      </c>
      <c r="C102" s="60" t="s">
        <v>1</v>
      </c>
      <c r="D102" s="60" t="s">
        <v>2</v>
      </c>
      <c r="E102" s="60" t="s">
        <v>3</v>
      </c>
      <c r="F102" s="60" t="s">
        <v>4</v>
      </c>
      <c r="G102" s="60" t="s">
        <v>5</v>
      </c>
      <c r="H102" s="60" t="s">
        <v>6</v>
      </c>
    </row>
    <row r="103" spans="1:8" ht="15.75">
      <c r="A103" s="23"/>
      <c r="B103" s="23"/>
      <c r="C103" s="113"/>
      <c r="D103" s="89"/>
      <c r="E103" s="23"/>
      <c r="F103" s="23"/>
      <c r="G103" s="23"/>
      <c r="H103" s="23"/>
    </row>
    <row r="104" spans="1:8" ht="15.75">
      <c r="A104" s="23"/>
      <c r="B104" s="23" t="s">
        <v>86</v>
      </c>
      <c r="C104" s="113"/>
      <c r="D104" s="55">
        <f>C120</f>
        <v>0</v>
      </c>
      <c r="E104" s="55">
        <f>D120</f>
        <v>16514.215673981234</v>
      </c>
      <c r="F104" s="55">
        <f>E120</f>
        <v>16685.833993730368</v>
      </c>
      <c r="G104" s="55">
        <f>F120</f>
        <v>17510.217164012603</v>
      </c>
      <c r="H104" s="55">
        <f>G120</f>
        <v>17711.715528462664</v>
      </c>
    </row>
    <row r="105" spans="1:8" ht="15.75">
      <c r="A105" s="23" t="s">
        <v>84</v>
      </c>
      <c r="B105" s="23" t="s">
        <v>87</v>
      </c>
      <c r="C105" s="113"/>
      <c r="D105" s="55">
        <f aca="true" t="shared" si="1" ref="D105:H106">C121</f>
        <v>0</v>
      </c>
      <c r="E105" s="55">
        <f t="shared" si="1"/>
        <v>363.3</v>
      </c>
      <c r="F105" s="55">
        <f t="shared" si="1"/>
        <v>376.3031154376092</v>
      </c>
      <c r="G105" s="55">
        <f t="shared" si="1"/>
        <v>389.6737625825752</v>
      </c>
      <c r="H105" s="55">
        <f t="shared" si="1"/>
        <v>403.49753433788305</v>
      </c>
    </row>
    <row r="106" spans="1:8" ht="15.75">
      <c r="A106" s="23" t="s">
        <v>85</v>
      </c>
      <c r="B106" s="23" t="s">
        <v>88</v>
      </c>
      <c r="C106" s="113"/>
      <c r="D106" s="55">
        <f t="shared" si="1"/>
        <v>0</v>
      </c>
      <c r="E106" s="55">
        <f t="shared" si="1"/>
        <v>5999614.5543573825</v>
      </c>
      <c r="F106" s="55">
        <f t="shared" si="1"/>
        <v>6278931.315515502</v>
      </c>
      <c r="G106" s="55">
        <f t="shared" si="1"/>
        <v>6823272.205938781</v>
      </c>
      <c r="H106" s="55">
        <f t="shared" si="1"/>
        <v>7146633.544628681</v>
      </c>
    </row>
    <row r="107" spans="1:8" ht="15.75">
      <c r="A107" s="23"/>
      <c r="B107" s="23"/>
      <c r="C107" s="113"/>
      <c r="D107" s="89"/>
      <c r="E107" s="23"/>
      <c r="F107" s="23"/>
      <c r="G107" s="23"/>
      <c r="H107" s="23"/>
    </row>
    <row r="108" spans="1:8" ht="15.75">
      <c r="A108" s="23"/>
      <c r="B108" s="23" t="s">
        <v>86</v>
      </c>
      <c r="C108" s="113"/>
      <c r="D108" s="55">
        <f>D99*$D$72*(1+D101)-D104</f>
        <v>842224.9993730409</v>
      </c>
      <c r="E108" s="55">
        <f>E99*$D$72*(1+E101)-E104</f>
        <v>834463.3180062696</v>
      </c>
      <c r="F108" s="55">
        <f>F99*$D$72*(1+F101)-F104</f>
        <v>876335.2413709093</v>
      </c>
      <c r="G108" s="55">
        <f>G99*$D$72*(1+G101)-G104</f>
        <v>885787.274787585</v>
      </c>
      <c r="H108" s="55">
        <f>H99*$D$72*(1+H101)-H104</f>
        <v>929198.9168556641</v>
      </c>
    </row>
    <row r="109" spans="1:8" ht="15.75">
      <c r="A109" s="23" t="s">
        <v>89</v>
      </c>
      <c r="B109" s="23" t="s">
        <v>87</v>
      </c>
      <c r="C109" s="113"/>
      <c r="D109" s="55">
        <f>E72*(1+D95)</f>
        <v>363.3</v>
      </c>
      <c r="E109" s="55">
        <f>D109*(1+E95)</f>
        <v>376.56045</v>
      </c>
      <c r="F109" s="55">
        <f>E109*(1+F95)</f>
        <v>389.928345975</v>
      </c>
      <c r="G109" s="55">
        <f>F109*(1+G95)</f>
        <v>403.77080225711256</v>
      </c>
      <c r="H109" s="55">
        <f>G109*(1+H95)</f>
        <v>417.90278033611145</v>
      </c>
    </row>
    <row r="110" spans="1:8" ht="15.75">
      <c r="A110" s="23"/>
      <c r="B110" s="23" t="s">
        <v>88</v>
      </c>
      <c r="C110" s="113"/>
      <c r="D110" s="55">
        <f>+D108*D109</f>
        <v>305980342.27222574</v>
      </c>
      <c r="E110" s="55">
        <f>+E108*E109</f>
        <v>314225882.536934</v>
      </c>
      <c r="F110" s="55">
        <f>+F108*F109</f>
        <v>341707951.18736106</v>
      </c>
      <c r="G110" s="55">
        <f>+G108*G109</f>
        <v>357655038.5701246</v>
      </c>
      <c r="H110" s="55">
        <f>+H108*H109</f>
        <v>388314810.83928525</v>
      </c>
    </row>
    <row r="111" spans="1:8" ht="15.75">
      <c r="A111" s="23"/>
      <c r="B111" s="23"/>
      <c r="C111" s="113"/>
      <c r="D111" s="89"/>
      <c r="E111" s="23"/>
      <c r="F111" s="23"/>
      <c r="G111" s="23"/>
      <c r="H111" s="23"/>
    </row>
    <row r="112" spans="1:8" ht="15.75">
      <c r="A112" s="23"/>
      <c r="B112" s="23" t="s">
        <v>86</v>
      </c>
      <c r="C112" s="113"/>
      <c r="D112" s="55">
        <f>+D104+D108</f>
        <v>842224.9993730409</v>
      </c>
      <c r="E112" s="55">
        <f>+E104+E108</f>
        <v>850977.5336802509</v>
      </c>
      <c r="F112" s="89">
        <f>+F104+F108</f>
        <v>893021.0753646396</v>
      </c>
      <c r="G112" s="55">
        <f>+G104+G108</f>
        <v>903297.4919515976</v>
      </c>
      <c r="H112" s="55">
        <f>+H104+H108</f>
        <v>946910.6323841268</v>
      </c>
    </row>
    <row r="113" spans="1:8" ht="15.75">
      <c r="A113" s="23" t="s">
        <v>90</v>
      </c>
      <c r="B113" s="23" t="s">
        <v>87</v>
      </c>
      <c r="C113" s="113"/>
      <c r="D113" s="89">
        <f>D114/D112</f>
        <v>363.3</v>
      </c>
      <c r="E113" s="89">
        <f>E114/E112</f>
        <v>376.3031154376092</v>
      </c>
      <c r="F113" s="89">
        <f>F114/F112</f>
        <v>389.6737625825752</v>
      </c>
      <c r="G113" s="89">
        <f>G114/G112</f>
        <v>403.49753433788305</v>
      </c>
      <c r="H113" s="89">
        <f>H114/H112</f>
        <v>417.6333339802333</v>
      </c>
    </row>
    <row r="114" spans="1:8" ht="15.75">
      <c r="A114" s="23"/>
      <c r="B114" s="23" t="s">
        <v>88</v>
      </c>
      <c r="C114" s="113"/>
      <c r="D114" s="55">
        <f>+D106+D110</f>
        <v>305980342.27222574</v>
      </c>
      <c r="E114" s="55">
        <f>+E106+E110</f>
        <v>320225497.0912914</v>
      </c>
      <c r="F114" s="55">
        <f>+F106+F110</f>
        <v>347986882.5028766</v>
      </c>
      <c r="G114" s="55">
        <f>+G106+G110</f>
        <v>364478310.7760634</v>
      </c>
      <c r="H114" s="55">
        <f>+H106+H110</f>
        <v>395461444.38391393</v>
      </c>
    </row>
    <row r="115" spans="1:8" ht="15.75">
      <c r="A115" s="23"/>
      <c r="B115" s="23"/>
      <c r="C115" s="113"/>
      <c r="D115" s="89"/>
      <c r="E115" s="23"/>
      <c r="F115" s="23"/>
      <c r="G115" s="23"/>
      <c r="H115" s="23"/>
    </row>
    <row r="116" spans="1:8" ht="15.75">
      <c r="A116" s="23" t="s">
        <v>91</v>
      </c>
      <c r="B116" s="23" t="s">
        <v>86</v>
      </c>
      <c r="C116" s="113"/>
      <c r="D116" s="55">
        <f>D99*$D$72</f>
        <v>825710.7836990596</v>
      </c>
      <c r="E116" s="55">
        <f>E99*$D$72</f>
        <v>834291.6996865205</v>
      </c>
      <c r="F116" s="55">
        <f>F99*$D$72</f>
        <v>875510.858200627</v>
      </c>
      <c r="G116" s="55">
        <f>G99*$D$72</f>
        <v>885585.776423135</v>
      </c>
      <c r="H116" s="55">
        <f>H99*$D$72</f>
        <v>928343.75723934</v>
      </c>
    </row>
    <row r="117" spans="1:8" ht="15.75">
      <c r="A117" s="23" t="s">
        <v>169</v>
      </c>
      <c r="B117" s="23" t="s">
        <v>87</v>
      </c>
      <c r="C117" s="113"/>
      <c r="D117" s="55">
        <f>D113</f>
        <v>363.3</v>
      </c>
      <c r="E117" s="55">
        <f>E113</f>
        <v>376.3031154376092</v>
      </c>
      <c r="F117" s="55">
        <f>F113</f>
        <v>389.6737625825752</v>
      </c>
      <c r="G117" s="55">
        <f>G113</f>
        <v>403.49753433788305</v>
      </c>
      <c r="H117" s="55">
        <f>H113</f>
        <v>417.6333339802333</v>
      </c>
    </row>
    <row r="118" spans="1:8" ht="15.75">
      <c r="A118" s="23"/>
      <c r="B118" s="23" t="s">
        <v>88</v>
      </c>
      <c r="C118" s="113"/>
      <c r="D118" s="55">
        <f>+D116*D117</f>
        <v>299980727.7178684</v>
      </c>
      <c r="E118" s="55">
        <f>+E116*E117</f>
        <v>313946565.7757759</v>
      </c>
      <c r="F118" s="55">
        <f>+F116*F117</f>
        <v>341163610.29693776</v>
      </c>
      <c r="G118" s="55">
        <f>+G116*G117</f>
        <v>357331677.2314347</v>
      </c>
      <c r="H118" s="55">
        <f>+H116*H117</f>
        <v>387707298.4156019</v>
      </c>
    </row>
    <row r="119" spans="1:8" ht="15.75">
      <c r="A119" s="23"/>
      <c r="B119" s="23"/>
      <c r="C119" s="113"/>
      <c r="D119" s="89"/>
      <c r="E119" s="23"/>
      <c r="F119" s="23"/>
      <c r="G119" s="23"/>
      <c r="H119" s="23"/>
    </row>
    <row r="120" spans="1:8" ht="15.75">
      <c r="A120" s="23"/>
      <c r="B120" s="23" t="s">
        <v>86</v>
      </c>
      <c r="C120" s="113"/>
      <c r="D120" s="55">
        <f>D112-D116</f>
        <v>16514.215673981234</v>
      </c>
      <c r="E120" s="55">
        <f>E112-E116</f>
        <v>16685.833993730368</v>
      </c>
      <c r="F120" s="55">
        <f>F112-F116</f>
        <v>17510.217164012603</v>
      </c>
      <c r="G120" s="55">
        <f>G112-G116</f>
        <v>17711.715528462664</v>
      </c>
      <c r="H120" s="55">
        <f>H112-H116</f>
        <v>18566.875144786783</v>
      </c>
    </row>
    <row r="121" spans="1:8" ht="15.75">
      <c r="A121" s="23" t="s">
        <v>92</v>
      </c>
      <c r="B121" s="23" t="s">
        <v>87</v>
      </c>
      <c r="C121" s="113"/>
      <c r="D121" s="55">
        <f>D113</f>
        <v>363.3</v>
      </c>
      <c r="E121" s="55">
        <f>E113</f>
        <v>376.3031154376092</v>
      </c>
      <c r="F121" s="55">
        <f>F113</f>
        <v>389.6737625825752</v>
      </c>
      <c r="G121" s="55">
        <f>G113</f>
        <v>403.49753433788305</v>
      </c>
      <c r="H121" s="55">
        <f>H113</f>
        <v>417.6333339802333</v>
      </c>
    </row>
    <row r="122" spans="1:8" ht="15.75">
      <c r="A122" s="23" t="s">
        <v>93</v>
      </c>
      <c r="B122" s="23" t="s">
        <v>88</v>
      </c>
      <c r="C122" s="113"/>
      <c r="D122" s="55">
        <f>+D120*D121</f>
        <v>5999614.5543573825</v>
      </c>
      <c r="E122" s="55">
        <f>+E120*E121</f>
        <v>6278931.315515502</v>
      </c>
      <c r="F122" s="55">
        <f>+F120*F121</f>
        <v>6823272.205938781</v>
      </c>
      <c r="G122" s="55">
        <f>+G120*G121</f>
        <v>7146633.544628681</v>
      </c>
      <c r="H122" s="55">
        <f>+H120*H121</f>
        <v>7754145.968312032</v>
      </c>
    </row>
    <row r="123" spans="3:4" ht="15.75">
      <c r="C123" s="114"/>
      <c r="D123" s="69"/>
    </row>
    <row r="124" spans="3:8" ht="15.75">
      <c r="C124" s="114"/>
      <c r="D124" s="69"/>
      <c r="E124" s="69"/>
      <c r="F124" s="69"/>
      <c r="G124" s="69"/>
      <c r="H124" s="69"/>
    </row>
    <row r="125" spans="2:8" ht="15.75">
      <c r="B125" s="122" t="s">
        <v>171</v>
      </c>
      <c r="C125" s="113"/>
      <c r="D125" s="60" t="s">
        <v>2</v>
      </c>
      <c r="E125" s="60" t="s">
        <v>3</v>
      </c>
      <c r="F125" s="60" t="s">
        <v>4</v>
      </c>
      <c r="G125" s="60" t="s">
        <v>5</v>
      </c>
      <c r="H125" s="60" t="s">
        <v>6</v>
      </c>
    </row>
    <row r="126" spans="2:8" ht="15.75">
      <c r="B126" s="23" t="s">
        <v>97</v>
      </c>
      <c r="C126" s="113"/>
      <c r="D126" s="55">
        <f>C82*(1+D95)</f>
        <v>970.80774609375</v>
      </c>
      <c r="E126" s="55">
        <f>D126*(1+E95)</f>
        <v>1006.2422288261719</v>
      </c>
      <c r="F126" s="55">
        <f>E126*(1+F95)</f>
        <v>1041.9638279495011</v>
      </c>
      <c r="G126" s="55">
        <f>F126*(1+G95)</f>
        <v>1078.9535438417086</v>
      </c>
      <c r="H126" s="55">
        <f>G126*(1+H95)</f>
        <v>1116.7169178761683</v>
      </c>
    </row>
    <row r="127" spans="2:8" ht="15.75">
      <c r="B127" s="23" t="s">
        <v>172</v>
      </c>
      <c r="C127" s="113"/>
      <c r="D127" s="55">
        <f>C84*(1+D95)</f>
        <v>2595000</v>
      </c>
      <c r="E127" s="55">
        <f>D127*(1+E95)</f>
        <v>2689717.5</v>
      </c>
      <c r="F127" s="55">
        <f>E127*(1+F95)</f>
        <v>2785202.4712500004</v>
      </c>
      <c r="G127" s="55">
        <f>F127*(1+G95)</f>
        <v>2884077.158979376</v>
      </c>
      <c r="H127" s="55">
        <f>G127*(1+H95)</f>
        <v>2985019.8595436537</v>
      </c>
    </row>
    <row r="128" spans="2:9" ht="15.75">
      <c r="B128" s="23" t="s">
        <v>173</v>
      </c>
      <c r="C128" s="113"/>
      <c r="D128" s="55">
        <f>D87</f>
        <v>75960000</v>
      </c>
      <c r="E128" s="55">
        <f>E87</f>
        <v>75960000</v>
      </c>
      <c r="F128" s="55">
        <f>F87</f>
        <v>75960000</v>
      </c>
      <c r="G128" s="55">
        <f>G87</f>
        <v>75960000</v>
      </c>
      <c r="H128" s="55">
        <f>H87</f>
        <v>75960000</v>
      </c>
      <c r="I128" s="123"/>
    </row>
    <row r="129" spans="2:8" ht="15.75">
      <c r="B129" s="124" t="s">
        <v>174</v>
      </c>
      <c r="C129" s="125"/>
      <c r="D129" s="55">
        <f>D126+(D127+D128)/D99</f>
        <v>6338.995518885228</v>
      </c>
      <c r="E129" s="55">
        <f>E126+(E127+E128)/E99</f>
        <v>6325.622843198105</v>
      </c>
      <c r="F129" s="55">
        <f>F126+(F127+F128)/F99</f>
        <v>6117.061320049349</v>
      </c>
      <c r="G129" s="55">
        <f>G126+(G127+G128)/G99</f>
        <v>6102.613831966336</v>
      </c>
      <c r="H129" s="55">
        <f>H126+(H127+H128)/H99</f>
        <v>5915.131178080639</v>
      </c>
    </row>
    <row r="130" spans="3:8" ht="15.75">
      <c r="C130" s="114"/>
      <c r="D130" s="69"/>
      <c r="E130" s="69"/>
      <c r="F130" s="69"/>
      <c r="G130" s="69"/>
      <c r="H130" s="69"/>
    </row>
    <row r="131" spans="3:4" ht="15.75">
      <c r="C131" s="181"/>
      <c r="D131" s="69"/>
    </row>
    <row r="132" spans="1:8" ht="15.75">
      <c r="A132" s="23"/>
      <c r="B132" s="94" t="s">
        <v>248</v>
      </c>
      <c r="C132" s="60" t="s">
        <v>1</v>
      </c>
      <c r="D132" s="60" t="s">
        <v>2</v>
      </c>
      <c r="E132" s="60" t="s">
        <v>3</v>
      </c>
      <c r="F132" s="60" t="s">
        <v>4</v>
      </c>
      <c r="G132" s="60" t="s">
        <v>5</v>
      </c>
      <c r="H132" s="60" t="s">
        <v>6</v>
      </c>
    </row>
    <row r="133" spans="1:8" ht="15.75">
      <c r="A133" s="23"/>
      <c r="B133" s="23"/>
      <c r="C133" s="113"/>
      <c r="D133" s="89"/>
      <c r="E133" s="23"/>
      <c r="F133" s="23"/>
      <c r="G133" s="23"/>
      <c r="H133" s="23"/>
    </row>
    <row r="134" spans="1:8" ht="15.75">
      <c r="A134" s="23"/>
      <c r="B134" s="23" t="s">
        <v>86</v>
      </c>
      <c r="C134" s="113"/>
      <c r="D134" s="89">
        <f>+C152</f>
        <v>0</v>
      </c>
      <c r="E134" s="89">
        <f>+D152</f>
        <v>286.9300000000003</v>
      </c>
      <c r="F134" s="89">
        <f>+E152</f>
        <v>295.5379000000012</v>
      </c>
      <c r="G134" s="89">
        <f>+F152</f>
        <v>591.3340370000005</v>
      </c>
      <c r="H134" s="89">
        <f>+G152</f>
        <v>609.0740581100017</v>
      </c>
    </row>
    <row r="135" spans="1:8" ht="15.75">
      <c r="A135" s="23" t="s">
        <v>84</v>
      </c>
      <c r="B135" s="23" t="s">
        <v>87</v>
      </c>
      <c r="C135" s="113"/>
      <c r="D135" s="89">
        <f aca="true" t="shared" si="2" ref="D135:H136">+C153</f>
        <v>0</v>
      </c>
      <c r="E135" s="89">
        <f t="shared" si="2"/>
        <v>26838.682039261406</v>
      </c>
      <c r="F135" s="89">
        <f t="shared" si="2"/>
        <v>27545.31444659561</v>
      </c>
      <c r="G135" s="89">
        <f t="shared" si="2"/>
        <v>28094.462738233648</v>
      </c>
      <c r="H135" s="89">
        <f t="shared" si="2"/>
        <v>28842.32217897326</v>
      </c>
    </row>
    <row r="136" spans="1:8" ht="15.75">
      <c r="A136" s="23" t="s">
        <v>85</v>
      </c>
      <c r="B136" s="23" t="s">
        <v>88</v>
      </c>
      <c r="C136" s="113"/>
      <c r="D136" s="89">
        <f t="shared" si="2"/>
        <v>0</v>
      </c>
      <c r="E136" s="89">
        <f t="shared" si="2"/>
        <v>7700823.037525283</v>
      </c>
      <c r="F136" s="89">
        <f t="shared" si="2"/>
        <v>8140684.386386561</v>
      </c>
      <c r="G136" s="89">
        <f t="shared" si="2"/>
        <v>16613212.068345793</v>
      </c>
      <c r="H136" s="89">
        <f t="shared" si="2"/>
        <v>17567110.21486335</v>
      </c>
    </row>
    <row r="137" spans="1:8" ht="15.75">
      <c r="A137" s="23"/>
      <c r="B137" s="23"/>
      <c r="C137" s="113"/>
      <c r="D137" s="89"/>
      <c r="E137" s="23"/>
      <c r="F137" s="23"/>
      <c r="G137" s="23"/>
      <c r="H137" s="23"/>
    </row>
    <row r="138" spans="1:8" ht="15.75">
      <c r="A138" s="23"/>
      <c r="B138" s="23" t="s">
        <v>86</v>
      </c>
      <c r="C138" s="113"/>
      <c r="D138" s="89">
        <f>+D99</f>
        <v>14633.43</v>
      </c>
      <c r="E138" s="89">
        <f>+E99</f>
        <v>14785.502900000001</v>
      </c>
      <c r="F138" s="89">
        <f>+F99</f>
        <v>15515.997987</v>
      </c>
      <c r="G138" s="89">
        <f>+G99</f>
        <v>15694.547926610003</v>
      </c>
      <c r="H138" s="89">
        <f>+H99</f>
        <v>16452.314364408303</v>
      </c>
    </row>
    <row r="139" spans="1:8" ht="15.75">
      <c r="A139" s="23" t="s">
        <v>169</v>
      </c>
      <c r="B139" s="23" t="s">
        <v>95</v>
      </c>
      <c r="C139" s="113"/>
      <c r="D139" s="89">
        <f>+D117*$D$72</f>
        <v>20499.686520376177</v>
      </c>
      <c r="E139" s="89">
        <f>+E117*$D$72</f>
        <v>21233.404632843154</v>
      </c>
      <c r="F139" s="89">
        <f>+F117*$D$72</f>
        <v>21987.861211555966</v>
      </c>
      <c r="G139" s="89">
        <f>+G117*$D$72</f>
        <v>22767.885950099986</v>
      </c>
      <c r="H139" s="89">
        <f>+H117*$D$72</f>
        <v>23565.517277881503</v>
      </c>
    </row>
    <row r="140" spans="1:8" ht="15.75">
      <c r="A140" s="23"/>
      <c r="B140" s="23" t="s">
        <v>175</v>
      </c>
      <c r="C140" s="113"/>
      <c r="D140" s="89">
        <f>+D129</f>
        <v>6338.995518885228</v>
      </c>
      <c r="E140" s="89">
        <f>+E129</f>
        <v>6325.622843198105</v>
      </c>
      <c r="F140" s="89">
        <f>+F129</f>
        <v>6117.061320049349</v>
      </c>
      <c r="G140" s="89">
        <f>+G129</f>
        <v>6102.613831966336</v>
      </c>
      <c r="H140" s="89">
        <f>+H129</f>
        <v>5915.131178080639</v>
      </c>
    </row>
    <row r="141" spans="1:8" ht="15.75">
      <c r="A141" s="23"/>
      <c r="B141" s="23" t="s">
        <v>96</v>
      </c>
      <c r="C141" s="113"/>
      <c r="D141" s="89">
        <f>+D139+D140</f>
        <v>26838.682039261406</v>
      </c>
      <c r="E141" s="89">
        <f>+E139+E140</f>
        <v>27559.027476041258</v>
      </c>
      <c r="F141" s="89">
        <f>+F139+F140</f>
        <v>28104.922531605316</v>
      </c>
      <c r="G141" s="89">
        <f>+G139+G140</f>
        <v>28870.499782066323</v>
      </c>
      <c r="H141" s="89">
        <f>+H139+H140</f>
        <v>29480.648455962142</v>
      </c>
    </row>
    <row r="142" spans="1:8" ht="15.75">
      <c r="A142" s="23"/>
      <c r="B142" s="23" t="s">
        <v>88</v>
      </c>
      <c r="C142" s="126"/>
      <c r="D142" s="89">
        <f>+D138*D141</f>
        <v>392741974.91378903</v>
      </c>
      <c r="E142" s="89">
        <f>+E138*E141</f>
        <v>407474080.66818774</v>
      </c>
      <c r="F142" s="89">
        <f>+F138*F141</f>
        <v>436075921.42517906</v>
      </c>
      <c r="G142" s="89">
        <f>+G138*G141</f>
        <v>453109442.4948236</v>
      </c>
      <c r="H142" s="89">
        <f>+H138*H141</f>
        <v>485024896.0640974</v>
      </c>
    </row>
    <row r="143" spans="1:8" ht="15.75">
      <c r="A143" s="23"/>
      <c r="B143" s="23"/>
      <c r="C143" s="113"/>
      <c r="D143" s="89"/>
      <c r="E143" s="23"/>
      <c r="F143" s="23"/>
      <c r="G143" s="23"/>
      <c r="H143" s="23"/>
    </row>
    <row r="144" spans="1:8" ht="15.75">
      <c r="A144" s="23"/>
      <c r="B144" s="23" t="s">
        <v>86</v>
      </c>
      <c r="C144" s="113"/>
      <c r="D144" s="89">
        <f>+D134+D138</f>
        <v>14633.43</v>
      </c>
      <c r="E144" s="89">
        <f>+E134+E138</f>
        <v>15072.432900000002</v>
      </c>
      <c r="F144" s="89">
        <f>+F134+F138</f>
        <v>15811.535887000002</v>
      </c>
      <c r="G144" s="89">
        <f>+G134+G138</f>
        <v>16285.881963610003</v>
      </c>
      <c r="H144" s="89">
        <f>+H134+H138</f>
        <v>17061.388422518306</v>
      </c>
    </row>
    <row r="145" spans="1:8" ht="15.75">
      <c r="A145" s="23" t="s">
        <v>90</v>
      </c>
      <c r="B145" s="23" t="s">
        <v>87</v>
      </c>
      <c r="C145" s="113"/>
      <c r="D145" s="89">
        <f>+D146/D144</f>
        <v>26838.682039261406</v>
      </c>
      <c r="E145" s="89">
        <f>+E146/E144</f>
        <v>27545.31444659561</v>
      </c>
      <c r="F145" s="89">
        <f>+F146/F144</f>
        <v>28094.462738233648</v>
      </c>
      <c r="G145" s="89">
        <f>+G146/G144</f>
        <v>28842.32217897326</v>
      </c>
      <c r="H145" s="89">
        <f>+H146/H144</f>
        <v>29457.860862930687</v>
      </c>
    </row>
    <row r="146" spans="1:8" ht="15.75">
      <c r="A146" s="23" t="s">
        <v>39</v>
      </c>
      <c r="B146" s="23" t="s">
        <v>88</v>
      </c>
      <c r="C146" s="113"/>
      <c r="D146" s="89">
        <f>+D136+D142</f>
        <v>392741974.91378903</v>
      </c>
      <c r="E146" s="89">
        <f>+E136+E142</f>
        <v>415174903.70571303</v>
      </c>
      <c r="F146" s="89">
        <f>+F136+F142</f>
        <v>444216605.81156564</v>
      </c>
      <c r="G146" s="89">
        <f>+G136+G142</f>
        <v>469722654.56316936</v>
      </c>
      <c r="H146" s="89">
        <f>+H136+H142</f>
        <v>502592006.27896076</v>
      </c>
    </row>
    <row r="147" spans="1:8" ht="15.75">
      <c r="A147" s="23"/>
      <c r="B147" s="23"/>
      <c r="C147" s="113"/>
      <c r="D147" s="89"/>
      <c r="E147" s="23"/>
      <c r="F147" s="23"/>
      <c r="G147" s="23"/>
      <c r="H147" s="23"/>
    </row>
    <row r="148" spans="1:8" ht="15.75">
      <c r="A148" s="23" t="s">
        <v>94</v>
      </c>
      <c r="B148" s="23" t="s">
        <v>86</v>
      </c>
      <c r="C148" s="113"/>
      <c r="D148" s="89">
        <f>+D100</f>
        <v>14346.5</v>
      </c>
      <c r="E148" s="89">
        <f>+E100</f>
        <v>14776.895</v>
      </c>
      <c r="F148" s="89">
        <f>+F100</f>
        <v>15220.201850000001</v>
      </c>
      <c r="G148" s="89">
        <f>+G100</f>
        <v>15676.807905500002</v>
      </c>
      <c r="H148" s="89">
        <f>+H100</f>
        <v>16147.112142665002</v>
      </c>
    </row>
    <row r="149" spans="1:8" ht="15.75">
      <c r="A149" s="23" t="s">
        <v>39</v>
      </c>
      <c r="B149" s="23" t="s">
        <v>87</v>
      </c>
      <c r="C149" s="113"/>
      <c r="D149" s="89">
        <f>+D145</f>
        <v>26838.682039261406</v>
      </c>
      <c r="E149" s="89">
        <f>+E145</f>
        <v>27545.31444659561</v>
      </c>
      <c r="F149" s="89">
        <f>+F145</f>
        <v>28094.462738233648</v>
      </c>
      <c r="G149" s="89">
        <f>+G145</f>
        <v>28842.32217897326</v>
      </c>
      <c r="H149" s="89">
        <f>+H145</f>
        <v>29457.860862930687</v>
      </c>
    </row>
    <row r="150" spans="1:8" ht="15.75">
      <c r="A150" s="23"/>
      <c r="B150" s="23" t="s">
        <v>88</v>
      </c>
      <c r="C150" s="113"/>
      <c r="D150" s="89">
        <f>+D148*D149</f>
        <v>385041151.87626374</v>
      </c>
      <c r="E150" s="89">
        <f>+E148*E149</f>
        <v>407034219.31932646</v>
      </c>
      <c r="F150" s="89">
        <f>+F148*F149</f>
        <v>427603393.74321985</v>
      </c>
      <c r="G150" s="89">
        <f>+G148*G149</f>
        <v>452155544.34830606</v>
      </c>
      <c r="H150" s="89">
        <f>+H148*H149</f>
        <v>475659382.8367643</v>
      </c>
    </row>
    <row r="151" spans="1:8" ht="15.75">
      <c r="A151" s="23"/>
      <c r="B151" s="23"/>
      <c r="C151" s="113"/>
      <c r="D151" s="89"/>
      <c r="E151" s="23"/>
      <c r="F151" s="23"/>
      <c r="G151" s="23"/>
      <c r="H151" s="23"/>
    </row>
    <row r="152" spans="1:8" ht="15.75">
      <c r="A152" s="23"/>
      <c r="B152" s="23" t="s">
        <v>86</v>
      </c>
      <c r="C152" s="113"/>
      <c r="D152" s="89">
        <f>+D144-D148</f>
        <v>286.9300000000003</v>
      </c>
      <c r="E152" s="89">
        <f>+E144-E148</f>
        <v>295.5379000000012</v>
      </c>
      <c r="F152" s="89">
        <f>+F144-F148</f>
        <v>591.3340370000005</v>
      </c>
      <c r="G152" s="89">
        <f>+G144-G148</f>
        <v>609.0740581100017</v>
      </c>
      <c r="H152" s="89">
        <f>+H144-H148</f>
        <v>914.276279853304</v>
      </c>
    </row>
    <row r="153" spans="1:8" ht="15.75">
      <c r="A153" s="23" t="s">
        <v>92</v>
      </c>
      <c r="B153" s="23" t="s">
        <v>87</v>
      </c>
      <c r="C153" s="113"/>
      <c r="D153" s="89">
        <f>+D145</f>
        <v>26838.682039261406</v>
      </c>
      <c r="E153" s="89">
        <f>+E145</f>
        <v>27545.31444659561</v>
      </c>
      <c r="F153" s="89">
        <f>+F145</f>
        <v>28094.462738233648</v>
      </c>
      <c r="G153" s="89">
        <f>+G145</f>
        <v>28842.32217897326</v>
      </c>
      <c r="H153" s="89">
        <f>+H145</f>
        <v>29457.860862930687</v>
      </c>
    </row>
    <row r="154" spans="1:8" ht="15.75">
      <c r="A154" s="23" t="s">
        <v>93</v>
      </c>
      <c r="B154" s="23" t="s">
        <v>88</v>
      </c>
      <c r="C154" s="113"/>
      <c r="D154" s="89">
        <f>+D152*D153</f>
        <v>7700823.037525283</v>
      </c>
      <c r="E154" s="89">
        <f>+E152*E153</f>
        <v>8140684.386386561</v>
      </c>
      <c r="F154" s="89">
        <f>+F152*F153</f>
        <v>16613212.068345793</v>
      </c>
      <c r="G154" s="89">
        <f>+G152*G153</f>
        <v>17567110.21486335</v>
      </c>
      <c r="H154" s="89">
        <f>+H152*H153</f>
        <v>26932623.442196507</v>
      </c>
    </row>
    <row r="155" spans="3:4" ht="15.75">
      <c r="C155" s="114"/>
      <c r="D155" s="69"/>
    </row>
    <row r="156" spans="3:4" ht="15.75">
      <c r="C156" s="114"/>
      <c r="D156" s="69"/>
    </row>
    <row r="157" ht="15">
      <c r="C157" s="88"/>
    </row>
    <row r="158" ht="15">
      <c r="C158" s="72"/>
    </row>
    <row r="159" ht="15"/>
    <row r="160" spans="2:3" ht="15.75">
      <c r="B160" s="127" t="s">
        <v>176</v>
      </c>
      <c r="C160" s="84"/>
    </row>
    <row r="161" spans="2:3" ht="15">
      <c r="B161" s="47" t="s">
        <v>105</v>
      </c>
      <c r="C161" s="84" t="s">
        <v>106</v>
      </c>
    </row>
    <row r="162" ht="15">
      <c r="C162" s="128"/>
    </row>
    <row r="163" spans="2:8" ht="15.75">
      <c r="B163" s="129" t="s">
        <v>177</v>
      </c>
      <c r="C163" s="130" t="s">
        <v>99</v>
      </c>
      <c r="D163" s="61" t="s">
        <v>100</v>
      </c>
      <c r="E163" s="60" t="s">
        <v>101</v>
      </c>
      <c r="F163" s="60" t="s">
        <v>102</v>
      </c>
      <c r="G163" s="60" t="s">
        <v>103</v>
      </c>
      <c r="H163" s="60" t="s">
        <v>104</v>
      </c>
    </row>
    <row r="164" spans="2:9" ht="15">
      <c r="B164" s="93">
        <f aca="true" t="array" ref="B164:B168">TRANSPOSE(C38:G38)</f>
        <v>0.14180000000000015</v>
      </c>
      <c r="C164" s="131">
        <v>1</v>
      </c>
      <c r="D164" s="16">
        <f>C56</f>
        <v>342825000</v>
      </c>
      <c r="E164" s="16">
        <f>D164*B164</f>
        <v>48612585.00000005</v>
      </c>
      <c r="F164" s="132">
        <f>+$I$170</f>
        <v>98583690.10687223</v>
      </c>
      <c r="G164" s="132">
        <f>+F164-E164</f>
        <v>49971105.10687218</v>
      </c>
      <c r="H164" s="16">
        <f>+D164-G164</f>
        <v>292853894.8931278</v>
      </c>
      <c r="I164" s="115">
        <f>1/(1+B164)</f>
        <v>0.8758101243650376</v>
      </c>
    </row>
    <row r="165" spans="2:9" ht="15">
      <c r="B165" s="93">
        <v>0.14015</v>
      </c>
      <c r="C165" s="131">
        <v>2</v>
      </c>
      <c r="D165" s="16">
        <f>+H164</f>
        <v>292853894.8931278</v>
      </c>
      <c r="E165" s="16">
        <f>D165*B165</f>
        <v>41043473.36927186</v>
      </c>
      <c r="F165" s="132">
        <f>+$I$170</f>
        <v>98583690.10687223</v>
      </c>
      <c r="G165" s="132">
        <f>+F165-E165</f>
        <v>57540216.73760037</v>
      </c>
      <c r="H165" s="16">
        <f>+D165-G165</f>
        <v>235313678.1555274</v>
      </c>
      <c r="I165" s="115">
        <f>1/(1+B165)/(1+B164)</f>
        <v>0.7681534222383348</v>
      </c>
    </row>
    <row r="166" spans="2:9" ht="15">
      <c r="B166" s="93">
        <v>0.12869500000000023</v>
      </c>
      <c r="C166" s="131">
        <v>3</v>
      </c>
      <c r="D166" s="16">
        <f>+H165</f>
        <v>235313678.1555274</v>
      </c>
      <c r="E166" s="16">
        <f>D166*B166</f>
        <v>30283693.810225654</v>
      </c>
      <c r="F166" s="132">
        <f>+$I$170</f>
        <v>98583690.10687223</v>
      </c>
      <c r="G166" s="132">
        <f>+F166-E166</f>
        <v>68299996.29664658</v>
      </c>
      <c r="H166" s="16">
        <f>+D166-G166</f>
        <v>167013681.85888082</v>
      </c>
      <c r="I166" s="115">
        <f>1/(1+B166)/(1+B165)/(1+B164)</f>
        <v>0.680567755007628</v>
      </c>
    </row>
    <row r="167" spans="2:9" ht="15">
      <c r="B167" s="93">
        <v>0.11834000000000011</v>
      </c>
      <c r="C167" s="131">
        <v>4</v>
      </c>
      <c r="D167" s="16">
        <f>+H166</f>
        <v>167013681.85888082</v>
      </c>
      <c r="E167" s="16">
        <f>D167*B167</f>
        <v>19764399.111179974</v>
      </c>
      <c r="F167" s="132">
        <f>+$I$170</f>
        <v>98583690.10687223</v>
      </c>
      <c r="G167" s="132">
        <f>+F167-E167</f>
        <v>78819290.99569225</v>
      </c>
      <c r="H167" s="16">
        <f>+D167-G167</f>
        <v>88194390.86318856</v>
      </c>
      <c r="I167" s="115">
        <f>1/(1+B167)/(1+B166)/(1+B165)/(1+B164)</f>
        <v>0.6085517418742313</v>
      </c>
    </row>
    <row r="168" spans="2:9" ht="15">
      <c r="B168" s="93">
        <v>0.1177999999999999</v>
      </c>
      <c r="C168" s="131">
        <v>5</v>
      </c>
      <c r="D168" s="16">
        <f>+H167</f>
        <v>88194390.86318856</v>
      </c>
      <c r="E168" s="16">
        <f>D168*B168</f>
        <v>10389299.243683605</v>
      </c>
      <c r="F168" s="132">
        <f>+$I$170</f>
        <v>98583690.10687223</v>
      </c>
      <c r="G168" s="132">
        <f>+F168-E168</f>
        <v>88194390.86318862</v>
      </c>
      <c r="H168" s="16">
        <f>+D168-G168</f>
        <v>0</v>
      </c>
      <c r="I168" s="115">
        <f>1/(1+B168)/(1+B167)/(1+B166)/(1+B165)/(1+B164)</f>
        <v>0.5444191643176163</v>
      </c>
    </row>
    <row r="169" spans="3:9" ht="15">
      <c r="C169" s="128"/>
      <c r="D169" s="69"/>
      <c r="I169" s="133">
        <f>SUM(I164:I168)</f>
        <v>3.477502207802848</v>
      </c>
    </row>
    <row r="170" spans="3:9" ht="15.75">
      <c r="C170" s="128"/>
      <c r="D170" s="69"/>
      <c r="H170" s="134" t="s">
        <v>129</v>
      </c>
      <c r="I170" s="135">
        <f>+D164/I169</f>
        <v>98583690.10687223</v>
      </c>
    </row>
    <row r="171" spans="3:4" ht="15">
      <c r="C171" s="128"/>
      <c r="D171" s="69"/>
    </row>
    <row r="172" spans="3:4" ht="15.75">
      <c r="C172" s="114"/>
      <c r="D172" s="69"/>
    </row>
    <row r="173" spans="3:4" ht="15.75">
      <c r="C173" s="114"/>
      <c r="D173" s="69"/>
    </row>
    <row r="174" spans="3:4" ht="15.75">
      <c r="C174" s="114"/>
      <c r="D174" s="69"/>
    </row>
    <row r="175" spans="2:4" ht="15.75">
      <c r="B175" s="106"/>
      <c r="C175" s="46"/>
      <c r="D175" s="69"/>
    </row>
    <row r="176" spans="2:8" ht="15.75">
      <c r="B176" s="23"/>
      <c r="C176" s="60" t="s">
        <v>1</v>
      </c>
      <c r="D176" s="60" t="s">
        <v>2</v>
      </c>
      <c r="E176" s="60" t="s">
        <v>3</v>
      </c>
      <c r="F176" s="60" t="s">
        <v>4</v>
      </c>
      <c r="G176" s="60" t="s">
        <v>5</v>
      </c>
      <c r="H176" s="60" t="s">
        <v>6</v>
      </c>
    </row>
    <row r="177" spans="2:8" ht="15.75">
      <c r="B177" s="136" t="s">
        <v>0</v>
      </c>
      <c r="C177" s="23"/>
      <c r="D177" s="23"/>
      <c r="E177" s="23"/>
      <c r="F177" s="23"/>
      <c r="G177" s="23"/>
      <c r="H177" s="23"/>
    </row>
    <row r="178" spans="2:9" ht="15">
      <c r="B178" s="23" t="s">
        <v>7</v>
      </c>
      <c r="C178" s="137">
        <f aca="true" t="shared" si="3" ref="C178:H178">C272</f>
        <v>94950000</v>
      </c>
      <c r="D178" s="137">
        <f t="shared" si="3"/>
        <v>126116887.88701904</v>
      </c>
      <c r="E178" s="137">
        <f t="shared" si="3"/>
        <v>113172989.58123386</v>
      </c>
      <c r="F178" s="137">
        <f t="shared" si="3"/>
        <v>108041338.6813401</v>
      </c>
      <c r="G178" s="137">
        <f t="shared" si="3"/>
        <v>118627191.55352879</v>
      </c>
      <c r="H178" s="137">
        <f t="shared" si="3"/>
        <v>137521458.62379456</v>
      </c>
      <c r="I178" s="138"/>
    </row>
    <row r="179" spans="2:9" ht="15">
      <c r="B179" s="23" t="s">
        <v>8</v>
      </c>
      <c r="C179" s="137">
        <v>0</v>
      </c>
      <c r="D179" s="137">
        <f>D222-D253</f>
        <v>130302086.25</v>
      </c>
      <c r="E179" s="137">
        <f>E222-E253</f>
        <v>139109855.77006865</v>
      </c>
      <c r="F179" s="137">
        <f>F222-F253</f>
        <v>148369703.3194034</v>
      </c>
      <c r="G179" s="137">
        <f>G222-G253</f>
        <v>158245932.62085938</v>
      </c>
      <c r="H179" s="137">
        <f>H222-H253</f>
        <v>168698076.47046733</v>
      </c>
      <c r="I179" s="138"/>
    </row>
    <row r="180" spans="2:9" ht="15">
      <c r="B180" s="23" t="s">
        <v>9</v>
      </c>
      <c r="C180" s="137">
        <v>0</v>
      </c>
      <c r="D180" s="137">
        <f>+D226</f>
        <v>5999614.5543573825</v>
      </c>
      <c r="E180" s="137">
        <f>+E226</f>
        <v>6278931.315515502</v>
      </c>
      <c r="F180" s="137">
        <f>+F226</f>
        <v>6823272.205938781</v>
      </c>
      <c r="G180" s="137">
        <f>+G226</f>
        <v>7146633.544628681</v>
      </c>
      <c r="H180" s="137">
        <f>+H226</f>
        <v>7754145.968312032</v>
      </c>
      <c r="I180" s="138"/>
    </row>
    <row r="181" spans="2:9" ht="15">
      <c r="B181" s="23" t="s">
        <v>10</v>
      </c>
      <c r="C181" s="137">
        <v>0</v>
      </c>
      <c r="D181" s="137">
        <f>D233</f>
        <v>7700823.037525283</v>
      </c>
      <c r="E181" s="137">
        <f>E233</f>
        <v>8140684.386386561</v>
      </c>
      <c r="F181" s="137">
        <f>F233</f>
        <v>16613212.068345793</v>
      </c>
      <c r="G181" s="137">
        <f>G233</f>
        <v>17567110.21486335</v>
      </c>
      <c r="H181" s="137">
        <f>H233</f>
        <v>26932623.442196507</v>
      </c>
      <c r="I181" s="138"/>
    </row>
    <row r="182" spans="2:9" ht="15.75">
      <c r="B182" s="18" t="s">
        <v>11</v>
      </c>
      <c r="C182" s="137">
        <f aca="true" t="shared" si="4" ref="C182:H182">SUM(C178:C181)</f>
        <v>94950000</v>
      </c>
      <c r="D182" s="137">
        <f t="shared" si="4"/>
        <v>270119411.7289017</v>
      </c>
      <c r="E182" s="137">
        <f t="shared" si="4"/>
        <v>266702461.05320457</v>
      </c>
      <c r="F182" s="137">
        <f t="shared" si="4"/>
        <v>279847526.2750281</v>
      </c>
      <c r="G182" s="137">
        <f t="shared" si="4"/>
        <v>301586867.9338802</v>
      </c>
      <c r="H182" s="137">
        <f t="shared" si="4"/>
        <v>340906304.5047704</v>
      </c>
      <c r="I182" s="138"/>
    </row>
    <row r="183" spans="2:9" ht="15">
      <c r="B183" s="23"/>
      <c r="C183" s="137"/>
      <c r="D183" s="137"/>
      <c r="E183" s="137"/>
      <c r="F183" s="137"/>
      <c r="G183" s="137"/>
      <c r="H183" s="137"/>
      <c r="I183" s="138"/>
    </row>
    <row r="184" spans="2:9" ht="15">
      <c r="B184" s="23" t="s">
        <v>12</v>
      </c>
      <c r="C184" s="137"/>
      <c r="D184" s="137"/>
      <c r="E184" s="137"/>
      <c r="F184" s="137"/>
      <c r="G184" s="137"/>
      <c r="H184" s="137"/>
      <c r="I184" s="138"/>
    </row>
    <row r="185" spans="2:9" ht="15">
      <c r="B185" s="23" t="s">
        <v>178</v>
      </c>
      <c r="C185" s="137"/>
      <c r="D185" s="137"/>
      <c r="E185" s="137"/>
      <c r="F185" s="137"/>
      <c r="G185" s="137"/>
      <c r="H185" s="137"/>
      <c r="I185" s="138"/>
    </row>
    <row r="186" spans="2:9" ht="15">
      <c r="B186" s="23" t="s">
        <v>14</v>
      </c>
      <c r="C186" s="137">
        <f aca="true" t="shared" si="5" ref="C186:H186">+$C$267</f>
        <v>379800000</v>
      </c>
      <c r="D186" s="137">
        <f t="shared" si="5"/>
        <v>379800000</v>
      </c>
      <c r="E186" s="137">
        <f t="shared" si="5"/>
        <v>379800000</v>
      </c>
      <c r="F186" s="137">
        <f t="shared" si="5"/>
        <v>379800000</v>
      </c>
      <c r="G186" s="137">
        <f t="shared" si="5"/>
        <v>379800000</v>
      </c>
      <c r="H186" s="137">
        <f t="shared" si="5"/>
        <v>379800000</v>
      </c>
      <c r="I186" s="138"/>
    </row>
    <row r="187" spans="2:9" ht="15">
      <c r="B187" s="23" t="s">
        <v>178</v>
      </c>
      <c r="C187" s="137"/>
      <c r="D187" s="137">
        <f>-D230</f>
        <v>-75960000</v>
      </c>
      <c r="E187" s="137">
        <f>D187-E230</f>
        <v>-151920000</v>
      </c>
      <c r="F187" s="137">
        <f>E187-F230</f>
        <v>-227880000</v>
      </c>
      <c r="G187" s="137">
        <f>F187-G230</f>
        <v>-303840000</v>
      </c>
      <c r="H187" s="137">
        <f>G187-H230</f>
        <v>-379800000</v>
      </c>
      <c r="I187" s="138"/>
    </row>
    <row r="188" spans="2:9" ht="15">
      <c r="B188" s="23" t="s">
        <v>15</v>
      </c>
      <c r="C188" s="137"/>
      <c r="D188" s="137"/>
      <c r="E188" s="137"/>
      <c r="F188" s="137"/>
      <c r="G188" s="137"/>
      <c r="H188" s="137"/>
      <c r="I188" s="138"/>
    </row>
    <row r="189" spans="2:9" ht="15">
      <c r="B189" s="23" t="s">
        <v>178</v>
      </c>
      <c r="C189" s="137"/>
      <c r="D189" s="137"/>
      <c r="E189" s="137"/>
      <c r="F189" s="137"/>
      <c r="G189" s="137"/>
      <c r="H189" s="137"/>
      <c r="I189" s="138"/>
    </row>
    <row r="190" spans="2:9" ht="15">
      <c r="B190" s="23" t="s">
        <v>13</v>
      </c>
      <c r="C190" s="137"/>
      <c r="D190" s="137"/>
      <c r="E190" s="137"/>
      <c r="F190" s="137"/>
      <c r="G190" s="137"/>
      <c r="H190" s="137"/>
      <c r="I190" s="138"/>
    </row>
    <row r="191" spans="2:9" ht="15.75">
      <c r="B191" s="18" t="s">
        <v>16</v>
      </c>
      <c r="C191" s="137">
        <f aca="true" t="shared" si="6" ref="C191:H191">SUM(C184:C190)</f>
        <v>379800000</v>
      </c>
      <c r="D191" s="137">
        <f t="shared" si="6"/>
        <v>303840000</v>
      </c>
      <c r="E191" s="137">
        <f t="shared" si="6"/>
        <v>227880000</v>
      </c>
      <c r="F191" s="137">
        <f t="shared" si="6"/>
        <v>151920000</v>
      </c>
      <c r="G191" s="137">
        <f t="shared" si="6"/>
        <v>75960000</v>
      </c>
      <c r="H191" s="137">
        <f t="shared" si="6"/>
        <v>0</v>
      </c>
      <c r="I191" s="138"/>
    </row>
    <row r="192" spans="2:9" ht="15.75">
      <c r="B192" s="18"/>
      <c r="C192" s="137"/>
      <c r="D192" s="137"/>
      <c r="E192" s="137"/>
      <c r="F192" s="137"/>
      <c r="G192" s="137"/>
      <c r="H192" s="137"/>
      <c r="I192" s="138"/>
    </row>
    <row r="193" spans="2:9" ht="15">
      <c r="B193" s="23" t="s">
        <v>59</v>
      </c>
      <c r="C193" s="137">
        <f>C268+C269</f>
        <v>15000000</v>
      </c>
      <c r="D193" s="137">
        <f>$C$193</f>
        <v>15000000</v>
      </c>
      <c r="E193" s="137">
        <f>$C$193</f>
        <v>15000000</v>
      </c>
      <c r="F193" s="137">
        <f>$C$193</f>
        <v>15000000</v>
      </c>
      <c r="G193" s="137">
        <f>$C$193</f>
        <v>15000000</v>
      </c>
      <c r="H193" s="137">
        <f>$C$193</f>
        <v>15000000</v>
      </c>
      <c r="I193" s="138"/>
    </row>
    <row r="194" spans="2:9" ht="15">
      <c r="B194" s="23" t="s">
        <v>179</v>
      </c>
      <c r="C194" s="137"/>
      <c r="D194" s="137">
        <f>-D239</f>
        <v>-3000000</v>
      </c>
      <c r="E194" s="137">
        <f>D194-E239</f>
        <v>-6000000</v>
      </c>
      <c r="F194" s="137">
        <f>E194-F239</f>
        <v>-9000000</v>
      </c>
      <c r="G194" s="137">
        <f>F194-G239</f>
        <v>-12000000</v>
      </c>
      <c r="H194" s="137">
        <f>G194-H239</f>
        <v>-15000000</v>
      </c>
      <c r="I194" s="138"/>
    </row>
    <row r="195" spans="2:9" ht="15.75">
      <c r="B195" s="18" t="s">
        <v>60</v>
      </c>
      <c r="C195" s="137">
        <f aca="true" t="shared" si="7" ref="C195:H195">SUM(C193:C194)</f>
        <v>15000000</v>
      </c>
      <c r="D195" s="137">
        <f t="shared" si="7"/>
        <v>12000000</v>
      </c>
      <c r="E195" s="137">
        <f t="shared" si="7"/>
        <v>9000000</v>
      </c>
      <c r="F195" s="137">
        <f t="shared" si="7"/>
        <v>6000000</v>
      </c>
      <c r="G195" s="137">
        <f t="shared" si="7"/>
        <v>3000000</v>
      </c>
      <c r="H195" s="137">
        <f t="shared" si="7"/>
        <v>0</v>
      </c>
      <c r="I195" s="138"/>
    </row>
    <row r="196" spans="2:9" ht="15.75">
      <c r="B196" s="18"/>
      <c r="C196" s="137"/>
      <c r="D196" s="137"/>
      <c r="E196" s="137"/>
      <c r="F196" s="137"/>
      <c r="G196" s="137"/>
      <c r="H196" s="137"/>
      <c r="I196" s="138"/>
    </row>
    <row r="197" spans="2:9" ht="15.75">
      <c r="B197" s="18" t="s">
        <v>23</v>
      </c>
      <c r="C197" s="112">
        <f aca="true" t="shared" si="8" ref="C197:H197">C182+C191+C195</f>
        <v>489750000</v>
      </c>
      <c r="D197" s="112">
        <f t="shared" si="8"/>
        <v>585959411.7289016</v>
      </c>
      <c r="E197" s="112">
        <f t="shared" si="8"/>
        <v>503582461.05320454</v>
      </c>
      <c r="F197" s="112">
        <f t="shared" si="8"/>
        <v>437767526.2750281</v>
      </c>
      <c r="G197" s="112">
        <f t="shared" si="8"/>
        <v>380546867.9338802</v>
      </c>
      <c r="H197" s="112">
        <f t="shared" si="8"/>
        <v>340906304.5047704</v>
      </c>
      <c r="I197" s="138"/>
    </row>
    <row r="198" spans="2:8" ht="15">
      <c r="B198" s="23"/>
      <c r="C198" s="23"/>
      <c r="D198" s="23"/>
      <c r="E198" s="23"/>
      <c r="F198" s="23"/>
      <c r="G198" s="23"/>
      <c r="H198" s="23"/>
    </row>
    <row r="199" spans="2:8" ht="15">
      <c r="B199" s="23" t="s">
        <v>17</v>
      </c>
      <c r="C199" s="137">
        <v>0</v>
      </c>
      <c r="D199" s="137">
        <f>D225-D261</f>
        <v>50996723.71203762</v>
      </c>
      <c r="E199" s="137">
        <f>E225-E261</f>
        <v>52370980.42282233</v>
      </c>
      <c r="F199" s="137">
        <f>F225-F261</f>
        <v>56951325.1978935</v>
      </c>
      <c r="G199" s="137">
        <f>G225-G261</f>
        <v>59609173.09502077</v>
      </c>
      <c r="H199" s="137">
        <f>H225-H261</f>
        <v>64719135.139880896</v>
      </c>
    </row>
    <row r="200" spans="2:8" ht="15">
      <c r="B200" s="23" t="s">
        <v>18</v>
      </c>
      <c r="C200" s="137">
        <f>+C256</f>
        <v>342825000</v>
      </c>
      <c r="D200" s="137">
        <f aca="true" t="array" ref="D200:H200">TRANSPOSE(H164:H168)</f>
        <v>292853894.8931278</v>
      </c>
      <c r="E200" s="137">
        <v>235313678.1555274</v>
      </c>
      <c r="F200" s="137">
        <v>167013681.85888082</v>
      </c>
      <c r="G200" s="137">
        <v>88194390.86318856</v>
      </c>
      <c r="H200" s="137">
        <v>0</v>
      </c>
    </row>
    <row r="201" spans="2:8" ht="15">
      <c r="B201" s="23" t="s">
        <v>19</v>
      </c>
      <c r="C201" s="137">
        <v>0</v>
      </c>
      <c r="D201" s="137">
        <f>D245</f>
        <v>28494758.53083295</v>
      </c>
      <c r="E201" s="137">
        <f>E245</f>
        <v>40731008.56174405</v>
      </c>
      <c r="F201" s="137">
        <f>F245</f>
        <v>55632856.07760597</v>
      </c>
      <c r="G201" s="137">
        <f>G245</f>
        <v>70544309.01080586</v>
      </c>
      <c r="H201" s="137">
        <f>H245</f>
        <v>86807937.01702078</v>
      </c>
    </row>
    <row r="202" spans="2:8" ht="15.75">
      <c r="B202" s="18" t="s">
        <v>20</v>
      </c>
      <c r="C202" s="137">
        <f aca="true" t="shared" si="9" ref="C202:H202">SUM(C199:C201)</f>
        <v>342825000</v>
      </c>
      <c r="D202" s="137">
        <f t="shared" si="9"/>
        <v>372345377.13599837</v>
      </c>
      <c r="E202" s="137">
        <f t="shared" si="9"/>
        <v>328415667.14009374</v>
      </c>
      <c r="F202" s="137">
        <f t="shared" si="9"/>
        <v>279597863.1343803</v>
      </c>
      <c r="G202" s="137">
        <f t="shared" si="9"/>
        <v>218347872.96901518</v>
      </c>
      <c r="H202" s="137">
        <f t="shared" si="9"/>
        <v>151527072.15690166</v>
      </c>
    </row>
    <row r="203" spans="2:8" ht="15">
      <c r="B203" s="23"/>
      <c r="C203" s="23"/>
      <c r="D203" s="23"/>
      <c r="E203" s="23"/>
      <c r="F203" s="23"/>
      <c r="G203" s="23"/>
      <c r="H203" s="23"/>
    </row>
    <row r="204" spans="2:8" ht="15">
      <c r="B204" s="23" t="s">
        <v>18</v>
      </c>
      <c r="C204" s="16"/>
      <c r="D204" s="16"/>
      <c r="E204" s="16"/>
      <c r="F204" s="16"/>
      <c r="G204" s="16"/>
      <c r="H204" s="16"/>
    </row>
    <row r="205" spans="2:8" ht="15">
      <c r="B205" s="23" t="s">
        <v>333</v>
      </c>
      <c r="D205" s="16">
        <f>5*(590940+426717)+5*(283521+204730)</f>
        <v>7529540</v>
      </c>
      <c r="E205" s="16">
        <f>+D205*(1+D32)</f>
        <v>7804368.21</v>
      </c>
      <c r="F205" s="16">
        <f>+E205*(1+E32)</f>
        <v>8081423.281455001</v>
      </c>
      <c r="G205" s="16">
        <f>+F205*(1+F32)</f>
        <v>8368313.807946654</v>
      </c>
      <c r="H205" s="16">
        <f>+G205*(1+G32)</f>
        <v>8661204.791224787</v>
      </c>
    </row>
    <row r="206" spans="2:8" ht="15">
      <c r="B206" s="23" t="s">
        <v>332</v>
      </c>
      <c r="C206" s="16"/>
      <c r="D206" s="16">
        <f>+(5*176580)+(5*84720)</f>
        <v>1306500</v>
      </c>
      <c r="E206" s="16">
        <f>+D206*(1+D32)</f>
        <v>1354187.25</v>
      </c>
      <c r="F206" s="16">
        <f>+E206*(1+E32)</f>
        <v>1402260.8973750002</v>
      </c>
      <c r="G206" s="16">
        <f>+F206*(1+F32)</f>
        <v>1452041.1592318127</v>
      </c>
      <c r="H206" s="16">
        <f>+G206*(1+G32)</f>
        <v>1502862.599804926</v>
      </c>
    </row>
    <row r="207" spans="2:8" ht="15">
      <c r="B207" s="23" t="s">
        <v>21</v>
      </c>
      <c r="C207" s="16"/>
      <c r="D207" s="16"/>
      <c r="E207" s="16"/>
      <c r="F207" s="16"/>
      <c r="G207" s="16"/>
      <c r="H207" s="16"/>
    </row>
    <row r="208" spans="2:8" ht="15.75">
      <c r="B208" s="18" t="s">
        <v>22</v>
      </c>
      <c r="C208" s="16">
        <f>+SUM(C204:C207)</f>
        <v>0</v>
      </c>
      <c r="D208" s="16">
        <f>+D205+D206</f>
        <v>8836040</v>
      </c>
      <c r="E208" s="16">
        <f>+E205+E206</f>
        <v>9158555.46</v>
      </c>
      <c r="F208" s="16">
        <f>+F205+F206</f>
        <v>9483684.178830002</v>
      </c>
      <c r="G208" s="16">
        <f>+G205+G206</f>
        <v>9820354.967178468</v>
      </c>
      <c r="H208" s="16">
        <f>+H205+H206</f>
        <v>10164067.391029714</v>
      </c>
    </row>
    <row r="209" spans="2:8" ht="15.75">
      <c r="B209" s="18"/>
      <c r="C209" s="23"/>
      <c r="D209" s="23"/>
      <c r="E209" s="23"/>
      <c r="F209" s="23"/>
      <c r="G209" s="23"/>
      <c r="H209" s="23"/>
    </row>
    <row r="210" spans="2:8" ht="15.75">
      <c r="B210" s="18" t="s">
        <v>27</v>
      </c>
      <c r="C210" s="137">
        <f aca="true" t="shared" si="10" ref="C210:H210">+C202+C208</f>
        <v>342825000</v>
      </c>
      <c r="D210" s="137">
        <f t="shared" si="10"/>
        <v>381181417.13599837</v>
      </c>
      <c r="E210" s="137">
        <f t="shared" si="10"/>
        <v>337574222.6000937</v>
      </c>
      <c r="F210" s="137">
        <f t="shared" si="10"/>
        <v>289081547.3132103</v>
      </c>
      <c r="G210" s="137">
        <f t="shared" si="10"/>
        <v>228168227.93619365</v>
      </c>
      <c r="H210" s="137">
        <f t="shared" si="10"/>
        <v>161691139.54793137</v>
      </c>
    </row>
    <row r="211" spans="2:8" ht="15">
      <c r="B211" s="23"/>
      <c r="C211" s="137"/>
      <c r="D211" s="137"/>
      <c r="E211" s="137"/>
      <c r="F211" s="137"/>
      <c r="G211" s="137"/>
      <c r="H211" s="137"/>
    </row>
    <row r="212" spans="2:8" ht="15">
      <c r="B212" s="23" t="s">
        <v>24</v>
      </c>
      <c r="C212" s="137">
        <f aca="true" t="shared" si="11" ref="C212:H212">+$C$255</f>
        <v>146925000</v>
      </c>
      <c r="D212" s="137">
        <f t="shared" si="11"/>
        <v>146925000</v>
      </c>
      <c r="E212" s="137">
        <f t="shared" si="11"/>
        <v>146925000</v>
      </c>
      <c r="F212" s="137">
        <f t="shared" si="11"/>
        <v>146925000</v>
      </c>
      <c r="G212" s="137">
        <f t="shared" si="11"/>
        <v>146925000</v>
      </c>
      <c r="H212" s="137">
        <f t="shared" si="11"/>
        <v>146925000</v>
      </c>
    </row>
    <row r="213" spans="2:8" ht="15">
      <c r="B213" s="23" t="s">
        <v>25</v>
      </c>
      <c r="C213" s="137"/>
      <c r="D213" s="137">
        <v>0</v>
      </c>
      <c r="E213" s="137">
        <f>+D213+D214</f>
        <v>57852994.59290326</v>
      </c>
      <c r="F213" s="137">
        <f>+E213+E214</f>
        <v>140549284.70311087</v>
      </c>
      <c r="G213" s="137">
        <f>+F213+F214</f>
        <v>253500840.98188663</v>
      </c>
      <c r="H213" s="137">
        <f>+G213+G214</f>
        <v>396727165.3371591</v>
      </c>
    </row>
    <row r="214" spans="2:8" ht="15">
      <c r="B214" s="23" t="s">
        <v>26</v>
      </c>
      <c r="C214" s="137"/>
      <c r="D214" s="137">
        <f>+D246</f>
        <v>57852994.59290326</v>
      </c>
      <c r="E214" s="137">
        <f>+E246</f>
        <v>82696290.11020762</v>
      </c>
      <c r="F214" s="137">
        <f>+F246</f>
        <v>112951556.27877575</v>
      </c>
      <c r="G214" s="137">
        <f>+G246</f>
        <v>143226324.35527247</v>
      </c>
      <c r="H214" s="137">
        <f>+H246</f>
        <v>176246417.58001184</v>
      </c>
    </row>
    <row r="215" spans="2:8" ht="15.75">
      <c r="B215" s="18" t="s">
        <v>28</v>
      </c>
      <c r="C215" s="137">
        <f aca="true" t="shared" si="12" ref="C215:H215">SUM(C212:C214)</f>
        <v>146925000</v>
      </c>
      <c r="D215" s="137">
        <f t="shared" si="12"/>
        <v>204777994.59290326</v>
      </c>
      <c r="E215" s="137">
        <f t="shared" si="12"/>
        <v>287474284.7031109</v>
      </c>
      <c r="F215" s="137">
        <f t="shared" si="12"/>
        <v>400425840.9818866</v>
      </c>
      <c r="G215" s="137">
        <f t="shared" si="12"/>
        <v>543652165.3371592</v>
      </c>
      <c r="H215" s="137">
        <f t="shared" si="12"/>
        <v>719898582.917171</v>
      </c>
    </row>
    <row r="216" spans="2:8" ht="15">
      <c r="B216" s="23"/>
      <c r="C216" s="137"/>
      <c r="D216" s="137"/>
      <c r="E216" s="137"/>
      <c r="F216" s="137"/>
      <c r="G216" s="137"/>
      <c r="H216" s="137"/>
    </row>
    <row r="217" spans="2:8" ht="15.75">
      <c r="B217" s="18" t="s">
        <v>29</v>
      </c>
      <c r="C217" s="112">
        <f aca="true" t="shared" si="13" ref="C217:H217">+C210+C215</f>
        <v>489750000</v>
      </c>
      <c r="D217" s="112">
        <f t="shared" si="13"/>
        <v>585959411.7289016</v>
      </c>
      <c r="E217" s="112">
        <f t="shared" si="13"/>
        <v>625048507.3032045</v>
      </c>
      <c r="F217" s="112">
        <f t="shared" si="13"/>
        <v>689507388.2950969</v>
      </c>
      <c r="G217" s="112">
        <f t="shared" si="13"/>
        <v>771820393.2733529</v>
      </c>
      <c r="H217" s="112">
        <f t="shared" si="13"/>
        <v>881589722.4651024</v>
      </c>
    </row>
    <row r="218" spans="1:8" s="183" customFormat="1" ht="15.75">
      <c r="A218" s="184"/>
      <c r="B218" s="182" t="s">
        <v>143</v>
      </c>
      <c r="C218" s="212">
        <f aca="true" t="shared" si="14" ref="C218:H218">C197-C217</f>
        <v>0</v>
      </c>
      <c r="D218" s="212">
        <f t="shared" si="14"/>
        <v>0</v>
      </c>
      <c r="E218" s="212">
        <f>E197-E217</f>
        <v>-121466046.25</v>
      </c>
      <c r="F218" s="212">
        <f t="shared" si="14"/>
        <v>-251739862.02006876</v>
      </c>
      <c r="G218" s="212">
        <f t="shared" si="14"/>
        <v>-391273525.33947265</v>
      </c>
      <c r="H218" s="212">
        <f t="shared" si="14"/>
        <v>-540683417.960332</v>
      </c>
    </row>
    <row r="219" spans="1:110" ht="15">
      <c r="A219" s="169"/>
      <c r="E219" s="138"/>
      <c r="I219" s="169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169"/>
      <c r="AX219" s="169"/>
      <c r="AY219" s="169"/>
      <c r="AZ219" s="169"/>
      <c r="BA219" s="169"/>
      <c r="BB219" s="169"/>
      <c r="BC219" s="169"/>
      <c r="BD219" s="169"/>
      <c r="BE219" s="169"/>
      <c r="BF219" s="169"/>
      <c r="BG219" s="169"/>
      <c r="BH219" s="169"/>
      <c r="BI219" s="169"/>
      <c r="BJ219" s="169"/>
      <c r="BK219" s="169"/>
      <c r="BL219" s="169"/>
      <c r="BM219" s="169"/>
      <c r="BN219" s="169"/>
      <c r="BO219" s="169"/>
      <c r="BP219" s="169"/>
      <c r="BQ219" s="169"/>
      <c r="BR219" s="169"/>
      <c r="BS219" s="169"/>
      <c r="BT219" s="169"/>
      <c r="BU219" s="169"/>
      <c r="BV219" s="169"/>
      <c r="BW219" s="169"/>
      <c r="BX219" s="169"/>
      <c r="BY219" s="169"/>
      <c r="BZ219" s="169"/>
      <c r="CA219" s="169"/>
      <c r="CB219" s="169"/>
      <c r="CC219" s="169"/>
      <c r="CD219" s="169"/>
      <c r="CE219" s="169"/>
      <c r="CF219" s="169"/>
      <c r="CG219" s="169"/>
      <c r="CH219" s="169"/>
      <c r="CI219" s="169"/>
      <c r="CJ219" s="169"/>
      <c r="CK219" s="169"/>
      <c r="CL219" s="169"/>
      <c r="CM219" s="169"/>
      <c r="CN219" s="169"/>
      <c r="CO219" s="169"/>
      <c r="CP219" s="169"/>
      <c r="CQ219" s="169"/>
      <c r="CR219" s="169"/>
      <c r="CS219" s="169"/>
      <c r="CT219" s="169"/>
      <c r="CU219" s="169"/>
      <c r="CV219" s="169"/>
      <c r="CW219" s="169"/>
      <c r="CX219" s="169"/>
      <c r="CY219" s="169"/>
      <c r="CZ219" s="169"/>
      <c r="DA219" s="169"/>
      <c r="DB219" s="169"/>
      <c r="DC219" s="169"/>
      <c r="DD219" s="169"/>
      <c r="DE219" s="169"/>
      <c r="DF219" s="169"/>
    </row>
    <row r="220" spans="2:110" ht="15.75">
      <c r="B220" s="139" t="s">
        <v>30</v>
      </c>
      <c r="C220" s="60" t="s">
        <v>1</v>
      </c>
      <c r="D220" s="60" t="s">
        <v>2</v>
      </c>
      <c r="E220" s="60" t="s">
        <v>3</v>
      </c>
      <c r="F220" s="60" t="s">
        <v>4</v>
      </c>
      <c r="G220" s="60" t="s">
        <v>5</v>
      </c>
      <c r="H220" s="60" t="s">
        <v>6</v>
      </c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  <c r="AT220" s="169"/>
      <c r="AU220" s="169"/>
      <c r="AV220" s="169"/>
      <c r="AW220" s="169"/>
      <c r="AX220" s="169"/>
      <c r="AY220" s="169"/>
      <c r="AZ220" s="169"/>
      <c r="BA220" s="169"/>
      <c r="BB220" s="169"/>
      <c r="BC220" s="169"/>
      <c r="BD220" s="169"/>
      <c r="BE220" s="169"/>
      <c r="BF220" s="169"/>
      <c r="BG220" s="169"/>
      <c r="BH220" s="169"/>
      <c r="BI220" s="169"/>
      <c r="BJ220" s="169"/>
      <c r="BK220" s="169"/>
      <c r="BL220" s="169"/>
      <c r="BM220" s="169"/>
      <c r="BN220" s="169"/>
      <c r="BO220" s="169"/>
      <c r="BP220" s="169"/>
      <c r="BQ220" s="169"/>
      <c r="BR220" s="169"/>
      <c r="BS220" s="169"/>
      <c r="BT220" s="169"/>
      <c r="BU220" s="169"/>
      <c r="BV220" s="169"/>
      <c r="BW220" s="169"/>
      <c r="BX220" s="169"/>
      <c r="BY220" s="169"/>
      <c r="BZ220" s="169"/>
      <c r="CA220" s="169"/>
      <c r="CB220" s="169"/>
      <c r="CC220" s="169"/>
      <c r="CD220" s="169"/>
      <c r="CE220" s="169"/>
      <c r="CF220" s="169"/>
      <c r="CG220" s="169"/>
      <c r="CH220" s="169"/>
      <c r="CI220" s="169"/>
      <c r="CJ220" s="169"/>
      <c r="CK220" s="169"/>
      <c r="CL220" s="169"/>
      <c r="CM220" s="169"/>
      <c r="CN220" s="169"/>
      <c r="CO220" s="169"/>
      <c r="CP220" s="169"/>
      <c r="CQ220" s="169"/>
      <c r="CR220" s="169"/>
      <c r="CS220" s="169"/>
      <c r="CT220" s="169"/>
      <c r="CU220" s="169"/>
      <c r="CV220" s="169"/>
      <c r="CW220" s="169"/>
      <c r="CX220" s="169"/>
      <c r="CY220" s="169"/>
      <c r="CZ220" s="169"/>
      <c r="DA220" s="169"/>
      <c r="DB220" s="169"/>
      <c r="DC220" s="169"/>
      <c r="DD220" s="169"/>
      <c r="DE220" s="169"/>
      <c r="DF220" s="169"/>
    </row>
    <row r="221" spans="2:110" ht="15">
      <c r="B221" s="23"/>
      <c r="C221" s="23"/>
      <c r="D221" s="140"/>
      <c r="E221" s="140"/>
      <c r="F221" s="23"/>
      <c r="G221" s="23"/>
      <c r="H221" s="23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169"/>
      <c r="BB221" s="169"/>
      <c r="BC221" s="169"/>
      <c r="BD221" s="169"/>
      <c r="BE221" s="169"/>
      <c r="BF221" s="169"/>
      <c r="BG221" s="169"/>
      <c r="BH221" s="169"/>
      <c r="BI221" s="169"/>
      <c r="BJ221" s="169"/>
      <c r="BK221" s="169"/>
      <c r="BL221" s="169"/>
      <c r="BM221" s="169"/>
      <c r="BN221" s="169"/>
      <c r="BO221" s="169"/>
      <c r="BP221" s="169"/>
      <c r="BQ221" s="169"/>
      <c r="BR221" s="169"/>
      <c r="BS221" s="169"/>
      <c r="BT221" s="169"/>
      <c r="BU221" s="169"/>
      <c r="BV221" s="169"/>
      <c r="BW221" s="169"/>
      <c r="BX221" s="169"/>
      <c r="BY221" s="169"/>
      <c r="BZ221" s="169"/>
      <c r="CA221" s="169"/>
      <c r="CB221" s="169"/>
      <c r="CC221" s="169"/>
      <c r="CD221" s="169"/>
      <c r="CE221" s="169"/>
      <c r="CF221" s="169"/>
      <c r="CG221" s="169"/>
      <c r="CH221" s="169"/>
      <c r="CI221" s="169"/>
      <c r="CJ221" s="169"/>
      <c r="CK221" s="169"/>
      <c r="CL221" s="169"/>
      <c r="CM221" s="169"/>
      <c r="CN221" s="169"/>
      <c r="CO221" s="169"/>
      <c r="CP221" s="169"/>
      <c r="CQ221" s="169"/>
      <c r="CR221" s="169"/>
      <c r="CS221" s="169"/>
      <c r="CT221" s="169"/>
      <c r="CU221" s="169"/>
      <c r="CV221" s="169"/>
      <c r="CW221" s="169"/>
      <c r="CX221" s="169"/>
      <c r="CY221" s="169"/>
      <c r="CZ221" s="169"/>
      <c r="DA221" s="169"/>
      <c r="DB221" s="169"/>
      <c r="DC221" s="169"/>
      <c r="DD221" s="169"/>
      <c r="DE221" s="169"/>
      <c r="DF221" s="169"/>
    </row>
    <row r="222" spans="2:110" ht="15.75">
      <c r="B222" s="18" t="s">
        <v>39</v>
      </c>
      <c r="C222" s="23"/>
      <c r="D222" s="16">
        <f>+D100*D69</f>
        <v>1042416690</v>
      </c>
      <c r="E222" s="16">
        <f>+E100*E69</f>
        <v>1112878846.1605499</v>
      </c>
      <c r="F222" s="16">
        <f>+F100*F69</f>
        <v>1186957626.5552273</v>
      </c>
      <c r="G222" s="16">
        <f>+G100*G69</f>
        <v>1265967460.966876</v>
      </c>
      <c r="H222" s="16">
        <f>+H100*H69</f>
        <v>1349584611.7637382</v>
      </c>
      <c r="I222" s="172"/>
      <c r="J222" s="172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  <c r="AY222" s="169"/>
      <c r="AZ222" s="169"/>
      <c r="BA222" s="169"/>
      <c r="BB222" s="169"/>
      <c r="BC222" s="169"/>
      <c r="BD222" s="169"/>
      <c r="BE222" s="169"/>
      <c r="BF222" s="169"/>
      <c r="BG222" s="169"/>
      <c r="BH222" s="169"/>
      <c r="BI222" s="169"/>
      <c r="BJ222" s="169"/>
      <c r="BK222" s="169"/>
      <c r="BL222" s="169"/>
      <c r="BM222" s="169"/>
      <c r="BN222" s="169"/>
      <c r="BO222" s="169"/>
      <c r="BP222" s="169"/>
      <c r="BQ222" s="169"/>
      <c r="BR222" s="169"/>
      <c r="BS222" s="169"/>
      <c r="BT222" s="169"/>
      <c r="BU222" s="169"/>
      <c r="BV222" s="169"/>
      <c r="BW222" s="169"/>
      <c r="BX222" s="169"/>
      <c r="BY222" s="169"/>
      <c r="BZ222" s="169"/>
      <c r="CA222" s="169"/>
      <c r="CB222" s="169"/>
      <c r="CC222" s="169"/>
      <c r="CD222" s="169"/>
      <c r="CE222" s="169"/>
      <c r="CF222" s="169"/>
      <c r="CG222" s="169"/>
      <c r="CH222" s="169"/>
      <c r="CI222" s="169"/>
      <c r="CJ222" s="169"/>
      <c r="CK222" s="169"/>
      <c r="CL222" s="169"/>
      <c r="CM222" s="169"/>
      <c r="CN222" s="169"/>
      <c r="CO222" s="169"/>
      <c r="CP222" s="169"/>
      <c r="CQ222" s="169"/>
      <c r="CR222" s="169"/>
      <c r="CS222" s="169"/>
      <c r="CT222" s="169"/>
      <c r="CU222" s="169"/>
      <c r="CV222" s="169"/>
      <c r="CW222" s="169"/>
      <c r="CX222" s="169"/>
      <c r="CY222" s="169"/>
      <c r="CZ222" s="169"/>
      <c r="DA222" s="169"/>
      <c r="DB222" s="169"/>
      <c r="DC222" s="169"/>
      <c r="DD222" s="169"/>
      <c r="DE222" s="169"/>
      <c r="DF222" s="169"/>
    </row>
    <row r="223" spans="2:110" ht="15.75">
      <c r="B223" s="18" t="s">
        <v>31</v>
      </c>
      <c r="C223" s="23"/>
      <c r="D223" s="16">
        <f>+D136</f>
        <v>0</v>
      </c>
      <c r="E223" s="16">
        <f>+E136</f>
        <v>7700823.037525283</v>
      </c>
      <c r="F223" s="16">
        <f>+F136</f>
        <v>8140684.386386561</v>
      </c>
      <c r="G223" s="16">
        <f>+G136</f>
        <v>16613212.068345793</v>
      </c>
      <c r="H223" s="16">
        <f>+H136</f>
        <v>17567110.21486335</v>
      </c>
      <c r="I223" s="172"/>
      <c r="J223" s="172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  <c r="AY223" s="169"/>
      <c r="AZ223" s="169"/>
      <c r="BA223" s="169"/>
      <c r="BB223" s="169"/>
      <c r="BC223" s="169"/>
      <c r="BD223" s="169"/>
      <c r="BE223" s="169"/>
      <c r="BF223" s="169"/>
      <c r="BG223" s="169"/>
      <c r="BH223" s="169"/>
      <c r="BI223" s="169"/>
      <c r="BJ223" s="169"/>
      <c r="BK223" s="169"/>
      <c r="BL223" s="169"/>
      <c r="BM223" s="169"/>
      <c r="BN223" s="169"/>
      <c r="BO223" s="169"/>
      <c r="BP223" s="169"/>
      <c r="BQ223" s="169"/>
      <c r="BR223" s="169"/>
      <c r="BS223" s="169"/>
      <c r="BT223" s="169"/>
      <c r="BU223" s="169"/>
      <c r="BV223" s="169"/>
      <c r="BW223" s="169"/>
      <c r="BX223" s="169"/>
      <c r="BY223" s="169"/>
      <c r="BZ223" s="169"/>
      <c r="CA223" s="169"/>
      <c r="CB223" s="169"/>
      <c r="CC223" s="169"/>
      <c r="CD223" s="169"/>
      <c r="CE223" s="169"/>
      <c r="CF223" s="169"/>
      <c r="CG223" s="169"/>
      <c r="CH223" s="169"/>
      <c r="CI223" s="169"/>
      <c r="CJ223" s="169"/>
      <c r="CK223" s="169"/>
      <c r="CL223" s="169"/>
      <c r="CM223" s="169"/>
      <c r="CN223" s="169"/>
      <c r="CO223" s="169"/>
      <c r="CP223" s="169"/>
      <c r="CQ223" s="169"/>
      <c r="CR223" s="169"/>
      <c r="CS223" s="169"/>
      <c r="CT223" s="169"/>
      <c r="CU223" s="169"/>
      <c r="CV223" s="169"/>
      <c r="CW223" s="169"/>
      <c r="CX223" s="169"/>
      <c r="CY223" s="169"/>
      <c r="CZ223" s="169"/>
      <c r="DA223" s="169"/>
      <c r="DB223" s="169"/>
      <c r="DC223" s="169"/>
      <c r="DD223" s="169"/>
      <c r="DE223" s="169"/>
      <c r="DF223" s="169"/>
    </row>
    <row r="224" spans="2:110" ht="15">
      <c r="B224" s="23" t="s">
        <v>32</v>
      </c>
      <c r="C224" s="23"/>
      <c r="D224" s="16">
        <f>+D106</f>
        <v>0</v>
      </c>
      <c r="E224" s="16">
        <f>+E106</f>
        <v>5999614.5543573825</v>
      </c>
      <c r="F224" s="16">
        <f>+F106</f>
        <v>6278931.315515502</v>
      </c>
      <c r="G224" s="16">
        <f>+G106</f>
        <v>6823272.205938781</v>
      </c>
      <c r="H224" s="16">
        <f>+H106</f>
        <v>7146633.544628681</v>
      </c>
      <c r="I224" s="172"/>
      <c r="J224" s="172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69"/>
      <c r="AT224" s="169"/>
      <c r="AU224" s="169"/>
      <c r="AV224" s="169"/>
      <c r="AW224" s="169"/>
      <c r="AX224" s="169"/>
      <c r="AY224" s="169"/>
      <c r="AZ224" s="169"/>
      <c r="BA224" s="169"/>
      <c r="BB224" s="169"/>
      <c r="BC224" s="169"/>
      <c r="BD224" s="169"/>
      <c r="BE224" s="169"/>
      <c r="BF224" s="169"/>
      <c r="BG224" s="169"/>
      <c r="BH224" s="169"/>
      <c r="BI224" s="169"/>
      <c r="BJ224" s="169"/>
      <c r="BK224" s="169"/>
      <c r="BL224" s="169"/>
      <c r="BM224" s="169"/>
      <c r="BN224" s="169"/>
      <c r="BO224" s="169"/>
      <c r="BP224" s="169"/>
      <c r="BQ224" s="169"/>
      <c r="BR224" s="169"/>
      <c r="BS224" s="169"/>
      <c r="BT224" s="169"/>
      <c r="BU224" s="169"/>
      <c r="BV224" s="169"/>
      <c r="BW224" s="169"/>
      <c r="BX224" s="169"/>
      <c r="BY224" s="169"/>
      <c r="BZ224" s="169"/>
      <c r="CA224" s="169"/>
      <c r="CB224" s="169"/>
      <c r="CC224" s="169"/>
      <c r="CD224" s="169"/>
      <c r="CE224" s="169"/>
      <c r="CF224" s="169"/>
      <c r="CG224" s="169"/>
      <c r="CH224" s="169"/>
      <c r="CI224" s="169"/>
      <c r="CJ224" s="169"/>
      <c r="CK224" s="169"/>
      <c r="CL224" s="169"/>
      <c r="CM224" s="169"/>
      <c r="CN224" s="169"/>
      <c r="CO224" s="169"/>
      <c r="CP224" s="169"/>
      <c r="CQ224" s="169"/>
      <c r="CR224" s="169"/>
      <c r="CS224" s="169"/>
      <c r="CT224" s="169"/>
      <c r="CU224" s="169"/>
      <c r="CV224" s="169"/>
      <c r="CW224" s="169"/>
      <c r="CX224" s="169"/>
      <c r="CY224" s="169"/>
      <c r="CZ224" s="169"/>
      <c r="DA224" s="169"/>
      <c r="DB224" s="169"/>
      <c r="DC224" s="169"/>
      <c r="DD224" s="169"/>
      <c r="DE224" s="169"/>
      <c r="DF224" s="169"/>
    </row>
    <row r="225" spans="2:110" ht="15">
      <c r="B225" s="23" t="s">
        <v>33</v>
      </c>
      <c r="C225" s="23"/>
      <c r="D225" s="16">
        <f>+D110</f>
        <v>305980342.27222574</v>
      </c>
      <c r="E225" s="16">
        <f>+E110</f>
        <v>314225882.536934</v>
      </c>
      <c r="F225" s="16">
        <f>+F110</f>
        <v>341707951.18736106</v>
      </c>
      <c r="G225" s="16">
        <f>+G110</f>
        <v>357655038.5701246</v>
      </c>
      <c r="H225" s="16">
        <f>+H110</f>
        <v>388314810.83928525</v>
      </c>
      <c r="I225" s="172"/>
      <c r="J225" s="172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169"/>
      <c r="AX225" s="169"/>
      <c r="AY225" s="169"/>
      <c r="AZ225" s="169"/>
      <c r="BA225" s="169"/>
      <c r="BB225" s="169"/>
      <c r="BC225" s="169"/>
      <c r="BD225" s="169"/>
      <c r="BE225" s="169"/>
      <c r="BF225" s="169"/>
      <c r="BG225" s="169"/>
      <c r="BH225" s="169"/>
      <c r="BI225" s="169"/>
      <c r="BJ225" s="169"/>
      <c r="BK225" s="169"/>
      <c r="BL225" s="169"/>
      <c r="BM225" s="169"/>
      <c r="BN225" s="169"/>
      <c r="BO225" s="169"/>
      <c r="BP225" s="169"/>
      <c r="BQ225" s="169"/>
      <c r="BR225" s="169"/>
      <c r="BS225" s="169"/>
      <c r="BT225" s="169"/>
      <c r="BU225" s="169"/>
      <c r="BV225" s="169"/>
      <c r="BW225" s="169"/>
      <c r="BX225" s="169"/>
      <c r="BY225" s="169"/>
      <c r="BZ225" s="169"/>
      <c r="CA225" s="169"/>
      <c r="CB225" s="169"/>
      <c r="CC225" s="169"/>
      <c r="CD225" s="169"/>
      <c r="CE225" s="169"/>
      <c r="CF225" s="169"/>
      <c r="CG225" s="169"/>
      <c r="CH225" s="169"/>
      <c r="CI225" s="169"/>
      <c r="CJ225" s="169"/>
      <c r="CK225" s="169"/>
      <c r="CL225" s="169"/>
      <c r="CM225" s="169"/>
      <c r="CN225" s="169"/>
      <c r="CO225" s="169"/>
      <c r="CP225" s="169"/>
      <c r="CQ225" s="169"/>
      <c r="CR225" s="169"/>
      <c r="CS225" s="169"/>
      <c r="CT225" s="169"/>
      <c r="CU225" s="169"/>
      <c r="CV225" s="169"/>
      <c r="CW225" s="169"/>
      <c r="CX225" s="169"/>
      <c r="CY225" s="169"/>
      <c r="CZ225" s="169"/>
      <c r="DA225" s="169"/>
      <c r="DB225" s="169"/>
      <c r="DC225" s="169"/>
      <c r="DD225" s="169"/>
      <c r="DE225" s="169"/>
      <c r="DF225" s="169"/>
    </row>
    <row r="226" spans="2:110" ht="15">
      <c r="B226" s="23" t="s">
        <v>34</v>
      </c>
      <c r="C226" s="23"/>
      <c r="D226" s="16">
        <f>+D122</f>
        <v>5999614.5543573825</v>
      </c>
      <c r="E226" s="16">
        <f>+E122</f>
        <v>6278931.315515502</v>
      </c>
      <c r="F226" s="16">
        <f>+F122</f>
        <v>6823272.205938781</v>
      </c>
      <c r="G226" s="16">
        <f>+G122</f>
        <v>7146633.544628681</v>
      </c>
      <c r="H226" s="16">
        <f>+H122</f>
        <v>7754145.968312032</v>
      </c>
      <c r="I226" s="172"/>
      <c r="J226" s="172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169"/>
      <c r="AS226" s="169"/>
      <c r="AT226" s="169"/>
      <c r="AU226" s="169"/>
      <c r="AV226" s="169"/>
      <c r="AW226" s="169"/>
      <c r="AX226" s="169"/>
      <c r="AY226" s="169"/>
      <c r="AZ226" s="169"/>
      <c r="BA226" s="169"/>
      <c r="BB226" s="169"/>
      <c r="BC226" s="169"/>
      <c r="BD226" s="169"/>
      <c r="BE226" s="169"/>
      <c r="BF226" s="169"/>
      <c r="BG226" s="169"/>
      <c r="BH226" s="169"/>
      <c r="BI226" s="169"/>
      <c r="BJ226" s="169"/>
      <c r="BK226" s="169"/>
      <c r="BL226" s="169"/>
      <c r="BM226" s="169"/>
      <c r="BN226" s="169"/>
      <c r="BO226" s="169"/>
      <c r="BP226" s="169"/>
      <c r="BQ226" s="169"/>
      <c r="BR226" s="169"/>
      <c r="BS226" s="169"/>
      <c r="BT226" s="169"/>
      <c r="BU226" s="169"/>
      <c r="BV226" s="169"/>
      <c r="BW226" s="169"/>
      <c r="BX226" s="169"/>
      <c r="BY226" s="169"/>
      <c r="BZ226" s="169"/>
      <c r="CA226" s="169"/>
      <c r="CB226" s="169"/>
      <c r="CC226" s="169"/>
      <c r="CD226" s="169"/>
      <c r="CE226" s="169"/>
      <c r="CF226" s="169"/>
      <c r="CG226" s="169"/>
      <c r="CH226" s="169"/>
      <c r="CI226" s="169"/>
      <c r="CJ226" s="169"/>
      <c r="CK226" s="169"/>
      <c r="CL226" s="169"/>
      <c r="CM226" s="169"/>
      <c r="CN226" s="169"/>
      <c r="CO226" s="169"/>
      <c r="CP226" s="169"/>
      <c r="CQ226" s="169"/>
      <c r="CR226" s="169"/>
      <c r="CS226" s="169"/>
      <c r="CT226" s="169"/>
      <c r="CU226" s="169"/>
      <c r="CV226" s="169"/>
      <c r="CW226" s="169"/>
      <c r="CX226" s="169"/>
      <c r="CY226" s="169"/>
      <c r="CZ226" s="169"/>
      <c r="DA226" s="169"/>
      <c r="DB226" s="169"/>
      <c r="DC226" s="169"/>
      <c r="DD226" s="169"/>
      <c r="DE226" s="169"/>
      <c r="DF226" s="169"/>
    </row>
    <row r="227" spans="2:110" ht="15">
      <c r="B227" s="23" t="s">
        <v>35</v>
      </c>
      <c r="C227" s="23"/>
      <c r="D227" s="16">
        <f>+D118</f>
        <v>299980727.7178684</v>
      </c>
      <c r="E227" s="16">
        <f>+E118</f>
        <v>313946565.7757759</v>
      </c>
      <c r="F227" s="16">
        <f>+F118</f>
        <v>341163610.29693776</v>
      </c>
      <c r="G227" s="16">
        <f>+G118</f>
        <v>357331677.2314347</v>
      </c>
      <c r="H227" s="16">
        <f>+H118</f>
        <v>387707298.4156019</v>
      </c>
      <c r="I227" s="172"/>
      <c r="J227" s="172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  <c r="AR227" s="169"/>
      <c r="AS227" s="169"/>
      <c r="AT227" s="169"/>
      <c r="AU227" s="169"/>
      <c r="AV227" s="169"/>
      <c r="AW227" s="169"/>
      <c r="AX227" s="169"/>
      <c r="AY227" s="169"/>
      <c r="AZ227" s="169"/>
      <c r="BA227" s="169"/>
      <c r="BB227" s="169"/>
      <c r="BC227" s="169"/>
      <c r="BD227" s="169"/>
      <c r="BE227" s="169"/>
      <c r="BF227" s="169"/>
      <c r="BG227" s="169"/>
      <c r="BH227" s="169"/>
      <c r="BI227" s="169"/>
      <c r="BJ227" s="169"/>
      <c r="BK227" s="169"/>
      <c r="BL227" s="169"/>
      <c r="BM227" s="169"/>
      <c r="BN227" s="169"/>
      <c r="BO227" s="169"/>
      <c r="BP227" s="169"/>
      <c r="BQ227" s="169"/>
      <c r="BR227" s="169"/>
      <c r="BS227" s="169"/>
      <c r="BT227" s="169"/>
      <c r="BU227" s="169"/>
      <c r="BV227" s="169"/>
      <c r="BW227" s="169"/>
      <c r="BX227" s="169"/>
      <c r="BY227" s="169"/>
      <c r="BZ227" s="169"/>
      <c r="CA227" s="169"/>
      <c r="CB227" s="169"/>
      <c r="CC227" s="169"/>
      <c r="CD227" s="169"/>
      <c r="CE227" s="169"/>
      <c r="CF227" s="169"/>
      <c r="CG227" s="169"/>
      <c r="CH227" s="169"/>
      <c r="CI227" s="169"/>
      <c r="CJ227" s="169"/>
      <c r="CK227" s="169"/>
      <c r="CL227" s="169"/>
      <c r="CM227" s="169"/>
      <c r="CN227" s="169"/>
      <c r="CO227" s="169"/>
      <c r="CP227" s="169"/>
      <c r="CQ227" s="169"/>
      <c r="CR227" s="169"/>
      <c r="CS227" s="169"/>
      <c r="CT227" s="169"/>
      <c r="CU227" s="169"/>
      <c r="CV227" s="169"/>
      <c r="CW227" s="169"/>
      <c r="CX227" s="169"/>
      <c r="CY227" s="169"/>
      <c r="CZ227" s="169"/>
      <c r="DA227" s="169"/>
      <c r="DB227" s="169"/>
      <c r="DC227" s="169"/>
      <c r="DD227" s="169"/>
      <c r="DE227" s="169"/>
      <c r="DF227" s="169"/>
    </row>
    <row r="228" spans="2:110" ht="15">
      <c r="B228" s="23" t="s">
        <v>36</v>
      </c>
      <c r="C228" s="23"/>
      <c r="D228" s="16">
        <f>+D99*D126</f>
        <v>14206247.195920665</v>
      </c>
      <c r="E228" s="16">
        <f>+E99*E126</f>
        <v>14877797.39241183</v>
      </c>
      <c r="F228" s="16">
        <f>+F99*F126</f>
        <v>16167108.656991275</v>
      </c>
      <c r="G228" s="16">
        <f>+G99*G126</f>
        <v>16933688.1044094</v>
      </c>
      <c r="H228" s="16">
        <f>+H99*H126</f>
        <v>18372577.78895185</v>
      </c>
      <c r="I228" s="172"/>
      <c r="J228" s="172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  <c r="AZ228" s="169"/>
      <c r="BA228" s="169"/>
      <c r="BB228" s="169"/>
      <c r="BC228" s="169"/>
      <c r="BD228" s="169"/>
      <c r="BE228" s="169"/>
      <c r="BF228" s="169"/>
      <c r="BG228" s="169"/>
      <c r="BH228" s="169"/>
      <c r="BI228" s="169"/>
      <c r="BJ228" s="169"/>
      <c r="BK228" s="169"/>
      <c r="BL228" s="169"/>
      <c r="BM228" s="169"/>
      <c r="BN228" s="169"/>
      <c r="BO228" s="169"/>
      <c r="BP228" s="169"/>
      <c r="BQ228" s="169"/>
      <c r="BR228" s="169"/>
      <c r="BS228" s="169"/>
      <c r="BT228" s="169"/>
      <c r="BU228" s="169"/>
      <c r="BV228" s="169"/>
      <c r="BW228" s="169"/>
      <c r="BX228" s="169"/>
      <c r="BY228" s="169"/>
      <c r="BZ228" s="169"/>
      <c r="CA228" s="169"/>
      <c r="CB228" s="169"/>
      <c r="CC228" s="169"/>
      <c r="CD228" s="169"/>
      <c r="CE228" s="169"/>
      <c r="CF228" s="169"/>
      <c r="CG228" s="169"/>
      <c r="CH228" s="169"/>
      <c r="CI228" s="169"/>
      <c r="CJ228" s="169"/>
      <c r="CK228" s="169"/>
      <c r="CL228" s="169"/>
      <c r="CM228" s="169"/>
      <c r="CN228" s="169"/>
      <c r="CO228" s="169"/>
      <c r="CP228" s="169"/>
      <c r="CQ228" s="169"/>
      <c r="CR228" s="169"/>
      <c r="CS228" s="169"/>
      <c r="CT228" s="169"/>
      <c r="CU228" s="169"/>
      <c r="CV228" s="169"/>
      <c r="CW228" s="169"/>
      <c r="CX228" s="169"/>
      <c r="CY228" s="169"/>
      <c r="CZ228" s="169"/>
      <c r="DA228" s="169"/>
      <c r="DB228" s="169"/>
      <c r="DC228" s="169"/>
      <c r="DD228" s="169"/>
      <c r="DE228" s="169"/>
      <c r="DF228" s="169"/>
    </row>
    <row r="229" spans="2:110" ht="15">
      <c r="B229" s="23" t="s">
        <v>180</v>
      </c>
      <c r="C229" s="23"/>
      <c r="D229" s="16">
        <f aca="true" t="shared" si="15" ref="D229:H230">+D127</f>
        <v>2595000</v>
      </c>
      <c r="E229" s="16">
        <f t="shared" si="15"/>
        <v>2689717.5</v>
      </c>
      <c r="F229" s="16">
        <f t="shared" si="15"/>
        <v>2785202.4712500004</v>
      </c>
      <c r="G229" s="16">
        <f t="shared" si="15"/>
        <v>2884077.158979376</v>
      </c>
      <c r="H229" s="16">
        <f t="shared" si="15"/>
        <v>2985019.8595436537</v>
      </c>
      <c r="I229" s="172"/>
      <c r="J229" s="172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69"/>
      <c r="AS229" s="169"/>
      <c r="AT229" s="169"/>
      <c r="AU229" s="169"/>
      <c r="AV229" s="169"/>
      <c r="AW229" s="169"/>
      <c r="AX229" s="169"/>
      <c r="AY229" s="169"/>
      <c r="AZ229" s="169"/>
      <c r="BA229" s="169"/>
      <c r="BB229" s="169"/>
      <c r="BC229" s="169"/>
      <c r="BD229" s="169"/>
      <c r="BE229" s="169"/>
      <c r="BF229" s="169"/>
      <c r="BG229" s="169"/>
      <c r="BH229" s="169"/>
      <c r="BI229" s="169"/>
      <c r="BJ229" s="169"/>
      <c r="BK229" s="169"/>
      <c r="BL229" s="169"/>
      <c r="BM229" s="169"/>
      <c r="BN229" s="169"/>
      <c r="BO229" s="169"/>
      <c r="BP229" s="169"/>
      <c r="BQ229" s="169"/>
      <c r="BR229" s="169"/>
      <c r="BS229" s="169"/>
      <c r="BT229" s="169"/>
      <c r="BU229" s="169"/>
      <c r="BV229" s="169"/>
      <c r="BW229" s="169"/>
      <c r="BX229" s="169"/>
      <c r="BY229" s="169"/>
      <c r="BZ229" s="169"/>
      <c r="CA229" s="169"/>
      <c r="CB229" s="169"/>
      <c r="CC229" s="169"/>
      <c r="CD229" s="169"/>
      <c r="CE229" s="169"/>
      <c r="CF229" s="169"/>
      <c r="CG229" s="169"/>
      <c r="CH229" s="169"/>
      <c r="CI229" s="169"/>
      <c r="CJ229" s="169"/>
      <c r="CK229" s="169"/>
      <c r="CL229" s="169"/>
      <c r="CM229" s="169"/>
      <c r="CN229" s="169"/>
      <c r="CO229" s="169"/>
      <c r="CP229" s="169"/>
      <c r="CQ229" s="169"/>
      <c r="CR229" s="169"/>
      <c r="CS229" s="169"/>
      <c r="CT229" s="169"/>
      <c r="CU229" s="169"/>
      <c r="CV229" s="169"/>
      <c r="CW229" s="169"/>
      <c r="CX229" s="169"/>
      <c r="CY229" s="169"/>
      <c r="CZ229" s="169"/>
      <c r="DA229" s="169"/>
      <c r="DB229" s="169"/>
      <c r="DC229" s="169"/>
      <c r="DD229" s="169"/>
      <c r="DE229" s="169"/>
      <c r="DF229" s="169"/>
    </row>
    <row r="230" spans="2:110" ht="15">
      <c r="B230" s="23" t="s">
        <v>181</v>
      </c>
      <c r="C230" s="23"/>
      <c r="D230" s="16">
        <f t="shared" si="15"/>
        <v>75960000</v>
      </c>
      <c r="E230" s="16">
        <f t="shared" si="15"/>
        <v>75960000</v>
      </c>
      <c r="F230" s="16">
        <f t="shared" si="15"/>
        <v>75960000</v>
      </c>
      <c r="G230" s="16">
        <f t="shared" si="15"/>
        <v>75960000</v>
      </c>
      <c r="H230" s="16">
        <f t="shared" si="15"/>
        <v>75960000</v>
      </c>
      <c r="I230" s="172"/>
      <c r="J230" s="172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  <c r="AZ230" s="169"/>
      <c r="BA230" s="169"/>
      <c r="BB230" s="169"/>
      <c r="BC230" s="169"/>
      <c r="BD230" s="169"/>
      <c r="BE230" s="169"/>
      <c r="BF230" s="169"/>
      <c r="BG230" s="169"/>
      <c r="BH230" s="169"/>
      <c r="BI230" s="169"/>
      <c r="BJ230" s="169"/>
      <c r="BK230" s="169"/>
      <c r="BL230" s="169"/>
      <c r="BM230" s="169"/>
      <c r="BN230" s="169"/>
      <c r="BO230" s="169"/>
      <c r="BP230" s="169"/>
      <c r="BQ230" s="169"/>
      <c r="BR230" s="169"/>
      <c r="BS230" s="169"/>
      <c r="BT230" s="169"/>
      <c r="BU230" s="169"/>
      <c r="BV230" s="169"/>
      <c r="BW230" s="169"/>
      <c r="BX230" s="169"/>
      <c r="BY230" s="169"/>
      <c r="BZ230" s="169"/>
      <c r="CA230" s="169"/>
      <c r="CB230" s="169"/>
      <c r="CC230" s="169"/>
      <c r="CD230" s="169"/>
      <c r="CE230" s="169"/>
      <c r="CF230" s="169"/>
      <c r="CG230" s="169"/>
      <c r="CH230" s="169"/>
      <c r="CI230" s="169"/>
      <c r="CJ230" s="169"/>
      <c r="CK230" s="169"/>
      <c r="CL230" s="169"/>
      <c r="CM230" s="169"/>
      <c r="CN230" s="169"/>
      <c r="CO230" s="169"/>
      <c r="CP230" s="169"/>
      <c r="CQ230" s="169"/>
      <c r="CR230" s="169"/>
      <c r="CS230" s="169"/>
      <c r="CT230" s="169"/>
      <c r="CU230" s="169"/>
      <c r="CV230" s="169"/>
      <c r="CW230" s="169"/>
      <c r="CX230" s="169"/>
      <c r="CY230" s="169"/>
      <c r="CZ230" s="169"/>
      <c r="DA230" s="169"/>
      <c r="DB230" s="169"/>
      <c r="DC230" s="169"/>
      <c r="DD230" s="169"/>
      <c r="DE230" s="169"/>
      <c r="DF230" s="169"/>
    </row>
    <row r="231" spans="2:10" ht="15">
      <c r="B231" s="23" t="s">
        <v>182</v>
      </c>
      <c r="C231" s="23"/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41"/>
      <c r="J231" s="141"/>
    </row>
    <row r="232" spans="2:10" ht="15.75">
      <c r="B232" s="18" t="s">
        <v>183</v>
      </c>
      <c r="C232" s="23"/>
      <c r="D232" s="16">
        <f>+SUM(D227:D231)</f>
        <v>392741974.91378903</v>
      </c>
      <c r="E232" s="16">
        <f>+SUM(E227:E231)</f>
        <v>407474080.66818774</v>
      </c>
      <c r="F232" s="16">
        <f>+SUM(F227:F231)</f>
        <v>436075921.42517906</v>
      </c>
      <c r="G232" s="16">
        <f>+SUM(G227:G231)</f>
        <v>453109442.49482346</v>
      </c>
      <c r="H232" s="16">
        <f>+SUM(H227:H231)</f>
        <v>485024896.06409746</v>
      </c>
      <c r="I232" s="141"/>
      <c r="J232" s="141"/>
    </row>
    <row r="233" spans="2:10" ht="15.75">
      <c r="B233" s="18" t="s">
        <v>37</v>
      </c>
      <c r="C233" s="23"/>
      <c r="D233" s="16">
        <f>+D154</f>
        <v>7700823.037525283</v>
      </c>
      <c r="E233" s="16">
        <f>+E154</f>
        <v>8140684.386386561</v>
      </c>
      <c r="F233" s="16">
        <f>+F154</f>
        <v>16613212.068345793</v>
      </c>
      <c r="G233" s="16">
        <f>+G154</f>
        <v>17567110.21486335</v>
      </c>
      <c r="H233" s="16">
        <f>+H154</f>
        <v>26932623.442196507</v>
      </c>
      <c r="I233" s="141"/>
      <c r="J233" s="141"/>
    </row>
    <row r="234" spans="2:10" ht="15.75">
      <c r="B234" s="18" t="s">
        <v>38</v>
      </c>
      <c r="C234" s="23"/>
      <c r="D234" s="16">
        <f>+D223+D232-D233</f>
        <v>385041151.87626374</v>
      </c>
      <c r="E234" s="16">
        <f>+E223+E232-E233</f>
        <v>407034219.31932646</v>
      </c>
      <c r="F234" s="16">
        <f>+F223+F232-F233</f>
        <v>427603393.74321985</v>
      </c>
      <c r="G234" s="16">
        <f>+G223+G232-G233</f>
        <v>452155544.3483059</v>
      </c>
      <c r="H234" s="16">
        <f>+H223+H232-H233</f>
        <v>475659382.83676434</v>
      </c>
      <c r="I234" s="240"/>
      <c r="J234" s="240"/>
    </row>
    <row r="235" spans="2:10" ht="15.75">
      <c r="B235" s="142" t="s">
        <v>40</v>
      </c>
      <c r="C235" s="143"/>
      <c r="D235" s="144">
        <f>+D222-D234</f>
        <v>657375538.1237363</v>
      </c>
      <c r="E235" s="144">
        <f>+E222-E234</f>
        <v>705844626.8412235</v>
      </c>
      <c r="F235" s="144">
        <f>+F222-F234</f>
        <v>759354232.8120074</v>
      </c>
      <c r="G235" s="144">
        <f>+G222-G234</f>
        <v>813811916.6185701</v>
      </c>
      <c r="H235" s="144">
        <f>+H222-H234</f>
        <v>873925228.9269738</v>
      </c>
      <c r="I235" s="145"/>
      <c r="J235" s="145"/>
    </row>
    <row r="236" spans="2:10" ht="15.75">
      <c r="B236" s="142" t="s">
        <v>201</v>
      </c>
      <c r="C236" s="143"/>
      <c r="D236" s="146">
        <f>+D235/D222</f>
        <v>0.6306264514277263</v>
      </c>
      <c r="E236" s="146">
        <f>+E235/E222</f>
        <v>0.6342510950553144</v>
      </c>
      <c r="F236" s="146">
        <f>+F235/F222</f>
        <v>0.6397483918746074</v>
      </c>
      <c r="G236" s="146">
        <f>+G235/G222</f>
        <v>0.6428379415036667</v>
      </c>
      <c r="H236" s="146">
        <f>+H235/H222</f>
        <v>0.6475512697087313</v>
      </c>
      <c r="I236" s="145"/>
      <c r="J236" s="145"/>
    </row>
    <row r="237" spans="2:10" ht="15">
      <c r="B237" s="23" t="s">
        <v>184</v>
      </c>
      <c r="C237" s="23"/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45"/>
      <c r="J237" s="147"/>
    </row>
    <row r="238" spans="2:10" ht="15">
      <c r="B238" s="23" t="s">
        <v>185</v>
      </c>
      <c r="C238" s="23"/>
      <c r="D238" s="16">
        <f aca="true" t="shared" si="16" ref="D238:H239">+D91</f>
        <v>519415200</v>
      </c>
      <c r="E238" s="16">
        <f t="shared" si="16"/>
        <v>538373854.8</v>
      </c>
      <c r="F238" s="16">
        <f t="shared" si="16"/>
        <v>557486126.6454</v>
      </c>
      <c r="G238" s="16">
        <f t="shared" si="16"/>
        <v>577276884.1413118</v>
      </c>
      <c r="H238" s="16">
        <f t="shared" si="16"/>
        <v>597481575.0862576</v>
      </c>
      <c r="I238" s="145"/>
      <c r="J238" s="145"/>
    </row>
    <row r="239" spans="2:10" ht="15">
      <c r="B239" s="23" t="s">
        <v>186</v>
      </c>
      <c r="C239" s="23"/>
      <c r="D239" s="16">
        <f t="shared" si="16"/>
        <v>3000000</v>
      </c>
      <c r="E239" s="16">
        <f t="shared" si="16"/>
        <v>3000000</v>
      </c>
      <c r="F239" s="16">
        <f t="shared" si="16"/>
        <v>3000000</v>
      </c>
      <c r="G239" s="16">
        <f t="shared" si="16"/>
        <v>3000000</v>
      </c>
      <c r="H239" s="16">
        <f t="shared" si="16"/>
        <v>3000000</v>
      </c>
      <c r="I239" s="145"/>
      <c r="J239" s="145"/>
    </row>
    <row r="240" spans="2:10" ht="15">
      <c r="B240" s="143" t="s">
        <v>202</v>
      </c>
      <c r="C240" s="143"/>
      <c r="D240" s="144">
        <f>+D235-D237-D238-D239</f>
        <v>134960338.12373626</v>
      </c>
      <c r="E240" s="144">
        <f>+E235-E237-E238-E239</f>
        <v>164470772.04122353</v>
      </c>
      <c r="F240" s="144">
        <f>+F235-F237-F238-F239</f>
        <v>198868106.16660738</v>
      </c>
      <c r="G240" s="144">
        <f>+G235-G237-G238-G239</f>
        <v>233535032.47725832</v>
      </c>
      <c r="H240" s="144">
        <f>+H235-H237-H238-H239</f>
        <v>273443653.84071624</v>
      </c>
      <c r="I240" s="145"/>
      <c r="J240" s="145"/>
    </row>
    <row r="241" spans="2:10" ht="15">
      <c r="B241" s="143" t="s">
        <v>203</v>
      </c>
      <c r="C241" s="144">
        <f aca="true" t="shared" si="17" ref="C241:H241">+C240+C239+C237+C231+C230</f>
        <v>0</v>
      </c>
      <c r="D241" s="144">
        <f t="shared" si="17"/>
        <v>213920338.12373626</v>
      </c>
      <c r="E241" s="144">
        <f t="shared" si="17"/>
        <v>243430772.04122353</v>
      </c>
      <c r="F241" s="144">
        <f t="shared" si="17"/>
        <v>277828106.1666074</v>
      </c>
      <c r="G241" s="144">
        <f t="shared" si="17"/>
        <v>312495032.4772583</v>
      </c>
      <c r="H241" s="144">
        <f t="shared" si="17"/>
        <v>352403653.84071624</v>
      </c>
      <c r="I241" s="145"/>
      <c r="J241" s="145"/>
    </row>
    <row r="242" spans="2:10" ht="15">
      <c r="B242" s="143" t="s">
        <v>204</v>
      </c>
      <c r="C242" s="143"/>
      <c r="D242" s="146">
        <f>+D241/D222</f>
        <v>0.20521576465140468</v>
      </c>
      <c r="E242" s="146">
        <f>+E241/E222</f>
        <v>0.21873968840459468</v>
      </c>
      <c r="F242" s="146">
        <f>+F241/F222</f>
        <v>0.23406741736258643</v>
      </c>
      <c r="G242" s="146">
        <f>+G241/G222</f>
        <v>0.24684286295841434</v>
      </c>
      <c r="H242" s="146">
        <f>+H241/H222</f>
        <v>0.26112008892882144</v>
      </c>
      <c r="I242" s="145"/>
      <c r="J242" s="145"/>
    </row>
    <row r="243" spans="2:10" ht="15">
      <c r="B243" s="23" t="s">
        <v>107</v>
      </c>
      <c r="C243" s="23"/>
      <c r="D243" s="16">
        <f aca="true" t="array" ref="D243:H243">+TRANSPOSE(E164:E168)</f>
        <v>48612585.00000005</v>
      </c>
      <c r="E243" s="16">
        <v>41043473.36927186</v>
      </c>
      <c r="F243" s="16">
        <v>30283693.810225654</v>
      </c>
      <c r="G243" s="16">
        <v>19764399.111179974</v>
      </c>
      <c r="H243" s="16">
        <v>10389299.243683605</v>
      </c>
      <c r="I243" s="145"/>
      <c r="J243" s="148"/>
    </row>
    <row r="244" spans="2:10" ht="15.75">
      <c r="B244" s="142" t="s">
        <v>41</v>
      </c>
      <c r="C244" s="143"/>
      <c r="D244" s="144">
        <f>+D240-D243</f>
        <v>86347753.1237362</v>
      </c>
      <c r="E244" s="144">
        <f>+E240-E243</f>
        <v>123427298.67195167</v>
      </c>
      <c r="F244" s="144">
        <f>+F240-F243</f>
        <v>168584412.3563817</v>
      </c>
      <c r="G244" s="144">
        <f>+G240-G243</f>
        <v>213770633.36607835</v>
      </c>
      <c r="H244" s="144">
        <f>+H240-H243</f>
        <v>263054354.59703264</v>
      </c>
      <c r="I244" s="145"/>
      <c r="J244" s="149"/>
    </row>
    <row r="245" spans="2:10" ht="15">
      <c r="B245" s="23" t="s">
        <v>42</v>
      </c>
      <c r="C245" s="23"/>
      <c r="D245" s="16">
        <f>+IF(D244&lt;0,0,D244*C37)</f>
        <v>28494758.53083295</v>
      </c>
      <c r="E245" s="16">
        <f>+IF(E244&lt;0,0,E244*D37)</f>
        <v>40731008.56174405</v>
      </c>
      <c r="F245" s="16">
        <f>+IF(F244&lt;0,0,F244*E37)</f>
        <v>55632856.07760597</v>
      </c>
      <c r="G245" s="16">
        <f>+IF(G244&lt;0,0,G244*F37)</f>
        <v>70544309.01080586</v>
      </c>
      <c r="H245" s="16">
        <f>+IF(H244&lt;0,0,H244*G37)</f>
        <v>86807937.01702078</v>
      </c>
      <c r="I245" s="145"/>
      <c r="J245" s="150"/>
    </row>
    <row r="246" spans="2:10" ht="15.75">
      <c r="B246" s="142" t="s">
        <v>43</v>
      </c>
      <c r="C246" s="143"/>
      <c r="D246" s="144">
        <f>+D244-D245</f>
        <v>57852994.59290326</v>
      </c>
      <c r="E246" s="144">
        <f>+E244-E245</f>
        <v>82696290.11020762</v>
      </c>
      <c r="F246" s="144">
        <f>+F244-F245</f>
        <v>112951556.27877575</v>
      </c>
      <c r="G246" s="144">
        <f>+G244-G245</f>
        <v>143226324.35527247</v>
      </c>
      <c r="H246" s="144">
        <f>+H244-H245</f>
        <v>176246417.58001184</v>
      </c>
      <c r="I246" s="145"/>
      <c r="J246" s="150"/>
    </row>
    <row r="247" spans="2:10" ht="15.75">
      <c r="B247" s="142" t="s">
        <v>205</v>
      </c>
      <c r="C247" s="143"/>
      <c r="D247" s="146">
        <f>+D246/D222</f>
        <v>0.055498914347681116</v>
      </c>
      <c r="E247" s="146">
        <f>+E246/E222</f>
        <v>0.07430843922994058</v>
      </c>
      <c r="F247" s="146">
        <f>+F246/F222</f>
        <v>0.09516056323474854</v>
      </c>
      <c r="G247" s="146">
        <f>+G246/G222</f>
        <v>0.11313586547152177</v>
      </c>
      <c r="H247" s="146">
        <f>+H246/H222</f>
        <v>0.13059308474900275</v>
      </c>
      <c r="I247" s="145"/>
      <c r="J247" s="145"/>
    </row>
    <row r="248" spans="2:10" ht="15.75">
      <c r="B248" s="46"/>
      <c r="D248" s="141"/>
      <c r="E248" s="141"/>
      <c r="F248" s="141"/>
      <c r="G248" s="141"/>
      <c r="H248" s="141"/>
      <c r="I248" s="141"/>
      <c r="J248" s="141"/>
    </row>
    <row r="249" spans="2:10" ht="15.75">
      <c r="B249" s="46"/>
      <c r="D249" s="141"/>
      <c r="E249" s="141"/>
      <c r="F249" s="141"/>
      <c r="G249" s="141"/>
      <c r="H249" s="141"/>
      <c r="I249" s="141"/>
      <c r="J249" s="141"/>
    </row>
    <row r="250" spans="2:10" ht="15.75">
      <c r="B250" s="46"/>
      <c r="D250" s="141"/>
      <c r="E250" s="151"/>
      <c r="F250" s="141"/>
      <c r="G250" s="141"/>
      <c r="H250" s="141"/>
      <c r="I250" s="141"/>
      <c r="J250" s="141"/>
    </row>
    <row r="251" spans="2:8" ht="15.75">
      <c r="B251" s="136" t="s">
        <v>187</v>
      </c>
      <c r="C251" s="60" t="s">
        <v>1</v>
      </c>
      <c r="D251" s="60" t="s">
        <v>2</v>
      </c>
      <c r="E251" s="60" t="s">
        <v>3</v>
      </c>
      <c r="F251" s="60" t="s">
        <v>4</v>
      </c>
      <c r="G251" s="60" t="s">
        <v>5</v>
      </c>
      <c r="H251" s="60" t="s">
        <v>6</v>
      </c>
    </row>
    <row r="252" spans="2:8" ht="15.75">
      <c r="B252" s="18" t="s">
        <v>44</v>
      </c>
      <c r="C252" s="16">
        <v>0</v>
      </c>
      <c r="D252" s="87">
        <f>+C274</f>
        <v>94950000</v>
      </c>
      <c r="E252" s="87">
        <f>+D272</f>
        <v>126116887.88701904</v>
      </c>
      <c r="F252" s="87">
        <f>+E272</f>
        <v>113172989.58123386</v>
      </c>
      <c r="G252" s="87">
        <f>+F272</f>
        <v>108041338.6813401</v>
      </c>
      <c r="H252" s="87">
        <f>+G272</f>
        <v>118627191.55352879</v>
      </c>
    </row>
    <row r="253" spans="2:8" ht="15">
      <c r="B253" s="23" t="s">
        <v>45</v>
      </c>
      <c r="C253" s="16">
        <v>0</v>
      </c>
      <c r="D253" s="16">
        <f>+(D222/360)*(360-$C$67)</f>
        <v>912114603.75</v>
      </c>
      <c r="E253" s="16">
        <f>+(E222/360)*(360-$C$67)</f>
        <v>973768990.3904812</v>
      </c>
      <c r="F253" s="16">
        <f>+(F222/360)*(360-$C$67)</f>
        <v>1038587923.2358239</v>
      </c>
      <c r="G253" s="16">
        <f>+(G222/360)*(360-$C$67)</f>
        <v>1107721528.3460166</v>
      </c>
      <c r="H253" s="16">
        <f>+(H222/360)*(360-$C$67)</f>
        <v>1180886535.2932708</v>
      </c>
    </row>
    <row r="254" spans="2:8" ht="15">
      <c r="B254" s="23" t="s">
        <v>46</v>
      </c>
      <c r="C254" s="16">
        <v>0</v>
      </c>
      <c r="D254" s="16">
        <v>0</v>
      </c>
      <c r="E254" s="16"/>
      <c r="F254" s="16"/>
      <c r="G254" s="16"/>
      <c r="H254" s="16"/>
    </row>
    <row r="255" spans="2:8" ht="15">
      <c r="B255" s="23" t="s">
        <v>47</v>
      </c>
      <c r="C255" s="16">
        <f>+C54-C56</f>
        <v>146925000</v>
      </c>
      <c r="D255" s="16">
        <v>0</v>
      </c>
      <c r="E255" s="16"/>
      <c r="F255" s="16"/>
      <c r="G255" s="16"/>
      <c r="H255" s="16"/>
    </row>
    <row r="256" spans="2:8" ht="15">
      <c r="B256" s="23" t="s">
        <v>48</v>
      </c>
      <c r="C256" s="16">
        <f>+C56</f>
        <v>342825000</v>
      </c>
      <c r="D256" s="16"/>
      <c r="E256" s="16"/>
      <c r="F256" s="16"/>
      <c r="G256" s="16"/>
      <c r="H256" s="16"/>
    </row>
    <row r="257" spans="2:8" ht="15.75">
      <c r="B257" s="18" t="s">
        <v>49</v>
      </c>
      <c r="C257" s="17">
        <f aca="true" t="shared" si="18" ref="C257:H257">+SUM(C253:C256)</f>
        <v>489750000</v>
      </c>
      <c r="D257" s="17">
        <f t="shared" si="18"/>
        <v>912114603.75</v>
      </c>
      <c r="E257" s="17">
        <f t="shared" si="18"/>
        <v>973768990.3904812</v>
      </c>
      <c r="F257" s="17">
        <f t="shared" si="18"/>
        <v>1038587923.2358239</v>
      </c>
      <c r="G257" s="17">
        <f t="shared" si="18"/>
        <v>1107721528.3460166</v>
      </c>
      <c r="H257" s="17">
        <f t="shared" si="18"/>
        <v>1180886535.2932708</v>
      </c>
    </row>
    <row r="258" spans="2:8" ht="15.75">
      <c r="B258" s="126"/>
      <c r="C258" s="16"/>
      <c r="D258" s="16"/>
      <c r="E258" s="16"/>
      <c r="F258" s="16"/>
      <c r="G258" s="16"/>
      <c r="H258" s="16"/>
    </row>
    <row r="259" spans="1:8" ht="15">
      <c r="A259" s="180"/>
      <c r="B259" s="23" t="s">
        <v>50</v>
      </c>
      <c r="C259" s="16">
        <v>0</v>
      </c>
      <c r="D259" s="16">
        <f>+D126*D99</f>
        <v>14206247.195920665</v>
      </c>
      <c r="E259" s="16">
        <f>+E126*E99</f>
        <v>14877797.39241183</v>
      </c>
      <c r="F259" s="16">
        <f>+F126*F99</f>
        <v>16167108.656991275</v>
      </c>
      <c r="G259" s="16">
        <f>+G126*G99</f>
        <v>16933688.1044094</v>
      </c>
      <c r="H259" s="16">
        <f>+H126*H99</f>
        <v>18372577.78895185</v>
      </c>
    </row>
    <row r="260" spans="2:8" ht="15">
      <c r="B260" s="23" t="s">
        <v>51</v>
      </c>
      <c r="D260" s="16">
        <f>-D208</f>
        <v>-8836040</v>
      </c>
      <c r="E260" s="16">
        <f>(-D208*D32)+$D$260</f>
        <v>-9158555.46</v>
      </c>
      <c r="F260" s="16">
        <f>(-E208*E32)+$D$260</f>
        <v>-9161168.71883</v>
      </c>
      <c r="G260" s="16">
        <f>(-F208*F32)+$D$260</f>
        <v>-9172710.788348464</v>
      </c>
      <c r="H260" s="16">
        <f>(-G208*G32)+$D$260</f>
        <v>-9179752.423851246</v>
      </c>
    </row>
    <row r="261" spans="2:8" ht="15">
      <c r="B261" s="23" t="s">
        <v>52</v>
      </c>
      <c r="C261" s="16">
        <v>0</v>
      </c>
      <c r="D261" s="16">
        <f>+(D225/360)*(360-$F$67)</f>
        <v>254983618.5601881</v>
      </c>
      <c r="E261" s="16">
        <f>+(E225/360)*(360-$F$67)</f>
        <v>261854902.1141117</v>
      </c>
      <c r="F261" s="16">
        <f>+(F225/360)*(360-$F$67)</f>
        <v>284756625.98946756</v>
      </c>
      <c r="G261" s="16">
        <f>+(G225/360)*(360-$F$67)</f>
        <v>298045865.47510386</v>
      </c>
      <c r="H261" s="16">
        <f>+(H225/360)*(360-$F$67)</f>
        <v>323595675.69940436</v>
      </c>
    </row>
    <row r="262" spans="2:8" ht="15">
      <c r="B262" s="23" t="s">
        <v>142</v>
      </c>
      <c r="C262" s="16">
        <v>0</v>
      </c>
      <c r="D262" s="16">
        <v>0</v>
      </c>
      <c r="E262" s="16">
        <f>+D225-D261</f>
        <v>50996723.71203762</v>
      </c>
      <c r="F262" s="16">
        <f>+E225-E261</f>
        <v>52370980.42282233</v>
      </c>
      <c r="G262" s="16">
        <f>+F225-F261</f>
        <v>56951325.1978935</v>
      </c>
      <c r="H262" s="16">
        <f>+G225-G261</f>
        <v>59609173.09502077</v>
      </c>
    </row>
    <row r="263" spans="2:8" ht="15">
      <c r="B263" s="23" t="s">
        <v>121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</row>
    <row r="264" spans="2:8" ht="15">
      <c r="B264" s="23" t="s">
        <v>188</v>
      </c>
      <c r="C264" s="16">
        <v>0</v>
      </c>
      <c r="D264" s="16">
        <f>+D238</f>
        <v>519415200</v>
      </c>
      <c r="E264" s="16">
        <f>+E238</f>
        <v>538373854.8</v>
      </c>
      <c r="F264" s="16">
        <f>+F238</f>
        <v>557486126.6454</v>
      </c>
      <c r="G264" s="16">
        <f>+G238</f>
        <v>577276884.1413118</v>
      </c>
      <c r="H264" s="16">
        <f>+H238</f>
        <v>597481575.0862576</v>
      </c>
    </row>
    <row r="265" spans="2:8" ht="15">
      <c r="B265" s="23" t="s">
        <v>189</v>
      </c>
      <c r="C265" s="16">
        <v>0</v>
      </c>
      <c r="D265" s="16">
        <f>+D229</f>
        <v>2595000</v>
      </c>
      <c r="E265" s="16">
        <f>+E229</f>
        <v>2689717.5</v>
      </c>
      <c r="F265" s="16">
        <f>+F229</f>
        <v>2785202.4712500004</v>
      </c>
      <c r="G265" s="16">
        <f>+G229</f>
        <v>2884077.158979376</v>
      </c>
      <c r="H265" s="16">
        <f>+H229</f>
        <v>2985019.8595436537</v>
      </c>
    </row>
    <row r="266" spans="2:8" ht="15">
      <c r="B266" s="23" t="s">
        <v>53</v>
      </c>
      <c r="C266" s="16">
        <v>0</v>
      </c>
      <c r="D266" s="16">
        <v>0</v>
      </c>
      <c r="E266" s="16">
        <f>+D245</f>
        <v>28494758.53083295</v>
      </c>
      <c r="F266" s="16">
        <f>+E245</f>
        <v>40731008.56174405</v>
      </c>
      <c r="G266" s="16">
        <f>+F245</f>
        <v>55632856.07760597</v>
      </c>
      <c r="H266" s="16">
        <f>+G245</f>
        <v>70544309.01080586</v>
      </c>
    </row>
    <row r="267" spans="2:8" ht="15">
      <c r="B267" s="23" t="s">
        <v>190</v>
      </c>
      <c r="C267" s="16">
        <f>+C50</f>
        <v>379800000</v>
      </c>
      <c r="D267" s="16"/>
      <c r="E267" s="16"/>
      <c r="F267" s="16"/>
      <c r="G267" s="16"/>
      <c r="H267" s="16"/>
    </row>
    <row r="268" spans="2:8" ht="15">
      <c r="B268" s="23" t="s">
        <v>58</v>
      </c>
      <c r="C268" s="16">
        <f>+C51</f>
        <v>13500000</v>
      </c>
      <c r="D268" s="16"/>
      <c r="E268" s="16"/>
      <c r="F268" s="16"/>
      <c r="G268" s="16"/>
      <c r="H268" s="16"/>
    </row>
    <row r="269" spans="2:8" ht="15">
      <c r="B269" s="23" t="s">
        <v>191</v>
      </c>
      <c r="C269" s="16">
        <f>+C52</f>
        <v>1500000</v>
      </c>
      <c r="D269" s="16"/>
      <c r="E269" s="16"/>
      <c r="F269" s="16"/>
      <c r="G269" s="16"/>
      <c r="H269" s="16"/>
    </row>
    <row r="270" spans="2:8" ht="15">
      <c r="B270" s="23" t="s">
        <v>108</v>
      </c>
      <c r="C270" s="16"/>
      <c r="D270" s="132">
        <f>+$I$170</f>
        <v>98583690.10687223</v>
      </c>
      <c r="E270" s="132">
        <f>+$I$170</f>
        <v>98583690.10687223</v>
      </c>
      <c r="F270" s="132">
        <f>+$I$170</f>
        <v>98583690.10687223</v>
      </c>
      <c r="G270" s="132">
        <f>+$I$170</f>
        <v>98583690.10687223</v>
      </c>
      <c r="H270" s="132">
        <f>+$I$170</f>
        <v>98583690.10687223</v>
      </c>
    </row>
    <row r="271" spans="2:8" ht="15.75">
      <c r="B271" s="18" t="s">
        <v>54</v>
      </c>
      <c r="C271" s="17">
        <f aca="true" t="shared" si="19" ref="C271:H271">+SUM(C259:C270)</f>
        <v>394800000</v>
      </c>
      <c r="D271" s="17">
        <f t="shared" si="19"/>
        <v>880947715.862981</v>
      </c>
      <c r="E271" s="17">
        <f t="shared" si="19"/>
        <v>986712888.6962663</v>
      </c>
      <c r="F271" s="17">
        <f t="shared" si="19"/>
        <v>1043719574.1357175</v>
      </c>
      <c r="G271" s="17">
        <f t="shared" si="19"/>
        <v>1097135675.4738278</v>
      </c>
      <c r="H271" s="17">
        <f t="shared" si="19"/>
        <v>1161992268.223005</v>
      </c>
    </row>
    <row r="272" spans="2:8" ht="15.75">
      <c r="B272" s="18" t="s">
        <v>55</v>
      </c>
      <c r="C272" s="85">
        <f aca="true" t="shared" si="20" ref="C272:H272">+C252+C257-C271</f>
        <v>94950000</v>
      </c>
      <c r="D272" s="85">
        <f t="shared" si="20"/>
        <v>126116887.88701904</v>
      </c>
      <c r="E272" s="85">
        <f t="shared" si="20"/>
        <v>113172989.58123386</v>
      </c>
      <c r="F272" s="85">
        <f t="shared" si="20"/>
        <v>108041338.6813401</v>
      </c>
      <c r="G272" s="85">
        <f t="shared" si="20"/>
        <v>118627191.55352879</v>
      </c>
      <c r="H272" s="85">
        <f t="shared" si="20"/>
        <v>137521458.62379456</v>
      </c>
    </row>
    <row r="273" spans="2:8" ht="15.75">
      <c r="B273" s="46"/>
      <c r="C273" s="107"/>
      <c r="D273" s="107"/>
      <c r="E273" s="107"/>
      <c r="F273" s="107"/>
      <c r="G273" s="107"/>
      <c r="H273" s="107"/>
    </row>
    <row r="274" spans="2:8" ht="15.75">
      <c r="B274" s="77" t="s">
        <v>192</v>
      </c>
      <c r="C274" s="85">
        <f aca="true" t="shared" si="21" ref="C274:H274">+C257-C271</f>
        <v>94950000</v>
      </c>
      <c r="D274" s="85">
        <f t="shared" si="21"/>
        <v>31166887.88701904</v>
      </c>
      <c r="E274" s="85">
        <f t="shared" si="21"/>
        <v>-12943898.30578506</v>
      </c>
      <c r="F274" s="85">
        <f t="shared" si="21"/>
        <v>-5131650.8998936415</v>
      </c>
      <c r="G274" s="85">
        <f t="shared" si="21"/>
        <v>10585852.872188807</v>
      </c>
      <c r="H274" s="85">
        <f t="shared" si="21"/>
        <v>18894267.07026577</v>
      </c>
    </row>
    <row r="275" ht="15"/>
    <row r="276" spans="2:8" ht="15.75">
      <c r="B276" s="139" t="s">
        <v>56</v>
      </c>
      <c r="C276" s="60" t="s">
        <v>1</v>
      </c>
      <c r="D276" s="60" t="s">
        <v>2</v>
      </c>
      <c r="E276" s="60" t="s">
        <v>3</v>
      </c>
      <c r="F276" s="60" t="s">
        <v>4</v>
      </c>
      <c r="G276" s="60" t="s">
        <v>5</v>
      </c>
      <c r="H276" s="60" t="s">
        <v>6</v>
      </c>
    </row>
    <row r="277" spans="2:8" ht="15">
      <c r="B277" s="23" t="s">
        <v>192</v>
      </c>
      <c r="C277" s="87">
        <f aca="true" t="shared" si="22" ref="C277:H277">+C274</f>
        <v>94950000</v>
      </c>
      <c r="D277" s="87">
        <f t="shared" si="22"/>
        <v>31166887.88701904</v>
      </c>
      <c r="E277" s="87">
        <f t="shared" si="22"/>
        <v>-12943898.30578506</v>
      </c>
      <c r="F277" s="87">
        <f t="shared" si="22"/>
        <v>-5131650.8998936415</v>
      </c>
      <c r="G277" s="87">
        <f t="shared" si="22"/>
        <v>10585852.872188807</v>
      </c>
      <c r="H277" s="87">
        <f t="shared" si="22"/>
        <v>18894267.07026577</v>
      </c>
    </row>
    <row r="278" spans="2:8" ht="15">
      <c r="B278" s="23" t="s">
        <v>109</v>
      </c>
      <c r="C278" s="87">
        <f>-C255</f>
        <v>-146925000</v>
      </c>
      <c r="D278" s="23"/>
      <c r="E278" s="23"/>
      <c r="F278" s="23"/>
      <c r="G278" s="23"/>
      <c r="H278" s="23"/>
    </row>
    <row r="279" spans="2:8" ht="15">
      <c r="B279" s="23" t="s">
        <v>110</v>
      </c>
      <c r="C279" s="87">
        <f>-C256</f>
        <v>-342825000</v>
      </c>
      <c r="D279" s="23"/>
      <c r="E279" s="23"/>
      <c r="F279" s="23"/>
      <c r="G279" s="23"/>
      <c r="H279" s="23"/>
    </row>
    <row r="280" spans="2:9" ht="15">
      <c r="B280" s="23" t="s">
        <v>193</v>
      </c>
      <c r="C280" s="87"/>
      <c r="D280" s="152">
        <f aca="true" t="array" ref="D280:H280">TRANSPOSE(G164:G168)</f>
        <v>49971105.10687218</v>
      </c>
      <c r="E280" s="152">
        <v>57540216.73760037</v>
      </c>
      <c r="F280" s="152">
        <v>68299996.29664658</v>
      </c>
      <c r="G280" s="152">
        <v>78819290.99569225</v>
      </c>
      <c r="H280" s="152">
        <v>88194390.86318862</v>
      </c>
      <c r="I280" s="153"/>
    </row>
    <row r="281" spans="2:8" ht="15">
      <c r="B281" s="23" t="s">
        <v>111</v>
      </c>
      <c r="C281" s="23"/>
      <c r="D281" s="87">
        <f aca="true" t="array" ref="D281:H281">TRANSPOSE(E164:E168)</f>
        <v>48612585.00000005</v>
      </c>
      <c r="E281" s="87">
        <v>41043473.36927186</v>
      </c>
      <c r="F281" s="87">
        <v>30283693.810225654</v>
      </c>
      <c r="G281" s="87">
        <v>19764399.111179974</v>
      </c>
      <c r="H281" s="87">
        <v>10389299.243683605</v>
      </c>
    </row>
    <row r="282" spans="2:9" ht="15">
      <c r="B282" s="23" t="s">
        <v>112</v>
      </c>
      <c r="C282" s="23"/>
      <c r="D282" s="16">
        <v>0</v>
      </c>
      <c r="E282" s="16">
        <f>-D281*C37</f>
        <v>-16042153.050000018</v>
      </c>
      <c r="F282" s="16">
        <f>-E281*D37</f>
        <v>-13544346.211859714</v>
      </c>
      <c r="G282" s="16">
        <f>-F281*E37</f>
        <v>-9993618.957374467</v>
      </c>
      <c r="H282" s="16">
        <f>-G281*F37</f>
        <v>-6522251.706689391</v>
      </c>
      <c r="I282" s="141"/>
    </row>
    <row r="283" spans="2:8" ht="15">
      <c r="B283" s="23" t="s">
        <v>113</v>
      </c>
      <c r="C283" s="23"/>
      <c r="D283" s="16">
        <v>0</v>
      </c>
      <c r="E283" s="16">
        <v>0</v>
      </c>
      <c r="F283" s="16">
        <v>0</v>
      </c>
      <c r="G283" s="16">
        <v>0</v>
      </c>
      <c r="H283" s="16">
        <v>0</v>
      </c>
    </row>
    <row r="284" spans="2:8" ht="15">
      <c r="B284" s="23" t="s">
        <v>194</v>
      </c>
      <c r="C284" s="23"/>
      <c r="D284" s="16"/>
      <c r="E284" s="16"/>
      <c r="F284" s="16"/>
      <c r="G284" s="16"/>
      <c r="H284" s="16"/>
    </row>
    <row r="285" spans="2:9" ht="15">
      <c r="B285" s="23" t="s">
        <v>206</v>
      </c>
      <c r="D285" s="16"/>
      <c r="E285" s="16"/>
      <c r="F285" s="16"/>
      <c r="G285" s="16"/>
      <c r="H285" s="154"/>
      <c r="I285" s="154">
        <f>+H241*5</f>
        <v>1762018269.2035813</v>
      </c>
    </row>
    <row r="286" spans="2:9" ht="15">
      <c r="B286" s="155" t="s">
        <v>56</v>
      </c>
      <c r="C286" s="87">
        <f>SUM(C277:C284)</f>
        <v>-394800000</v>
      </c>
      <c r="D286" s="87">
        <f>SUM(D277:D284)</f>
        <v>129750577.99389127</v>
      </c>
      <c r="E286" s="87">
        <f>SUM(E277:E284)</f>
        <v>69597638.75108716</v>
      </c>
      <c r="F286" s="87">
        <f>SUM(F277:F284)</f>
        <v>79907692.99511887</v>
      </c>
      <c r="G286" s="87">
        <f>SUM(G277:G284)</f>
        <v>99175924.02168657</v>
      </c>
      <c r="H286" s="87">
        <f>SUM(H277:H285)</f>
        <v>110955705.47044861</v>
      </c>
      <c r="I286" s="88">
        <f>I285+H286</f>
        <v>1872973974.6740298</v>
      </c>
    </row>
    <row r="287" ht="15">
      <c r="C287" s="72"/>
    </row>
    <row r="288" ht="15"/>
    <row r="289" spans="2:8" ht="15.75">
      <c r="B289" s="18" t="s">
        <v>195</v>
      </c>
      <c r="C289" s="60" t="s">
        <v>1</v>
      </c>
      <c r="D289" s="60" t="s">
        <v>2</v>
      </c>
      <c r="E289" s="60" t="s">
        <v>3</v>
      </c>
      <c r="F289" s="60" t="s">
        <v>4</v>
      </c>
      <c r="G289" s="60" t="s">
        <v>5</v>
      </c>
      <c r="H289" s="60" t="s">
        <v>6</v>
      </c>
    </row>
    <row r="290" spans="2:8" ht="15">
      <c r="B290" s="23" t="s">
        <v>114</v>
      </c>
      <c r="C290" s="87">
        <f>-C256</f>
        <v>-342825000</v>
      </c>
      <c r="D290" s="23"/>
      <c r="E290" s="23"/>
      <c r="F290" s="23"/>
      <c r="G290" s="23"/>
      <c r="H290" s="23"/>
    </row>
    <row r="291" spans="2:9" ht="15">
      <c r="B291" s="23" t="s">
        <v>115</v>
      </c>
      <c r="C291" s="23"/>
      <c r="D291" s="152">
        <f aca="true" t="shared" si="23" ref="D291:H292">+D280</f>
        <v>49971105.10687218</v>
      </c>
      <c r="E291" s="152">
        <f t="shared" si="23"/>
        <v>57540216.73760037</v>
      </c>
      <c r="F291" s="152">
        <f t="shared" si="23"/>
        <v>68299996.29664658</v>
      </c>
      <c r="G291" s="152">
        <f t="shared" si="23"/>
        <v>78819290.99569225</v>
      </c>
      <c r="H291" s="152">
        <f t="shared" si="23"/>
        <v>88194390.86318862</v>
      </c>
      <c r="I291" s="153"/>
    </row>
    <row r="292" spans="2:8" ht="15">
      <c r="B292" s="23" t="s">
        <v>116</v>
      </c>
      <c r="C292" s="23"/>
      <c r="D292" s="87">
        <f t="shared" si="23"/>
        <v>48612585.00000005</v>
      </c>
      <c r="E292" s="87">
        <f t="shared" si="23"/>
        <v>41043473.36927186</v>
      </c>
      <c r="F292" s="87">
        <f t="shared" si="23"/>
        <v>30283693.810225654</v>
      </c>
      <c r="G292" s="87">
        <f t="shared" si="23"/>
        <v>19764399.111179974</v>
      </c>
      <c r="H292" s="87">
        <f t="shared" si="23"/>
        <v>10389299.243683605</v>
      </c>
    </row>
    <row r="293" spans="2:9" ht="15">
      <c r="B293" s="23" t="s">
        <v>117</v>
      </c>
      <c r="C293" s="23"/>
      <c r="D293" s="87">
        <v>0</v>
      </c>
      <c r="E293" s="87">
        <f>E282</f>
        <v>-16042153.050000018</v>
      </c>
      <c r="F293" s="87">
        <f>F282</f>
        <v>-13544346.211859714</v>
      </c>
      <c r="G293" s="87">
        <f>G282</f>
        <v>-9993618.957374467</v>
      </c>
      <c r="H293" s="87">
        <f>H282</f>
        <v>-6522251.706689391</v>
      </c>
      <c r="I293" s="88"/>
    </row>
    <row r="294" spans="2:9" ht="15">
      <c r="B294" s="155" t="s">
        <v>195</v>
      </c>
      <c r="C294" s="87">
        <f>SUM(C290:C293)</f>
        <v>-342825000</v>
      </c>
      <c r="D294" s="152">
        <f>SUM(D291:D293)</f>
        <v>98583690.10687223</v>
      </c>
      <c r="E294" s="152">
        <f>SUM(E291:E293)</f>
        <v>82541537.05687222</v>
      </c>
      <c r="F294" s="152">
        <f>SUM(F291:F293)</f>
        <v>85039343.89501251</v>
      </c>
      <c r="G294" s="152">
        <f>SUM(G291:G293)</f>
        <v>88590071.14949776</v>
      </c>
      <c r="H294" s="152">
        <f>SUM(H291:H293)</f>
        <v>92061438.40018284</v>
      </c>
      <c r="I294" s="153"/>
    </row>
    <row r="297" spans="2:8" ht="15.75">
      <c r="B297" s="18" t="s">
        <v>118</v>
      </c>
      <c r="C297" s="23"/>
      <c r="D297" s="23"/>
      <c r="E297" s="23"/>
      <c r="F297" s="23"/>
      <c r="G297" s="23"/>
      <c r="H297" s="23"/>
    </row>
    <row r="298" spans="2:9" ht="15">
      <c r="B298" s="23" t="s">
        <v>196</v>
      </c>
      <c r="C298" s="87">
        <f aca="true" t="shared" si="24" ref="C298:H298">+C274</f>
        <v>94950000</v>
      </c>
      <c r="D298" s="87">
        <f t="shared" si="24"/>
        <v>31166887.88701904</v>
      </c>
      <c r="E298" s="87">
        <f t="shared" si="24"/>
        <v>-12943898.30578506</v>
      </c>
      <c r="F298" s="87">
        <f t="shared" si="24"/>
        <v>-5131650.8998936415</v>
      </c>
      <c r="G298" s="87">
        <f t="shared" si="24"/>
        <v>10585852.872188807</v>
      </c>
      <c r="H298" s="87">
        <f t="shared" si="24"/>
        <v>18894267.07026577</v>
      </c>
      <c r="I298" s="88"/>
    </row>
    <row r="299" spans="2:9" ht="15">
      <c r="B299" s="23" t="s">
        <v>206</v>
      </c>
      <c r="C299" s="87"/>
      <c r="D299" s="87"/>
      <c r="E299" s="87"/>
      <c r="F299" s="87"/>
      <c r="G299" s="87"/>
      <c r="H299" s="87"/>
      <c r="I299" s="88"/>
    </row>
    <row r="300" spans="2:8" ht="15">
      <c r="B300" s="23" t="s">
        <v>119</v>
      </c>
      <c r="C300" s="87">
        <f>-C255</f>
        <v>-146925000</v>
      </c>
      <c r="D300" s="23"/>
      <c r="E300" s="23"/>
      <c r="F300" s="23"/>
      <c r="G300" s="23"/>
      <c r="H300" s="23"/>
    </row>
    <row r="301" spans="2:9" ht="15">
      <c r="B301" s="155" t="s">
        <v>118</v>
      </c>
      <c r="C301" s="87">
        <f aca="true" t="shared" si="25" ref="C301:H301">SUM(C298:C300)</f>
        <v>-51975000</v>
      </c>
      <c r="D301" s="87">
        <f t="shared" si="25"/>
        <v>31166887.88701904</v>
      </c>
      <c r="E301" s="87">
        <f t="shared" si="25"/>
        <v>-12943898.30578506</v>
      </c>
      <c r="F301" s="87">
        <f t="shared" si="25"/>
        <v>-5131650.8998936415</v>
      </c>
      <c r="G301" s="87">
        <f t="shared" si="25"/>
        <v>10585852.872188807</v>
      </c>
      <c r="H301" s="87">
        <f t="shared" si="25"/>
        <v>18894267.07026577</v>
      </c>
      <c r="I301" s="88"/>
    </row>
    <row r="304" spans="2:9" ht="15.75">
      <c r="B304" s="18" t="s">
        <v>144</v>
      </c>
      <c r="C304" s="140">
        <f aca="true" t="shared" si="26" ref="C304:H304">+C294+C301</f>
        <v>-394800000</v>
      </c>
      <c r="D304" s="140">
        <f t="shared" si="26"/>
        <v>129750577.99389127</v>
      </c>
      <c r="E304" s="140">
        <f t="shared" si="26"/>
        <v>69597638.75108716</v>
      </c>
      <c r="F304" s="140">
        <f t="shared" si="26"/>
        <v>79907692.99511887</v>
      </c>
      <c r="G304" s="140">
        <f t="shared" si="26"/>
        <v>99175924.02168657</v>
      </c>
      <c r="H304" s="140">
        <f t="shared" si="26"/>
        <v>110955705.47044861</v>
      </c>
      <c r="I304" s="79"/>
    </row>
    <row r="306" spans="2:9" ht="15">
      <c r="B306" s="185" t="s">
        <v>305</v>
      </c>
      <c r="C306" s="186">
        <f aca="true" t="shared" si="27" ref="C306:H306">C286-C304</f>
        <v>0</v>
      </c>
      <c r="D306" s="186">
        <f t="shared" si="27"/>
        <v>0</v>
      </c>
      <c r="E306" s="186">
        <f t="shared" si="27"/>
        <v>0</v>
      </c>
      <c r="F306" s="186">
        <f t="shared" si="27"/>
        <v>0</v>
      </c>
      <c r="G306" s="186">
        <f t="shared" si="27"/>
        <v>0</v>
      </c>
      <c r="H306" s="186">
        <f t="shared" si="27"/>
        <v>0</v>
      </c>
      <c r="I306" s="79"/>
    </row>
    <row r="307" spans="2:8" ht="15">
      <c r="B307" s="156" t="s">
        <v>207</v>
      </c>
      <c r="C307" s="23"/>
      <c r="D307" s="157">
        <f aca="true" t="shared" si="28" ref="D307:H308">+C38</f>
        <v>0.14180000000000015</v>
      </c>
      <c r="E307" s="157">
        <f t="shared" si="28"/>
        <v>0.14015</v>
      </c>
      <c r="F307" s="157">
        <f t="shared" si="28"/>
        <v>0.12869500000000023</v>
      </c>
      <c r="G307" s="157">
        <f t="shared" si="28"/>
        <v>0.11834000000000011</v>
      </c>
      <c r="H307" s="157">
        <f t="shared" si="28"/>
        <v>0.1177999999999999</v>
      </c>
    </row>
    <row r="308" spans="2:9" ht="15">
      <c r="B308" s="156" t="s">
        <v>208</v>
      </c>
      <c r="C308" s="23"/>
      <c r="D308" s="157">
        <f t="shared" si="28"/>
        <v>0.1</v>
      </c>
      <c r="E308" s="157">
        <f t="shared" si="28"/>
        <v>0.10700000000000001</v>
      </c>
      <c r="F308" s="157">
        <f t="shared" si="28"/>
        <v>0.12</v>
      </c>
      <c r="G308" s="157">
        <f t="shared" si="28"/>
        <v>0.12000000000000001</v>
      </c>
      <c r="H308" s="157">
        <f t="shared" si="28"/>
        <v>0.12000000000000001</v>
      </c>
      <c r="I308" s="72"/>
    </row>
    <row r="309" spans="2:9" ht="15">
      <c r="B309" s="156" t="s">
        <v>209</v>
      </c>
      <c r="C309" s="157"/>
      <c r="D309" s="157">
        <f>+D210/D197</f>
        <v>0.6505252915236981</v>
      </c>
      <c r="E309" s="157">
        <f>+E210/E197</f>
        <v>0.6703454721081485</v>
      </c>
      <c r="F309" s="157">
        <f>+F210/F197</f>
        <v>0.6603540234539791</v>
      </c>
      <c r="G309" s="157">
        <f>+G210/G197</f>
        <v>0.599579834081929</v>
      </c>
      <c r="H309" s="157">
        <f>+H210/H197</f>
        <v>0.47429788599192296</v>
      </c>
      <c r="I309" s="72"/>
    </row>
    <row r="310" spans="2:9" ht="15">
      <c r="B310" s="156" t="s">
        <v>210</v>
      </c>
      <c r="C310" s="23"/>
      <c r="D310" s="157">
        <f>1-D309</f>
        <v>0.3494747084763019</v>
      </c>
      <c r="E310" s="157">
        <f>1-E309</f>
        <v>0.32965452789185146</v>
      </c>
      <c r="F310" s="157">
        <f>1-F309</f>
        <v>0.3396459765460209</v>
      </c>
      <c r="G310" s="157">
        <f>1-G309</f>
        <v>0.40042016591807095</v>
      </c>
      <c r="H310" s="157">
        <f>1-H309</f>
        <v>0.5257021140080771</v>
      </c>
      <c r="I310" s="72"/>
    </row>
    <row r="311" spans="2:9" ht="15.75">
      <c r="B311" s="18" t="s">
        <v>211</v>
      </c>
      <c r="C311" s="158"/>
      <c r="D311" s="159">
        <f>+D307*D309*(1-C37)+(D308*D310)</f>
        <v>0.09675127669413071</v>
      </c>
      <c r="E311" s="159">
        <f>+E307*E309*(1-D37)+(E308*E310)</f>
        <v>0.09821880948811931</v>
      </c>
      <c r="F311" s="159">
        <f>+F307*F309*(1-E37)+(F308*F310)</f>
        <v>0.09769697208795719</v>
      </c>
      <c r="G311" s="159">
        <f>+G307*G309*(1-F37)+(G308*G310)</f>
        <v>0.09558978587888974</v>
      </c>
      <c r="H311" s="159">
        <f>+H307*H309*(1-G37)+(H308*H310)</f>
        <v>0.10051868863076774</v>
      </c>
      <c r="I311" s="72"/>
    </row>
    <row r="312" spans="2:9" ht="15">
      <c r="B312" s="50" t="s">
        <v>212</v>
      </c>
      <c r="C312" s="50"/>
      <c r="D312" s="50">
        <f>1/(1+D311)</f>
        <v>0.911783757402351</v>
      </c>
      <c r="E312" s="50">
        <f>1/(1+E311)</f>
        <v>0.9105653548823306</v>
      </c>
      <c r="F312" s="50">
        <f>1/(1+F311)</f>
        <v>0.9109982312312246</v>
      </c>
      <c r="G312" s="50">
        <f>1/(1+G311)</f>
        <v>0.9127503860377751</v>
      </c>
      <c r="H312" s="50">
        <f>1/(1+H311)</f>
        <v>0.908662442837904</v>
      </c>
      <c r="I312" s="50"/>
    </row>
    <row r="313" spans="2:9" ht="15">
      <c r="B313" s="50" t="s">
        <v>213</v>
      </c>
      <c r="C313" s="50"/>
      <c r="D313" s="50">
        <f>+PRODUCT(($D$312:D312))</f>
        <v>0.911783757402351</v>
      </c>
      <c r="E313" s="50">
        <f>+PRODUCT(($D$312:E312))</f>
        <v>0.8302387006350165</v>
      </c>
      <c r="F313" s="50">
        <f>+PRODUCT(($D$312:F312))</f>
        <v>0.7563459877782102</v>
      </c>
      <c r="G313" s="50">
        <f>+PRODUCT(($D$312:G312))</f>
        <v>0.6903550923226837</v>
      </c>
      <c r="H313" s="50">
        <f>+PRODUCT(($D$312:H312))</f>
        <v>0.6272997446155165</v>
      </c>
      <c r="I313" s="50"/>
    </row>
    <row r="314" spans="2:4" ht="15.75">
      <c r="B314" s="160" t="s">
        <v>120</v>
      </c>
      <c r="C314" s="161">
        <f>C286+D286/(1+D311)+E286/(1+E311)/(1+D311)+F286/(1+F311)/(1+E311)/(1+D311)+G286/(1+G311)/(1+F311)/(1+E311)/(1+D311)+I286/(1+H311)/(1+G311)/(1+F311)/(1+E311)/(1+D311)</f>
        <v>1085107685.850543</v>
      </c>
      <c r="D314" s="162">
        <f>+SUMPRODUCT(D313:H313,D286:H286)+C286</f>
        <v>-20205924.428738236</v>
      </c>
    </row>
    <row r="315" ht="18" customHeight="1">
      <c r="C315" s="79"/>
    </row>
    <row r="316" spans="2:4" ht="15">
      <c r="B316" s="47" t="s">
        <v>320</v>
      </c>
      <c r="C316" s="53">
        <f>+IRR(C286:H286)</f>
        <v>0.07692789228535979</v>
      </c>
      <c r="D316" s="69"/>
    </row>
    <row r="317" spans="3:4" ht="15">
      <c r="C317" s="128"/>
      <c r="D317" s="69"/>
    </row>
    <row r="318" spans="3:4" ht="15">
      <c r="C318" s="128"/>
      <c r="D318" s="69"/>
    </row>
    <row r="319" spans="3:4" ht="15.75">
      <c r="C319" s="114"/>
      <c r="D319" s="69"/>
    </row>
    <row r="320" spans="3:4" ht="15.75">
      <c r="C320" s="114"/>
      <c r="D320" s="69"/>
    </row>
    <row r="321" spans="3:4" ht="15.75">
      <c r="C321" s="114"/>
      <c r="D321" s="69"/>
    </row>
    <row r="322" spans="2:4" ht="15.75">
      <c r="B322" s="106"/>
      <c r="C322" s="46"/>
      <c r="D322" s="69"/>
    </row>
    <row r="323" spans="3:8" ht="15.75">
      <c r="C323" s="48"/>
      <c r="D323" s="48"/>
      <c r="E323" s="48"/>
      <c r="F323" s="48"/>
      <c r="G323" s="48"/>
      <c r="H323" s="48"/>
    </row>
    <row r="324" ht="15.75">
      <c r="B324" s="168"/>
    </row>
    <row r="325" spans="3:9" ht="15">
      <c r="C325" s="82"/>
      <c r="D325" s="82"/>
      <c r="E325" s="82"/>
      <c r="F325" s="82"/>
      <c r="G325" s="82"/>
      <c r="H325" s="82"/>
      <c r="I325" s="138"/>
    </row>
    <row r="326" spans="3:9" ht="15">
      <c r="C326" s="82"/>
      <c r="D326" s="82"/>
      <c r="E326" s="82"/>
      <c r="F326" s="82"/>
      <c r="G326" s="82"/>
      <c r="H326" s="82"/>
      <c r="I326" s="138"/>
    </row>
    <row r="327" spans="3:9" ht="15">
      <c r="C327" s="82"/>
      <c r="D327" s="82"/>
      <c r="E327" s="82"/>
      <c r="F327" s="82"/>
      <c r="G327" s="82"/>
      <c r="H327" s="82"/>
      <c r="I327" s="138"/>
    </row>
    <row r="328" spans="3:9" ht="15">
      <c r="C328" s="82"/>
      <c r="D328" s="82"/>
      <c r="E328" s="82"/>
      <c r="F328" s="82"/>
      <c r="G328" s="82"/>
      <c r="H328" s="82"/>
      <c r="I328" s="138"/>
    </row>
    <row r="329" spans="2:9" ht="15.75">
      <c r="B329" s="139" t="s">
        <v>56</v>
      </c>
      <c r="C329" s="60" t="s">
        <v>1</v>
      </c>
      <c r="D329" s="234" t="s">
        <v>2</v>
      </c>
      <c r="E329" s="60" t="s">
        <v>3</v>
      </c>
      <c r="F329" s="60" t="s">
        <v>4</v>
      </c>
      <c r="G329" s="60" t="s">
        <v>5</v>
      </c>
      <c r="H329" s="60" t="s">
        <v>6</v>
      </c>
      <c r="I329" s="138"/>
    </row>
    <row r="330" spans="2:9" ht="15">
      <c r="B330" s="155" t="s">
        <v>56</v>
      </c>
      <c r="C330" s="87">
        <v>-394800000</v>
      </c>
      <c r="D330" s="235">
        <v>129750577.99389127</v>
      </c>
      <c r="E330" s="87">
        <v>69597638.75108716</v>
      </c>
      <c r="F330" s="87">
        <v>79907692.99511887</v>
      </c>
      <c r="G330" s="87">
        <v>99175924.02168657</v>
      </c>
      <c r="H330" s="87">
        <v>110955705.47044861</v>
      </c>
      <c r="I330" s="138"/>
    </row>
    <row r="331" spans="2:9" ht="15">
      <c r="B331" s="236" t="s">
        <v>355</v>
      </c>
      <c r="C331" s="58">
        <v>0.07692789228535979</v>
      </c>
      <c r="D331" s="82"/>
      <c r="E331" s="82"/>
      <c r="F331" s="82"/>
      <c r="G331" s="82"/>
      <c r="H331" s="82"/>
      <c r="I331" s="138"/>
    </row>
    <row r="332" spans="3:9" ht="15">
      <c r="C332" s="82"/>
      <c r="D332" s="82"/>
      <c r="E332" s="82"/>
      <c r="F332" s="82"/>
      <c r="G332" s="82"/>
      <c r="H332" s="82"/>
      <c r="I332" s="138"/>
    </row>
    <row r="333" spans="4:9" ht="15">
      <c r="D333" s="82"/>
      <c r="E333" s="82"/>
      <c r="F333" s="82"/>
      <c r="G333" s="82"/>
      <c r="H333" s="82"/>
      <c r="I333" s="138"/>
    </row>
    <row r="334" spans="4:9" ht="15">
      <c r="D334" s="82"/>
      <c r="E334" s="82"/>
      <c r="F334" s="82"/>
      <c r="G334" s="82"/>
      <c r="H334" s="82"/>
      <c r="I334" s="138"/>
    </row>
    <row r="335" spans="4:9" ht="15">
      <c r="D335" s="82"/>
      <c r="E335" s="82"/>
      <c r="F335" s="82"/>
      <c r="G335" s="82"/>
      <c r="H335" s="82"/>
      <c r="I335" s="138"/>
    </row>
    <row r="336" spans="4:9" ht="15">
      <c r="D336" s="82"/>
      <c r="E336" s="82"/>
      <c r="F336" s="82"/>
      <c r="G336" s="82"/>
      <c r="H336" s="82"/>
      <c r="I336" s="138"/>
    </row>
    <row r="337" spans="4:9" ht="15">
      <c r="D337" s="210"/>
      <c r="E337" s="82"/>
      <c r="F337" s="82"/>
      <c r="G337" s="82"/>
      <c r="H337" s="82"/>
      <c r="I337" s="138"/>
    </row>
    <row r="338" spans="4:9" ht="15">
      <c r="D338" s="210"/>
      <c r="E338" s="82"/>
      <c r="F338" s="82"/>
      <c r="G338" s="82"/>
      <c r="H338" s="82"/>
      <c r="I338" s="138"/>
    </row>
    <row r="339" spans="4:9" ht="15">
      <c r="D339" s="210"/>
      <c r="E339" s="82"/>
      <c r="F339" s="82"/>
      <c r="G339" s="82"/>
      <c r="H339" s="82"/>
      <c r="I339" s="138"/>
    </row>
    <row r="340" spans="4:9" ht="15">
      <c r="D340" s="210"/>
      <c r="E340" s="82"/>
      <c r="F340" s="82"/>
      <c r="G340" s="82"/>
      <c r="H340" s="82"/>
      <c r="I340" s="138"/>
    </row>
    <row r="341" spans="4:9" ht="15">
      <c r="D341" s="210"/>
      <c r="E341" s="82"/>
      <c r="F341" s="82"/>
      <c r="G341" s="82"/>
      <c r="H341" s="82"/>
      <c r="I341" s="138"/>
    </row>
    <row r="342" spans="4:9" ht="15">
      <c r="D342" s="210"/>
      <c r="E342" s="82"/>
      <c r="F342" s="82"/>
      <c r="G342" s="82"/>
      <c r="H342" s="82"/>
      <c r="I342" s="138"/>
    </row>
    <row r="343" spans="4:9" ht="15">
      <c r="D343" s="210"/>
      <c r="E343" s="82"/>
      <c r="F343" s="82"/>
      <c r="G343" s="82"/>
      <c r="H343" s="82"/>
      <c r="I343" s="138"/>
    </row>
    <row r="344" spans="4:9" ht="15.75">
      <c r="D344" s="211"/>
      <c r="E344" s="163"/>
      <c r="F344" s="163"/>
      <c r="G344" s="163"/>
      <c r="H344" s="163"/>
      <c r="I344" s="138"/>
    </row>
    <row r="346" spans="3:8" ht="15">
      <c r="C346" s="82"/>
      <c r="D346" s="82"/>
      <c r="E346" s="82"/>
      <c r="F346" s="82"/>
      <c r="G346" s="82"/>
      <c r="H346" s="82"/>
    </row>
    <row r="347" spans="3:8" ht="15">
      <c r="C347" s="82"/>
      <c r="D347" s="82"/>
      <c r="E347" s="82"/>
      <c r="F347" s="82"/>
      <c r="G347" s="82"/>
      <c r="H347" s="82"/>
    </row>
    <row r="348" spans="3:8" ht="15">
      <c r="C348" s="82"/>
      <c r="D348" s="82"/>
      <c r="E348" s="82"/>
      <c r="F348" s="82"/>
      <c r="G348" s="82"/>
      <c r="H348" s="82"/>
    </row>
    <row r="349" spans="2:8" ht="15.75">
      <c r="B349" s="46"/>
      <c r="C349" s="82"/>
      <c r="D349" s="82"/>
      <c r="E349" s="82"/>
      <c r="F349" s="82"/>
      <c r="G349" s="82"/>
      <c r="H349" s="82"/>
    </row>
    <row r="351" spans="3:8" ht="15">
      <c r="C351" s="141"/>
      <c r="D351" s="141"/>
      <c r="E351" s="141"/>
      <c r="F351" s="141"/>
      <c r="G351" s="141"/>
      <c r="H351" s="141"/>
    </row>
    <row r="352" spans="3:8" ht="15">
      <c r="C352" s="141"/>
      <c r="D352" s="141"/>
      <c r="E352" s="141"/>
      <c r="F352" s="141"/>
      <c r="G352" s="141"/>
      <c r="H352" s="141"/>
    </row>
    <row r="353" spans="3:8" ht="15">
      <c r="C353" s="141"/>
      <c r="D353" s="141"/>
      <c r="E353" s="141"/>
      <c r="F353" s="141"/>
      <c r="G353" s="141"/>
      <c r="H353" s="141"/>
    </row>
    <row r="354" spans="3:8" ht="15">
      <c r="C354" s="141"/>
      <c r="D354" s="141"/>
      <c r="E354" s="141"/>
      <c r="F354" s="141"/>
      <c r="G354" s="141"/>
      <c r="H354" s="141"/>
    </row>
    <row r="355" spans="2:8" ht="15.75">
      <c r="B355" s="46"/>
      <c r="C355" s="141"/>
      <c r="D355" s="141"/>
      <c r="E355" s="141"/>
      <c r="F355" s="141"/>
      <c r="G355" s="141"/>
      <c r="H355" s="141"/>
    </row>
    <row r="356" ht="23.25">
      <c r="B356" s="206"/>
    </row>
    <row r="357" spans="2:8" ht="15.75">
      <c r="B357" s="46"/>
      <c r="C357" s="82"/>
      <c r="D357" s="82"/>
      <c r="E357" s="82"/>
      <c r="F357" s="82"/>
      <c r="G357" s="82"/>
      <c r="H357" s="82"/>
    </row>
    <row r="358" spans="3:8" ht="15">
      <c r="C358" s="82"/>
      <c r="D358" s="82"/>
      <c r="E358" s="82"/>
      <c r="F358" s="82"/>
      <c r="G358" s="82"/>
      <c r="H358" s="82"/>
    </row>
    <row r="359" spans="3:8" ht="15">
      <c r="C359" s="82"/>
      <c r="D359" s="82"/>
      <c r="E359" s="82"/>
      <c r="F359" s="82"/>
      <c r="G359" s="82"/>
      <c r="H359" s="82"/>
    </row>
    <row r="360" spans="3:8" ht="15">
      <c r="C360" s="82"/>
      <c r="D360" s="82"/>
      <c r="E360" s="82"/>
      <c r="F360" s="82"/>
      <c r="G360" s="82"/>
      <c r="H360" s="82"/>
    </row>
    <row r="361" spans="3:8" ht="15">
      <c r="C361" s="82"/>
      <c r="D361" s="82"/>
      <c r="E361" s="82"/>
      <c r="F361" s="82"/>
      <c r="G361" s="82"/>
      <c r="H361" s="82"/>
    </row>
    <row r="362" spans="2:8" ht="15.75">
      <c r="B362" s="168"/>
      <c r="C362" s="82"/>
      <c r="D362" s="82"/>
      <c r="E362" s="82"/>
      <c r="F362" s="82"/>
      <c r="G362" s="82"/>
      <c r="H362" s="82"/>
    </row>
    <row r="363" spans="2:8" ht="15">
      <c r="B363" s="169"/>
      <c r="C363" s="82"/>
      <c r="D363" s="82"/>
      <c r="E363" s="82"/>
      <c r="F363" s="82"/>
      <c r="G363" s="82"/>
      <c r="H363" s="82"/>
    </row>
    <row r="364" spans="2:8" ht="15.75">
      <c r="B364" s="168"/>
      <c r="C364" s="163"/>
      <c r="D364" s="163"/>
      <c r="E364" s="163"/>
      <c r="F364" s="163"/>
      <c r="G364" s="163"/>
      <c r="H364" s="163"/>
    </row>
    <row r="365" spans="2:8" ht="15.75">
      <c r="B365" s="168"/>
      <c r="C365" s="82"/>
      <c r="D365" s="82"/>
      <c r="E365" s="82"/>
      <c r="F365" s="82"/>
      <c r="G365" s="82"/>
      <c r="H365" s="82"/>
    </row>
    <row r="366" ht="15">
      <c r="B366" s="169"/>
    </row>
    <row r="367" spans="2:8" ht="15.75">
      <c r="B367" s="168"/>
      <c r="C367" s="48"/>
      <c r="D367" s="48"/>
      <c r="E367" s="48"/>
      <c r="F367" s="48"/>
      <c r="G367" s="48"/>
      <c r="H367" s="48"/>
    </row>
    <row r="368" spans="2:5" ht="15">
      <c r="B368" s="169"/>
      <c r="D368" s="79"/>
      <c r="E368" s="79"/>
    </row>
    <row r="369" spans="2:10" ht="15.75">
      <c r="B369" s="168"/>
      <c r="D369" s="141"/>
      <c r="E369" s="141"/>
      <c r="F369" s="141"/>
      <c r="G369" s="141"/>
      <c r="H369" s="141"/>
      <c r="I369" s="141"/>
      <c r="J369" s="141"/>
    </row>
    <row r="370" spans="2:10" ht="15.75">
      <c r="B370" s="168"/>
      <c r="D370" s="141"/>
      <c r="E370" s="141"/>
      <c r="F370" s="141"/>
      <c r="G370" s="141"/>
      <c r="H370" s="141"/>
      <c r="I370" s="141"/>
      <c r="J370" s="141"/>
    </row>
    <row r="371" spans="2:10" ht="15">
      <c r="B371" s="169"/>
      <c r="D371" s="141"/>
      <c r="E371" s="141"/>
      <c r="F371" s="141"/>
      <c r="G371" s="141"/>
      <c r="H371" s="141"/>
      <c r="I371" s="141"/>
      <c r="J371" s="141"/>
    </row>
    <row r="372" spans="2:10" ht="15">
      <c r="B372" s="169"/>
      <c r="D372" s="141"/>
      <c r="E372" s="141"/>
      <c r="F372" s="141"/>
      <c r="G372" s="141"/>
      <c r="H372" s="141"/>
      <c r="I372" s="141"/>
      <c r="J372" s="141"/>
    </row>
    <row r="373" spans="2:10" ht="15">
      <c r="B373" s="169"/>
      <c r="D373" s="141"/>
      <c r="E373" s="141"/>
      <c r="F373" s="141"/>
      <c r="G373" s="141"/>
      <c r="H373" s="141"/>
      <c r="I373" s="141"/>
      <c r="J373" s="141"/>
    </row>
    <row r="374" spans="2:10" ht="15">
      <c r="B374" s="169"/>
      <c r="D374" s="141"/>
      <c r="E374" s="141"/>
      <c r="F374" s="141"/>
      <c r="G374" s="141"/>
      <c r="H374" s="141"/>
      <c r="I374" s="141"/>
      <c r="J374" s="141"/>
    </row>
    <row r="375" spans="4:10" ht="15">
      <c r="D375" s="141"/>
      <c r="E375" s="141"/>
      <c r="F375" s="141"/>
      <c r="G375" s="141"/>
      <c r="H375" s="141"/>
      <c r="I375" s="141"/>
      <c r="J375" s="141"/>
    </row>
    <row r="376" spans="4:10" ht="15">
      <c r="D376" s="141"/>
      <c r="E376" s="141"/>
      <c r="F376" s="141"/>
      <c r="G376" s="141"/>
      <c r="H376" s="141"/>
      <c r="I376" s="141"/>
      <c r="J376" s="141"/>
    </row>
    <row r="377" spans="4:10" ht="15">
      <c r="D377" s="141"/>
      <c r="E377" s="141"/>
      <c r="F377" s="141"/>
      <c r="G377" s="141"/>
      <c r="H377" s="141"/>
      <c r="I377" s="141"/>
      <c r="J377" s="141"/>
    </row>
    <row r="378" spans="4:10" ht="15">
      <c r="D378" s="141"/>
      <c r="E378" s="141"/>
      <c r="F378" s="141"/>
      <c r="G378" s="141"/>
      <c r="H378" s="141"/>
      <c r="I378" s="141"/>
      <c r="J378" s="141"/>
    </row>
    <row r="379" spans="2:10" ht="15.75">
      <c r="B379" s="46"/>
      <c r="D379" s="141"/>
      <c r="E379" s="141"/>
      <c r="F379" s="141"/>
      <c r="G379" s="141"/>
      <c r="H379" s="141"/>
      <c r="I379" s="141"/>
      <c r="J379" s="141"/>
    </row>
    <row r="380" spans="2:10" ht="15.75">
      <c r="B380" s="46"/>
      <c r="D380" s="141"/>
      <c r="E380" s="141"/>
      <c r="F380" s="141"/>
      <c r="G380" s="141"/>
      <c r="H380" s="141"/>
      <c r="I380" s="141"/>
      <c r="J380" s="141"/>
    </row>
    <row r="381" spans="2:10" ht="15.75">
      <c r="B381" s="46"/>
      <c r="D381" s="141"/>
      <c r="E381" s="141"/>
      <c r="F381" s="141"/>
      <c r="G381" s="141"/>
      <c r="H381" s="141"/>
      <c r="I381" s="141"/>
      <c r="J381" s="141"/>
    </row>
    <row r="382" spans="2:10" ht="15.75">
      <c r="B382" s="46"/>
      <c r="D382" s="141"/>
      <c r="E382" s="141"/>
      <c r="F382" s="141"/>
      <c r="G382" s="141"/>
      <c r="H382" s="141"/>
      <c r="I382" s="141"/>
      <c r="J382" s="141"/>
    </row>
    <row r="383" spans="4:10" ht="15">
      <c r="D383" s="141"/>
      <c r="E383" s="141"/>
      <c r="F383" s="141"/>
      <c r="G383" s="141"/>
      <c r="H383" s="141"/>
      <c r="I383" s="141"/>
      <c r="J383" s="141"/>
    </row>
    <row r="384" spans="4:10" ht="15">
      <c r="D384" s="141"/>
      <c r="E384" s="141"/>
      <c r="F384" s="141"/>
      <c r="G384" s="141"/>
      <c r="H384" s="141"/>
      <c r="I384" s="141"/>
      <c r="J384" s="141"/>
    </row>
    <row r="385" spans="4:10" ht="15">
      <c r="D385" s="141"/>
      <c r="E385" s="141"/>
      <c r="F385" s="141"/>
      <c r="G385" s="141"/>
      <c r="H385" s="141"/>
      <c r="I385" s="141"/>
      <c r="J385" s="141"/>
    </row>
    <row r="386" spans="4:10" ht="15">
      <c r="D386" s="141"/>
      <c r="E386" s="141"/>
      <c r="F386" s="141"/>
      <c r="G386" s="141"/>
      <c r="H386" s="141"/>
      <c r="I386" s="141"/>
      <c r="J386" s="141"/>
    </row>
    <row r="387" spans="2:10" ht="15.75">
      <c r="B387" s="46"/>
      <c r="D387" s="141"/>
      <c r="E387" s="141"/>
      <c r="F387" s="141"/>
      <c r="G387" s="141"/>
      <c r="H387" s="141"/>
      <c r="I387" s="141"/>
      <c r="J387" s="141"/>
    </row>
    <row r="388" spans="4:10" ht="15">
      <c r="D388" s="141"/>
      <c r="E388" s="141"/>
      <c r="F388" s="141"/>
      <c r="G388" s="141"/>
      <c r="H388" s="141"/>
      <c r="I388" s="141"/>
      <c r="J388" s="141"/>
    </row>
    <row r="389" spans="2:10" ht="15.75">
      <c r="B389" s="46"/>
      <c r="D389" s="141"/>
      <c r="E389" s="141"/>
      <c r="F389" s="141"/>
      <c r="G389" s="141"/>
      <c r="H389" s="141"/>
      <c r="I389" s="141"/>
      <c r="J389" s="141"/>
    </row>
    <row r="390" spans="2:10" ht="15">
      <c r="B390" s="169"/>
      <c r="C390" s="169"/>
      <c r="D390" s="141"/>
      <c r="E390" s="141"/>
      <c r="F390" s="141"/>
      <c r="G390" s="141"/>
      <c r="H390" s="141"/>
      <c r="I390" s="141"/>
      <c r="J390" s="141"/>
    </row>
    <row r="391" spans="2:10" ht="15">
      <c r="B391" s="169"/>
      <c r="C391" s="169"/>
      <c r="D391" s="141"/>
      <c r="E391" s="141"/>
      <c r="F391" s="141"/>
      <c r="G391" s="141"/>
      <c r="H391" s="141"/>
      <c r="I391" s="141"/>
      <c r="J391" s="141"/>
    </row>
    <row r="392" spans="2:10" ht="15">
      <c r="B392" s="169"/>
      <c r="C392" s="170"/>
      <c r="D392" s="141"/>
      <c r="E392" s="141"/>
      <c r="F392" s="141"/>
      <c r="G392" s="141"/>
      <c r="H392" s="141"/>
      <c r="I392" s="141"/>
      <c r="J392" s="141"/>
    </row>
    <row r="393" spans="2:10" ht="15">
      <c r="B393" s="169"/>
      <c r="C393" s="169"/>
      <c r="D393" s="141"/>
      <c r="E393" s="141"/>
      <c r="F393" s="141"/>
      <c r="G393" s="141"/>
      <c r="H393" s="141"/>
      <c r="I393" s="141"/>
      <c r="J393" s="141"/>
    </row>
    <row r="394" spans="2:10" ht="15.75">
      <c r="B394" s="168"/>
      <c r="C394" s="169"/>
      <c r="D394" s="141"/>
      <c r="E394" s="141"/>
      <c r="F394" s="141"/>
      <c r="G394" s="141"/>
      <c r="H394" s="141"/>
      <c r="I394" s="141"/>
      <c r="J394" s="141"/>
    </row>
    <row r="395" spans="2:8" ht="15.75">
      <c r="B395" s="168"/>
      <c r="C395" s="171"/>
      <c r="D395" s="48"/>
      <c r="E395" s="48"/>
      <c r="F395" s="48"/>
      <c r="G395" s="48"/>
      <c r="H395" s="48"/>
    </row>
    <row r="396" spans="2:8" ht="15.75">
      <c r="B396" s="168"/>
      <c r="C396" s="172"/>
      <c r="D396" s="88"/>
      <c r="E396" s="88"/>
      <c r="F396" s="88"/>
      <c r="G396" s="88"/>
      <c r="H396" s="88"/>
    </row>
    <row r="397" spans="2:8" ht="15">
      <c r="B397" s="169"/>
      <c r="C397" s="172"/>
      <c r="D397" s="141"/>
      <c r="E397" s="141"/>
      <c r="F397" s="141"/>
      <c r="G397" s="141"/>
      <c r="H397" s="141"/>
    </row>
    <row r="398" spans="2:8" ht="15">
      <c r="B398" s="169"/>
      <c r="C398" s="172"/>
      <c r="D398" s="141"/>
      <c r="E398" s="141"/>
      <c r="F398" s="141"/>
      <c r="G398" s="141"/>
      <c r="H398" s="141"/>
    </row>
    <row r="399" spans="2:8" ht="15">
      <c r="B399" s="169"/>
      <c r="C399" s="172"/>
      <c r="D399" s="141"/>
      <c r="E399" s="141"/>
      <c r="F399" s="141"/>
      <c r="G399" s="141"/>
      <c r="H399" s="141"/>
    </row>
    <row r="400" spans="2:8" ht="15">
      <c r="B400" s="169"/>
      <c r="C400" s="172"/>
      <c r="D400" s="141"/>
      <c r="E400" s="141"/>
      <c r="F400" s="141"/>
      <c r="G400" s="141"/>
      <c r="H400" s="141"/>
    </row>
    <row r="401" spans="2:8" ht="15.75">
      <c r="B401" s="168"/>
      <c r="C401" s="173"/>
      <c r="D401" s="108"/>
      <c r="E401" s="108"/>
      <c r="F401" s="108"/>
      <c r="G401" s="108"/>
      <c r="H401" s="108"/>
    </row>
    <row r="402" spans="2:8" ht="15.75">
      <c r="B402" s="174"/>
      <c r="C402" s="172"/>
      <c r="D402" s="141"/>
      <c r="E402" s="141"/>
      <c r="F402" s="141"/>
      <c r="G402" s="141"/>
      <c r="H402" s="141"/>
    </row>
    <row r="403" spans="2:8" ht="15">
      <c r="B403" s="169"/>
      <c r="C403" s="172"/>
      <c r="D403" s="141"/>
      <c r="E403" s="141"/>
      <c r="F403" s="141"/>
      <c r="G403" s="141"/>
      <c r="H403" s="141"/>
    </row>
    <row r="404" spans="2:8" ht="15">
      <c r="B404" s="169"/>
      <c r="C404" s="172"/>
      <c r="D404" s="141"/>
      <c r="E404" s="141"/>
      <c r="F404" s="141"/>
      <c r="G404" s="141"/>
      <c r="H404" s="141"/>
    </row>
    <row r="405" spans="2:8" ht="15">
      <c r="B405" s="169"/>
      <c r="C405" s="172"/>
      <c r="D405" s="141"/>
      <c r="E405" s="141"/>
      <c r="F405" s="141"/>
      <c r="G405" s="141"/>
      <c r="H405" s="141"/>
    </row>
    <row r="406" spans="2:8" ht="15">
      <c r="B406" s="169"/>
      <c r="C406" s="172"/>
      <c r="D406" s="141"/>
      <c r="E406" s="141"/>
      <c r="F406" s="141"/>
      <c r="G406" s="141"/>
      <c r="H406" s="141"/>
    </row>
    <row r="407" spans="2:8" ht="15">
      <c r="B407" s="169"/>
      <c r="C407" s="172"/>
      <c r="D407" s="141"/>
      <c r="E407" s="141"/>
      <c r="F407" s="141"/>
      <c r="G407" s="141"/>
      <c r="H407" s="141"/>
    </row>
    <row r="408" spans="2:8" ht="15">
      <c r="B408" s="169"/>
      <c r="C408" s="172"/>
      <c r="D408" s="141"/>
      <c r="E408" s="141"/>
      <c r="F408" s="141"/>
      <c r="G408" s="141"/>
      <c r="H408" s="141"/>
    </row>
    <row r="409" spans="2:8" ht="15">
      <c r="B409" s="169"/>
      <c r="C409" s="172"/>
      <c r="D409" s="141"/>
      <c r="E409" s="141"/>
      <c r="F409" s="141"/>
      <c r="G409" s="141"/>
      <c r="H409" s="141"/>
    </row>
    <row r="410" spans="2:8" ht="15">
      <c r="B410" s="169"/>
      <c r="C410" s="172"/>
      <c r="D410" s="141"/>
      <c r="E410" s="141"/>
      <c r="F410" s="141"/>
      <c r="G410" s="141"/>
      <c r="H410" s="141"/>
    </row>
    <row r="411" spans="2:8" ht="15">
      <c r="B411" s="169"/>
      <c r="C411" s="172"/>
      <c r="D411" s="141"/>
      <c r="E411" s="141"/>
      <c r="F411" s="141"/>
      <c r="G411" s="141"/>
      <c r="H411" s="141"/>
    </row>
    <row r="412" spans="2:8" ht="15">
      <c r="B412" s="169"/>
      <c r="C412" s="172"/>
      <c r="D412" s="141"/>
      <c r="E412" s="141"/>
      <c r="F412" s="141"/>
      <c r="G412" s="141"/>
      <c r="H412" s="141"/>
    </row>
    <row r="413" spans="2:9" ht="15">
      <c r="B413" s="169"/>
      <c r="C413" s="172"/>
      <c r="D413" s="164"/>
      <c r="E413" s="164"/>
      <c r="F413" s="164"/>
      <c r="G413" s="164"/>
      <c r="H413" s="164"/>
      <c r="I413" s="153"/>
    </row>
    <row r="414" spans="2:8" ht="15.75">
      <c r="B414" s="168"/>
      <c r="C414" s="173"/>
      <c r="D414" s="108"/>
      <c r="E414" s="108"/>
      <c r="F414" s="108"/>
      <c r="G414" s="108"/>
      <c r="H414" s="108"/>
    </row>
    <row r="415" spans="2:8" ht="15.75">
      <c r="B415" s="168"/>
      <c r="C415" s="175"/>
      <c r="D415" s="108"/>
      <c r="E415" s="108"/>
      <c r="F415" s="108"/>
      <c r="G415" s="108"/>
      <c r="H415" s="108"/>
    </row>
    <row r="416" spans="2:8" ht="15">
      <c r="B416" s="169"/>
      <c r="C416" s="176"/>
      <c r="D416" s="141"/>
      <c r="E416" s="141"/>
      <c r="F416" s="141"/>
      <c r="G416" s="141"/>
      <c r="H416" s="141"/>
    </row>
    <row r="417" spans="2:8" ht="15">
      <c r="B417" s="169"/>
      <c r="C417" s="169"/>
      <c r="D417" s="79"/>
      <c r="E417" s="79"/>
      <c r="F417" s="79"/>
      <c r="G417" s="79"/>
      <c r="H417" s="79"/>
    </row>
    <row r="418" spans="2:8" ht="15.75">
      <c r="B418" s="168"/>
      <c r="C418" s="171"/>
      <c r="D418" s="48"/>
      <c r="E418" s="48"/>
      <c r="F418" s="48"/>
      <c r="G418" s="48"/>
      <c r="H418" s="48"/>
    </row>
    <row r="419" spans="2:8" ht="15">
      <c r="B419" s="169"/>
      <c r="C419" s="176"/>
      <c r="D419" s="88"/>
      <c r="E419" s="88"/>
      <c r="F419" s="88"/>
      <c r="G419" s="88"/>
      <c r="H419" s="88"/>
    </row>
    <row r="420" spans="2:3" ht="15">
      <c r="B420" s="169"/>
      <c r="C420" s="176"/>
    </row>
    <row r="421" spans="2:3" ht="15">
      <c r="B421" s="169"/>
      <c r="C421" s="176"/>
    </row>
    <row r="422" spans="2:16" ht="15">
      <c r="B422" s="169"/>
      <c r="C422" s="176"/>
      <c r="D422" s="153"/>
      <c r="E422" s="153"/>
      <c r="F422" s="153"/>
      <c r="G422" s="153"/>
      <c r="H422" s="153"/>
      <c r="I422" s="153"/>
      <c r="L422" s="153">
        <v>0</v>
      </c>
      <c r="M422" s="153">
        <v>0</v>
      </c>
      <c r="N422" s="153">
        <v>0</v>
      </c>
      <c r="O422" s="153">
        <v>0</v>
      </c>
      <c r="P422" s="153">
        <v>0</v>
      </c>
    </row>
    <row r="423" spans="2:17" ht="15">
      <c r="B423" s="169"/>
      <c r="C423" s="169"/>
      <c r="D423" s="88"/>
      <c r="E423" s="88"/>
      <c r="F423" s="88"/>
      <c r="G423" s="88"/>
      <c r="H423" s="88"/>
      <c r="I423" s="88"/>
      <c r="L423" s="153">
        <v>0</v>
      </c>
      <c r="M423" s="153">
        <v>0</v>
      </c>
      <c r="N423" s="153">
        <v>0</v>
      </c>
      <c r="O423" s="153">
        <v>0</v>
      </c>
      <c r="P423" s="153">
        <v>0</v>
      </c>
      <c r="Q423" s="153">
        <v>0</v>
      </c>
    </row>
    <row r="424" spans="2:16" ht="15">
      <c r="B424" s="169"/>
      <c r="C424" s="169"/>
      <c r="D424" s="141"/>
      <c r="E424" s="141"/>
      <c r="F424" s="141"/>
      <c r="G424" s="141"/>
      <c r="H424" s="141"/>
      <c r="I424" s="141"/>
      <c r="L424" s="141">
        <v>0</v>
      </c>
      <c r="M424" s="141">
        <v>0</v>
      </c>
      <c r="N424" s="141">
        <v>0</v>
      </c>
      <c r="O424" s="141">
        <v>0</v>
      </c>
      <c r="P424" s="141">
        <v>0</v>
      </c>
    </row>
    <row r="425" spans="2:8" ht="15">
      <c r="B425" s="169"/>
      <c r="C425" s="169"/>
      <c r="D425" s="141"/>
      <c r="E425" s="141"/>
      <c r="F425" s="141"/>
      <c r="G425" s="141"/>
      <c r="H425" s="141"/>
    </row>
    <row r="426" spans="2:8" ht="15">
      <c r="B426" s="169"/>
      <c r="C426" s="169"/>
      <c r="D426" s="141"/>
      <c r="E426" s="141"/>
      <c r="F426" s="141"/>
      <c r="G426" s="141"/>
      <c r="H426" s="141"/>
    </row>
    <row r="427" spans="2:9" ht="15">
      <c r="B427" s="169"/>
      <c r="C427" s="176"/>
      <c r="D427" s="88"/>
      <c r="E427" s="88"/>
      <c r="F427" s="88"/>
      <c r="G427" s="88"/>
      <c r="H427" s="88"/>
      <c r="I427" s="88"/>
    </row>
    <row r="428" spans="2:3" ht="15">
      <c r="B428" s="169"/>
      <c r="C428" s="177"/>
    </row>
    <row r="429" spans="2:3" ht="15">
      <c r="B429" s="169"/>
      <c r="C429" s="169"/>
    </row>
    <row r="430" spans="2:8" ht="15.75">
      <c r="B430" s="168"/>
      <c r="C430" s="171"/>
      <c r="D430" s="48"/>
      <c r="E430" s="48"/>
      <c r="F430" s="48"/>
      <c r="G430" s="48"/>
      <c r="H430" s="48"/>
    </row>
    <row r="431" spans="2:3" ht="15">
      <c r="B431" s="169"/>
      <c r="C431" s="176"/>
    </row>
    <row r="432" spans="2:9" ht="15">
      <c r="B432" s="169"/>
      <c r="C432" s="169"/>
      <c r="D432" s="153"/>
      <c r="E432" s="153"/>
      <c r="F432" s="153"/>
      <c r="G432" s="153"/>
      <c r="H432" s="153"/>
      <c r="I432" s="153"/>
    </row>
    <row r="433" spans="2:9" ht="15">
      <c r="B433" s="169"/>
      <c r="C433" s="169"/>
      <c r="D433" s="88"/>
      <c r="E433" s="88"/>
      <c r="F433" s="88"/>
      <c r="G433" s="88"/>
      <c r="H433" s="88"/>
      <c r="I433" s="88"/>
    </row>
    <row r="434" spans="2:9" ht="15">
      <c r="B434" s="169"/>
      <c r="C434" s="169"/>
      <c r="D434" s="88"/>
      <c r="E434" s="88"/>
      <c r="F434" s="88"/>
      <c r="G434" s="88"/>
      <c r="H434" s="88"/>
      <c r="I434" s="88"/>
    </row>
    <row r="435" spans="2:9" ht="15">
      <c r="B435" s="169"/>
      <c r="C435" s="176"/>
      <c r="D435" s="153"/>
      <c r="E435" s="153"/>
      <c r="F435" s="153"/>
      <c r="G435" s="153"/>
      <c r="H435" s="153"/>
      <c r="I435" s="153"/>
    </row>
    <row r="436" spans="2:3" ht="15">
      <c r="B436" s="169"/>
      <c r="C436" s="169"/>
    </row>
    <row r="437" spans="2:3" ht="15">
      <c r="B437" s="169"/>
      <c r="C437" s="169"/>
    </row>
    <row r="438" spans="2:3" ht="15.75">
      <c r="B438" s="168"/>
      <c r="C438" s="169"/>
    </row>
    <row r="439" spans="2:9" ht="15">
      <c r="B439" s="169"/>
      <c r="C439" s="176"/>
      <c r="D439" s="88"/>
      <c r="E439" s="88"/>
      <c r="F439" s="88"/>
      <c r="G439" s="88"/>
      <c r="H439" s="88"/>
      <c r="I439" s="88"/>
    </row>
    <row r="440" spans="2:3" ht="15">
      <c r="B440" s="169"/>
      <c r="C440" s="176"/>
    </row>
    <row r="441" spans="2:9" ht="15">
      <c r="B441" s="169"/>
      <c r="C441" s="176"/>
      <c r="D441" s="88"/>
      <c r="E441" s="88"/>
      <c r="F441" s="88"/>
      <c r="G441" s="88"/>
      <c r="H441" s="88"/>
      <c r="I441" s="88"/>
    </row>
    <row r="442" spans="2:3" ht="15">
      <c r="B442" s="169"/>
      <c r="C442" s="169"/>
    </row>
    <row r="443" spans="2:3" ht="15">
      <c r="B443" s="169"/>
      <c r="C443" s="169"/>
    </row>
    <row r="444" spans="2:8" ht="15.75">
      <c r="B444" s="168"/>
      <c r="C444" s="178"/>
      <c r="D444" s="79"/>
      <c r="E444" s="79"/>
      <c r="F444" s="79"/>
      <c r="G444" s="79"/>
      <c r="H444" s="79"/>
    </row>
    <row r="445" spans="2:3" ht="15">
      <c r="B445" s="169"/>
      <c r="C445" s="169"/>
    </row>
    <row r="446" spans="2:8" ht="15">
      <c r="B446" s="169"/>
      <c r="C446" s="178"/>
      <c r="D446" s="79"/>
      <c r="E446" s="79"/>
      <c r="F446" s="79"/>
      <c r="G446" s="79"/>
      <c r="H446" s="79"/>
    </row>
    <row r="447" spans="2:3" ht="15">
      <c r="B447" s="169"/>
      <c r="C447" s="169"/>
    </row>
    <row r="448" spans="2:9" ht="15">
      <c r="B448" s="169"/>
      <c r="C448" s="169"/>
      <c r="D448" s="72"/>
      <c r="E448" s="72"/>
      <c r="F448" s="72"/>
      <c r="G448" s="72"/>
      <c r="H448" s="72"/>
      <c r="I448" s="72"/>
    </row>
    <row r="449" spans="2:9" ht="15.75">
      <c r="B449" s="168"/>
      <c r="C449" s="177"/>
      <c r="D449" s="81"/>
      <c r="E449" s="81"/>
      <c r="F449" s="81"/>
      <c r="G449" s="81"/>
      <c r="H449" s="81"/>
      <c r="I449" s="81"/>
    </row>
    <row r="450" spans="2:3" ht="15">
      <c r="B450" s="169"/>
      <c r="C450" s="169"/>
    </row>
    <row r="451" spans="2:3" ht="15">
      <c r="B451" s="169"/>
      <c r="C451" s="169"/>
    </row>
    <row r="452" spans="2:3" ht="15">
      <c r="B452" s="169"/>
      <c r="C452" s="178"/>
    </row>
    <row r="453" spans="2:8" ht="15">
      <c r="B453" s="169"/>
      <c r="C453" s="169"/>
      <c r="D453" s="115"/>
      <c r="E453" s="115"/>
      <c r="F453" s="115"/>
      <c r="G453" s="115"/>
      <c r="H453" s="115"/>
    </row>
    <row r="454" spans="2:8" ht="15">
      <c r="B454" s="169"/>
      <c r="C454" s="179"/>
      <c r="D454" s="165"/>
      <c r="E454" s="165"/>
      <c r="F454" s="165"/>
      <c r="G454" s="165"/>
      <c r="H454" s="165"/>
    </row>
    <row r="455" spans="2:8" ht="15">
      <c r="B455" s="169"/>
      <c r="C455" s="169"/>
      <c r="D455" s="72"/>
      <c r="E455" s="72"/>
      <c r="F455" s="72"/>
      <c r="G455" s="72"/>
      <c r="H455" s="72"/>
    </row>
    <row r="456" spans="2:3" ht="15">
      <c r="B456" s="169"/>
      <c r="C456" s="169"/>
    </row>
    <row r="457" spans="2:8" ht="15">
      <c r="B457" s="169"/>
      <c r="C457" s="169"/>
      <c r="D457" s="79"/>
      <c r="E457" s="79"/>
      <c r="F457" s="79"/>
      <c r="G457" s="79"/>
      <c r="H457" s="79"/>
    </row>
    <row r="458" spans="2:8" ht="15">
      <c r="B458" s="169"/>
      <c r="C458" s="169"/>
      <c r="D458" s="141"/>
      <c r="E458" s="141"/>
      <c r="F458" s="141"/>
      <c r="G458" s="141"/>
      <c r="H458" s="141"/>
    </row>
    <row r="459" spans="2:3" ht="15">
      <c r="B459" s="169"/>
      <c r="C459" s="169"/>
    </row>
    <row r="460" spans="2:3" ht="15">
      <c r="B460" s="169"/>
      <c r="C460" s="169"/>
    </row>
    <row r="461" spans="2:8" ht="15">
      <c r="B461" s="169"/>
      <c r="C461" s="169"/>
      <c r="D461" s="88"/>
      <c r="E461" s="88"/>
      <c r="F461" s="88"/>
      <c r="G461" s="88"/>
      <c r="H461" s="88"/>
    </row>
    <row r="462" spans="2:8" ht="15">
      <c r="B462" s="169"/>
      <c r="C462" s="169"/>
      <c r="E462" s="88"/>
      <c r="F462" s="88"/>
      <c r="G462" s="88"/>
      <c r="H462" s="88"/>
    </row>
    <row r="463" spans="2:8" ht="15">
      <c r="B463" s="169"/>
      <c r="C463" s="169"/>
      <c r="D463" s="141"/>
      <c r="E463" s="141"/>
      <c r="F463" s="141"/>
      <c r="G463" s="141"/>
      <c r="H463" s="141"/>
    </row>
    <row r="464" spans="2:3" ht="15">
      <c r="B464" s="169"/>
      <c r="C464" s="169"/>
    </row>
    <row r="465" ht="15">
      <c r="B465" s="169"/>
    </row>
    <row r="466" ht="15">
      <c r="B466" s="169"/>
    </row>
    <row r="467" spans="2:8" ht="15">
      <c r="B467" s="169"/>
      <c r="D467" s="88"/>
      <c r="E467" s="88"/>
      <c r="F467" s="88"/>
      <c r="G467" s="88"/>
      <c r="H467" s="88"/>
    </row>
    <row r="468" spans="2:8" ht="15">
      <c r="B468" s="169"/>
      <c r="D468" s="141"/>
      <c r="E468" s="88"/>
      <c r="F468" s="88"/>
      <c r="G468" s="88"/>
      <c r="H468" s="88"/>
    </row>
    <row r="469" spans="2:8" ht="15">
      <c r="B469" s="169"/>
      <c r="D469" s="141"/>
      <c r="E469" s="141"/>
      <c r="F469" s="141"/>
      <c r="G469" s="141"/>
      <c r="H469" s="141"/>
    </row>
    <row r="470" ht="15">
      <c r="B470" s="169"/>
    </row>
    <row r="471" ht="15">
      <c r="B471" s="169"/>
    </row>
    <row r="472" ht="15">
      <c r="B472" s="169"/>
    </row>
    <row r="473" ht="15">
      <c r="B473" s="169"/>
    </row>
    <row r="474" ht="15">
      <c r="B474" s="169"/>
    </row>
  </sheetData>
  <sheetProtection/>
  <mergeCells count="8">
    <mergeCell ref="B4:C4"/>
    <mergeCell ref="B10:C10"/>
    <mergeCell ref="I234:J234"/>
    <mergeCell ref="B30:G30"/>
    <mergeCell ref="B22:C22"/>
    <mergeCell ref="G17:I17"/>
    <mergeCell ref="G26:H26"/>
    <mergeCell ref="E5:F5"/>
  </mergeCells>
  <printOptions/>
  <pageMargins left="0.75" right="0.75" top="1" bottom="1" header="0" footer="0"/>
  <pageSetup horizontalDpi="600" verticalDpi="600" orientation="portrait" r:id="rId3"/>
  <ignoredErrors>
    <ignoredError sqref="D113:H11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selection activeCell="B20" sqref="B20"/>
    </sheetView>
  </sheetViews>
  <sheetFormatPr defaultColWidth="11.421875" defaultRowHeight="12.75"/>
  <cols>
    <col min="1" max="1" width="35.7109375" style="0" bestFit="1" customWidth="1"/>
    <col min="2" max="2" width="57.28125" style="0" bestFit="1" customWidth="1"/>
    <col min="3" max="3" width="34.421875" style="0" bestFit="1" customWidth="1"/>
    <col min="4" max="4" width="16.421875" style="0" bestFit="1" customWidth="1"/>
    <col min="5" max="5" width="21.8515625" style="0" bestFit="1" customWidth="1"/>
    <col min="6" max="6" width="29.140625" style="0" bestFit="1" customWidth="1"/>
    <col min="7" max="7" width="14.28125" style="0" bestFit="1" customWidth="1"/>
    <col min="11" max="11" width="14.28125" style="0" bestFit="1" customWidth="1"/>
    <col min="12" max="12" width="19.7109375" style="0" bestFit="1" customWidth="1"/>
    <col min="13" max="13" width="8.140625" style="0" bestFit="1" customWidth="1"/>
    <col min="14" max="14" width="28.140625" style="0" bestFit="1" customWidth="1"/>
    <col min="15" max="15" width="28.57421875" style="0" bestFit="1" customWidth="1"/>
  </cols>
  <sheetData>
    <row r="1" spans="1:2" ht="12.75">
      <c r="A1" s="246" t="s">
        <v>260</v>
      </c>
      <c r="B1" s="246"/>
    </row>
    <row r="2" spans="1:2" ht="12.75">
      <c r="A2" s="26" t="s">
        <v>68</v>
      </c>
      <c r="B2" s="26" t="s">
        <v>261</v>
      </c>
    </row>
    <row r="3" ht="12.75">
      <c r="A3" s="26" t="s">
        <v>262</v>
      </c>
    </row>
    <row r="4" spans="1:3" ht="12.75">
      <c r="A4" s="247" t="s">
        <v>263</v>
      </c>
      <c r="B4" s="27" t="s">
        <v>265</v>
      </c>
      <c r="C4" s="26" t="s">
        <v>268</v>
      </c>
    </row>
    <row r="5" spans="1:2" ht="12.75">
      <c r="A5" s="247"/>
      <c r="B5" s="27" t="s">
        <v>269</v>
      </c>
    </row>
    <row r="6" spans="1:2" ht="12.75">
      <c r="A6" s="247"/>
      <c r="B6" s="27" t="s">
        <v>266</v>
      </c>
    </row>
    <row r="7" spans="1:2" ht="12.75">
      <c r="A7" s="247"/>
      <c r="B7" s="27" t="s">
        <v>270</v>
      </c>
    </row>
    <row r="8" spans="1:2" ht="12.75">
      <c r="A8" s="247"/>
      <c r="B8" s="27" t="s">
        <v>271</v>
      </c>
    </row>
    <row r="9" spans="1:2" ht="12.75">
      <c r="A9" s="247"/>
      <c r="B9" s="27" t="s">
        <v>272</v>
      </c>
    </row>
    <row r="10" spans="1:2" ht="12.75">
      <c r="A10" s="247"/>
      <c r="B10" s="27" t="s">
        <v>273</v>
      </c>
    </row>
    <row r="11" spans="1:2" ht="12.75">
      <c r="A11" s="247"/>
      <c r="B11" s="27" t="s">
        <v>274</v>
      </c>
    </row>
    <row r="12" spans="1:2" ht="12.75">
      <c r="A12" s="247"/>
      <c r="B12" s="27" t="s">
        <v>267</v>
      </c>
    </row>
    <row r="13" spans="1:2" ht="12.75">
      <c r="A13" s="247"/>
      <c r="B13" s="27" t="s">
        <v>275</v>
      </c>
    </row>
    <row r="14" spans="1:2" ht="12.75">
      <c r="A14" s="247"/>
      <c r="B14" s="27" t="s">
        <v>264</v>
      </c>
    </row>
    <row r="15" spans="1:2" ht="12.75">
      <c r="A15" s="26" t="s">
        <v>276</v>
      </c>
      <c r="B15" s="27" t="s">
        <v>277</v>
      </c>
    </row>
    <row r="18" spans="1:2" ht="12.75">
      <c r="A18" s="34" t="s">
        <v>282</v>
      </c>
      <c r="B18" s="30">
        <f>+B19+B20</f>
        <v>463200000</v>
      </c>
    </row>
    <row r="19" spans="1:2" ht="12.75">
      <c r="A19" s="29" t="s">
        <v>283</v>
      </c>
      <c r="B19" s="30">
        <f>+'Formato Evaluación Proyecto'!I20</f>
        <v>307200000</v>
      </c>
    </row>
    <row r="20" spans="1:2" ht="12.75">
      <c r="A20" s="29" t="s">
        <v>284</v>
      </c>
      <c r="B20" s="30">
        <f>+'Formato Evaluación Proyecto'!I23</f>
        <v>156000000</v>
      </c>
    </row>
    <row r="21" spans="1:4" ht="12.75">
      <c r="A21" s="34" t="s">
        <v>287</v>
      </c>
      <c r="B21" s="30">
        <f>+B23+B22</f>
        <v>20684.48387906544</v>
      </c>
      <c r="D21" s="187"/>
    </row>
    <row r="22" spans="1:2" ht="12.75">
      <c r="A22" s="29" t="s">
        <v>285</v>
      </c>
      <c r="B22" s="30">
        <f>+F39</f>
        <v>935.267578125</v>
      </c>
    </row>
    <row r="23" spans="1:2" ht="12.75">
      <c r="A23" s="29" t="s">
        <v>68</v>
      </c>
      <c r="B23" s="30">
        <f>+E39</f>
        <v>19749.21630094044</v>
      </c>
    </row>
    <row r="24" spans="1:2" ht="12.75">
      <c r="A24" s="29" t="s">
        <v>286</v>
      </c>
      <c r="B24" s="30">
        <f>+'Formato Evaluación Proyecto'!D62</f>
        <v>70000</v>
      </c>
    </row>
    <row r="25" spans="1:2" ht="12.75">
      <c r="A25" s="34" t="s">
        <v>308</v>
      </c>
      <c r="B25" s="35">
        <f>+(B18)/(B24-B21)</f>
        <v>9392.581411175182</v>
      </c>
    </row>
    <row r="26" ht="12.75">
      <c r="C26" s="30">
        <f>+B25*B24</f>
        <v>657480698.7822628</v>
      </c>
    </row>
    <row r="27" spans="1:5" ht="12.75">
      <c r="A27" s="248" t="s">
        <v>289</v>
      </c>
      <c r="B27" s="248"/>
      <c r="C27" s="249"/>
      <c r="D27" s="249"/>
      <c r="E27" s="36"/>
    </row>
    <row r="28" spans="1:5" ht="15">
      <c r="A28" s="29" t="s">
        <v>75</v>
      </c>
      <c r="B28" s="32">
        <v>800000</v>
      </c>
      <c r="C28" s="37"/>
      <c r="D28" s="38"/>
      <c r="E28" s="38"/>
    </row>
    <row r="29" spans="1:5" ht="15">
      <c r="A29" s="29" t="s">
        <v>74</v>
      </c>
      <c r="B29" s="32">
        <v>636571</v>
      </c>
      <c r="C29" s="37"/>
      <c r="D29" s="38"/>
      <c r="E29" s="38"/>
    </row>
    <row r="30" spans="1:5" ht="15">
      <c r="A30" s="34" t="s">
        <v>72</v>
      </c>
      <c r="B30" s="32">
        <f>+B28+B29</f>
        <v>1436571</v>
      </c>
      <c r="C30" s="36"/>
      <c r="D30" s="38"/>
      <c r="E30" s="38"/>
    </row>
    <row r="31" spans="1:5" ht="15">
      <c r="A31" s="29" t="s">
        <v>288</v>
      </c>
      <c r="B31" s="189">
        <f>192*4</f>
        <v>768</v>
      </c>
      <c r="C31" s="37"/>
      <c r="D31" s="38"/>
      <c r="E31" s="38"/>
    </row>
    <row r="32" spans="1:5" ht="15">
      <c r="A32" s="31" t="s">
        <v>76</v>
      </c>
      <c r="B32" s="32">
        <f>+B30/B31</f>
        <v>1870.53515625</v>
      </c>
      <c r="C32" s="37"/>
      <c r="D32" s="38"/>
      <c r="E32" s="38"/>
    </row>
    <row r="33" spans="1:5" ht="25.5">
      <c r="A33" s="33" t="s">
        <v>78</v>
      </c>
      <c r="B33" s="189">
        <v>0.5</v>
      </c>
      <c r="C33" s="39"/>
      <c r="D33" s="38"/>
      <c r="E33" s="38"/>
    </row>
    <row r="34" spans="1:5" ht="15">
      <c r="A34" s="29" t="s">
        <v>80</v>
      </c>
      <c r="B34" s="32">
        <f>+B32*B33</f>
        <v>935.267578125</v>
      </c>
      <c r="C34" s="37"/>
      <c r="D34" s="38"/>
      <c r="E34" s="38"/>
    </row>
    <row r="35" spans="3:5" ht="12.75">
      <c r="C35" s="26"/>
      <c r="D35" s="26"/>
      <c r="E35" s="26"/>
    </row>
    <row r="37" spans="1:7" ht="30">
      <c r="A37" s="250" t="s">
        <v>291</v>
      </c>
      <c r="B37" s="251" t="s">
        <v>292</v>
      </c>
      <c r="C37" s="252" t="s">
        <v>293</v>
      </c>
      <c r="D37" s="40" t="s">
        <v>294</v>
      </c>
      <c r="E37" s="40" t="s">
        <v>295</v>
      </c>
      <c r="F37" s="245" t="s">
        <v>296</v>
      </c>
      <c r="G37" s="245" t="s">
        <v>297</v>
      </c>
    </row>
    <row r="38" spans="1:7" ht="15">
      <c r="A38" s="250"/>
      <c r="B38" s="251"/>
      <c r="C38" s="252"/>
      <c r="D38" s="41">
        <v>1</v>
      </c>
      <c r="E38" s="28">
        <v>350</v>
      </c>
      <c r="F38" s="245"/>
      <c r="G38" s="245"/>
    </row>
    <row r="39" spans="1:7" ht="15">
      <c r="A39" s="250"/>
      <c r="B39" s="42" t="s">
        <v>298</v>
      </c>
      <c r="C39" s="42">
        <v>1</v>
      </c>
      <c r="D39" s="43">
        <f>+D40/C40</f>
        <v>56.426332288401255</v>
      </c>
      <c r="E39" s="44">
        <f>+D39*$E$38</f>
        <v>19749.21630094044</v>
      </c>
      <c r="F39" s="28">
        <f>+B34</f>
        <v>935.267578125</v>
      </c>
      <c r="G39" s="44">
        <f>+'Formato Evaluación Proyecto'!D62</f>
        <v>70000</v>
      </c>
    </row>
    <row r="40" spans="1:7" ht="15">
      <c r="A40" s="250"/>
      <c r="B40" s="45" t="s">
        <v>299</v>
      </c>
      <c r="C40" s="45">
        <v>3.19</v>
      </c>
      <c r="D40" s="45">
        <v>180</v>
      </c>
      <c r="E40" s="44">
        <f>+D40*$E$38</f>
        <v>63000</v>
      </c>
      <c r="F40" s="28">
        <f>+C40*$F$39</f>
        <v>2983.50357421875</v>
      </c>
      <c r="G40" s="28">
        <f>+$G$39*C40</f>
        <v>223300</v>
      </c>
    </row>
    <row r="41" spans="1:7" ht="15">
      <c r="A41" s="250"/>
      <c r="B41" s="45" t="s">
        <v>300</v>
      </c>
      <c r="C41" s="45">
        <f>+C40*8</f>
        <v>25.52</v>
      </c>
      <c r="D41" s="45">
        <f>+D39*C41</f>
        <v>1440</v>
      </c>
      <c r="E41" s="44">
        <f>+D41*$E$38</f>
        <v>504000</v>
      </c>
      <c r="F41" s="28">
        <f>+C41*$F$39</f>
        <v>23868.02859375</v>
      </c>
      <c r="G41" s="28">
        <f>+$G$39*C41</f>
        <v>1786400</v>
      </c>
    </row>
    <row r="42" spans="1:7" ht="15">
      <c r="A42" s="250"/>
      <c r="B42" s="45" t="s">
        <v>301</v>
      </c>
      <c r="C42" s="45">
        <f>16*C40</f>
        <v>51.04</v>
      </c>
      <c r="D42" s="45">
        <f>+D39*C42</f>
        <v>2880</v>
      </c>
      <c r="E42" s="44">
        <f>+D42*$E$38</f>
        <v>1008000</v>
      </c>
      <c r="F42" s="28">
        <f>+C42*$F$39</f>
        <v>47736.0571875</v>
      </c>
      <c r="G42" s="28">
        <f>+$G$39*C42</f>
        <v>3572800</v>
      </c>
    </row>
    <row r="43" spans="1:7" ht="15">
      <c r="A43" s="250"/>
      <c r="B43" s="45" t="s">
        <v>302</v>
      </c>
      <c r="C43" s="45">
        <f>24*C40</f>
        <v>76.56</v>
      </c>
      <c r="D43" s="45">
        <f>+D39*C43</f>
        <v>4320</v>
      </c>
      <c r="E43" s="44">
        <f>+D43*$E$38</f>
        <v>1512000</v>
      </c>
      <c r="F43" s="28">
        <f>+C43*$F$39</f>
        <v>71604.08578125</v>
      </c>
      <c r="G43" s="28">
        <f>+$G$39*C43</f>
        <v>5359200</v>
      </c>
    </row>
    <row r="45" spans="11:15" ht="12.75">
      <c r="K45" s="31" t="s">
        <v>282</v>
      </c>
      <c r="L45" s="31" t="s">
        <v>287</v>
      </c>
      <c r="M45" s="31" t="s">
        <v>135</v>
      </c>
      <c r="N45" s="29" t="s">
        <v>306</v>
      </c>
      <c r="O45" s="29" t="s">
        <v>307</v>
      </c>
    </row>
    <row r="46" spans="11:15" ht="12.75">
      <c r="K46" s="30">
        <f>+B49</f>
        <v>463200000</v>
      </c>
      <c r="L46" s="30">
        <f>+C49</f>
        <v>20684.48387906544</v>
      </c>
      <c r="M46" s="30">
        <f>+D49</f>
        <v>70000</v>
      </c>
      <c r="N46" s="190">
        <f>+($B$49/($D$49-$C$49))/12</f>
        <v>782.7151175979319</v>
      </c>
      <c r="O46" s="188">
        <f>+($B$49/($D$49-$C$49))</f>
        <v>9392.581411175182</v>
      </c>
    </row>
    <row r="48" spans="2:6" ht="12.75">
      <c r="B48" s="31" t="s">
        <v>282</v>
      </c>
      <c r="C48" s="31" t="s">
        <v>287</v>
      </c>
      <c r="D48" s="31" t="s">
        <v>135</v>
      </c>
      <c r="E48" s="29" t="s">
        <v>306</v>
      </c>
      <c r="F48" s="29" t="s">
        <v>307</v>
      </c>
    </row>
    <row r="49" spans="2:6" ht="12.75">
      <c r="B49" s="30">
        <f>+B18</f>
        <v>463200000</v>
      </c>
      <c r="C49" s="30">
        <f>+E39+F39</f>
        <v>20684.48387906544</v>
      </c>
      <c r="D49" s="30">
        <f>+'Formato Evaluación Proyecto'!D62</f>
        <v>70000</v>
      </c>
      <c r="E49" s="190">
        <f>+($B$49/($D$49-$C$49))/12</f>
        <v>782.7151175979319</v>
      </c>
      <c r="F49" s="188">
        <f>+($B$49/($D$49-$C$49))</f>
        <v>9392.581411175182</v>
      </c>
    </row>
    <row r="50" ht="12.75">
      <c r="E50" s="187"/>
    </row>
    <row r="51" ht="12.75">
      <c r="E51" s="187"/>
    </row>
    <row r="52" spans="4:5" ht="12.75">
      <c r="D52" s="30"/>
      <c r="E52" s="187"/>
    </row>
    <row r="53" spans="4:5" ht="12.75">
      <c r="D53" s="30">
        <f>+D49*F49</f>
        <v>657480698.7822628</v>
      </c>
      <c r="E53" s="187"/>
    </row>
  </sheetData>
  <sheetProtection/>
  <mergeCells count="9">
    <mergeCell ref="F37:F38"/>
    <mergeCell ref="G37:G38"/>
    <mergeCell ref="A1:B1"/>
    <mergeCell ref="A4:A14"/>
    <mergeCell ref="A27:B27"/>
    <mergeCell ref="C27:D27"/>
    <mergeCell ref="A37:A43"/>
    <mergeCell ref="B37:B38"/>
    <mergeCell ref="C37:C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1"/>
  <sheetViews>
    <sheetView zoomScale="70" zoomScaleNormal="70" zoomScalePageLayoutView="0" workbookViewId="0" topLeftCell="A13">
      <selection activeCell="E12" sqref="E12"/>
    </sheetView>
  </sheetViews>
  <sheetFormatPr defaultColWidth="11.421875" defaultRowHeight="12.75"/>
  <cols>
    <col min="1" max="1" width="11.00390625" style="0" customWidth="1"/>
    <col min="2" max="2" width="41.8515625" style="0" bestFit="1" customWidth="1"/>
    <col min="3" max="3" width="22.28125" style="0" bestFit="1" customWidth="1"/>
    <col min="4" max="5" width="21.7109375" style="0" bestFit="1" customWidth="1"/>
    <col min="6" max="6" width="22.57421875" style="0" bestFit="1" customWidth="1"/>
    <col min="7" max="7" width="22.140625" style="0" bestFit="1" customWidth="1"/>
    <col min="8" max="8" width="12.7109375" style="0" bestFit="1" customWidth="1"/>
  </cols>
  <sheetData>
    <row r="6" spans="2:5" ht="15">
      <c r="B6" s="199"/>
      <c r="C6" s="200"/>
      <c r="D6" s="192"/>
      <c r="E6" s="192"/>
    </row>
    <row r="7" spans="2:5" ht="15">
      <c r="B7" s="193" t="s">
        <v>159</v>
      </c>
      <c r="C7" s="194">
        <f>+'Formato Evaluación Proyecto'!C60</f>
        <v>4099000</v>
      </c>
      <c r="D7" s="192"/>
      <c r="E7" s="192"/>
    </row>
    <row r="8" spans="2:5" ht="15">
      <c r="B8" s="193" t="s">
        <v>62</v>
      </c>
      <c r="C8" s="195" t="s">
        <v>63</v>
      </c>
      <c r="D8" s="192"/>
      <c r="E8" s="192"/>
    </row>
    <row r="9" spans="2:5" ht="15.75">
      <c r="B9" s="192"/>
      <c r="C9" s="196" t="s">
        <v>66</v>
      </c>
      <c r="D9" s="197">
        <f>+'Formato Evaluación Proyecto'!D62</f>
        <v>70000</v>
      </c>
      <c r="E9" s="192"/>
    </row>
    <row r="10" spans="2:5" ht="15.75">
      <c r="B10" s="191" t="s">
        <v>81</v>
      </c>
      <c r="C10" s="166"/>
      <c r="D10" s="194">
        <f>+C7</f>
        <v>4099000</v>
      </c>
      <c r="E10" s="166"/>
    </row>
    <row r="11" spans="2:5" ht="15.75">
      <c r="B11" s="193" t="s">
        <v>82</v>
      </c>
      <c r="C11" s="166"/>
      <c r="D11" s="198">
        <f>+'Formato Evaluación Proyecto'!D64</f>
        <v>0.0035</v>
      </c>
      <c r="E11" s="193"/>
    </row>
    <row r="12" spans="2:5" ht="15.75">
      <c r="B12" s="193" t="s">
        <v>309</v>
      </c>
      <c r="C12" s="166"/>
      <c r="D12" s="194">
        <f>+D10*D11</f>
        <v>14346.5</v>
      </c>
      <c r="E12" s="166" t="s">
        <v>83</v>
      </c>
    </row>
    <row r="14" spans="2:7" ht="15">
      <c r="B14" s="22" t="s">
        <v>200</v>
      </c>
      <c r="C14" s="116">
        <f>+'Formato Evaluación Proyecto'!D97</f>
        <v>0.0035</v>
      </c>
      <c r="D14" s="116">
        <f>+'Formato Evaluación Proyecto'!E97</f>
        <v>0.03</v>
      </c>
      <c r="E14" s="116">
        <f>+'Formato Evaluación Proyecto'!F97</f>
        <v>0.03</v>
      </c>
      <c r="F14" s="116">
        <f>+'Formato Evaluación Proyecto'!G97</f>
        <v>0.03</v>
      </c>
      <c r="G14" s="116">
        <f>+'Formato Evaluación Proyecto'!H97</f>
        <v>0.03</v>
      </c>
    </row>
    <row r="15" spans="2:7" ht="15.75">
      <c r="B15" s="23"/>
      <c r="C15" s="60" t="s">
        <v>2</v>
      </c>
      <c r="D15" s="60" t="s">
        <v>3</v>
      </c>
      <c r="E15" s="60" t="s">
        <v>4</v>
      </c>
      <c r="F15" s="60" t="s">
        <v>5</v>
      </c>
      <c r="G15" s="60" t="s">
        <v>6</v>
      </c>
    </row>
    <row r="16" spans="2:7" ht="15">
      <c r="B16" s="23" t="s">
        <v>316</v>
      </c>
      <c r="C16" s="55">
        <f>+'Formato Evaluación Proyecto'!D99</f>
        <v>14633.43</v>
      </c>
      <c r="D16" s="55">
        <f>+'Formato Evaluación Proyecto'!E99</f>
        <v>14785.502900000001</v>
      </c>
      <c r="E16" s="55">
        <f>+'Formato Evaluación Proyecto'!F99</f>
        <v>15515.997987</v>
      </c>
      <c r="F16" s="55">
        <f>+'Formato Evaluación Proyecto'!G99</f>
        <v>15694.547926610003</v>
      </c>
      <c r="G16" s="55">
        <f>+'Formato Evaluación Proyecto'!H99</f>
        <v>16452.314364408303</v>
      </c>
    </row>
    <row r="17" spans="2:7" ht="15">
      <c r="B17" s="23" t="s">
        <v>317</v>
      </c>
      <c r="C17" s="55">
        <f>+'Formato Evaluación Proyecto'!D222</f>
        <v>1042416690</v>
      </c>
      <c r="D17" s="55">
        <f>+'Formato Evaluación Proyecto'!E222</f>
        <v>1112878846.1605499</v>
      </c>
      <c r="E17" s="55">
        <f>+'Formato Evaluación Proyecto'!F222</f>
        <v>1186957626.5552273</v>
      </c>
      <c r="F17" s="55">
        <f>+'Formato Evaluación Proyecto'!G222</f>
        <v>1265967460.966876</v>
      </c>
      <c r="G17" s="55">
        <f>+'Formato Evaluación Proyecto'!H222</f>
        <v>1349584611.7637382</v>
      </c>
    </row>
    <row r="18" spans="2:7" ht="15.75">
      <c r="B18" s="18" t="s">
        <v>38</v>
      </c>
      <c r="C18" s="16">
        <f>+'Formato Evaluación Proyecto'!D234</f>
        <v>385041151.87626374</v>
      </c>
      <c r="D18" s="16">
        <f>+'Formato Evaluación Proyecto'!E234</f>
        <v>407034219.31932646</v>
      </c>
      <c r="E18" s="16">
        <f>+'Formato Evaluación Proyecto'!F234</f>
        <v>427603393.74321985</v>
      </c>
      <c r="F18" s="16">
        <f>+'Formato Evaluación Proyecto'!G234</f>
        <v>452155544.3483059</v>
      </c>
      <c r="G18" s="16">
        <f>+'Formato Evaluación Proyecto'!H234</f>
        <v>475659382.83676434</v>
      </c>
    </row>
    <row r="19" spans="2:7" ht="15.75">
      <c r="B19" s="142" t="s">
        <v>40</v>
      </c>
      <c r="C19" s="205">
        <f>+C17-C18</f>
        <v>657375538.1237363</v>
      </c>
      <c r="D19" s="205">
        <f>+D17-D18</f>
        <v>705844626.8412235</v>
      </c>
      <c r="E19" s="205">
        <f>+E17-E18</f>
        <v>759354232.8120074</v>
      </c>
      <c r="F19" s="205">
        <f>+F17-F18</f>
        <v>813811916.6185701</v>
      </c>
      <c r="G19" s="205">
        <f>+G17-G18</f>
        <v>873925228.9269738</v>
      </c>
    </row>
    <row r="20" spans="2:7" ht="15">
      <c r="B20" s="50"/>
      <c r="C20" s="204"/>
      <c r="D20" s="204"/>
      <c r="E20" s="204"/>
      <c r="F20" s="204"/>
      <c r="G20" s="204"/>
    </row>
    <row r="22" spans="5:7" ht="12.75">
      <c r="E22" s="187"/>
      <c r="F22" s="187"/>
      <c r="G22" s="187"/>
    </row>
    <row r="23" spans="5:7" ht="12.75">
      <c r="E23" s="187"/>
      <c r="F23" s="187"/>
      <c r="G23" s="187"/>
    </row>
    <row r="24" spans="5:7" ht="12.75">
      <c r="E24" s="187"/>
      <c r="F24" s="187"/>
      <c r="G24" s="187"/>
    </row>
    <row r="25" spans="1:7" ht="12.75">
      <c r="A25" s="253" t="s">
        <v>314</v>
      </c>
      <c r="B25" s="201" t="s">
        <v>292</v>
      </c>
      <c r="C25" s="202" t="s">
        <v>293</v>
      </c>
      <c r="D25" s="202" t="s">
        <v>315</v>
      </c>
      <c r="E25" s="187"/>
      <c r="F25" s="187"/>
      <c r="G25" s="187"/>
    </row>
    <row r="26" spans="1:7" ht="12.75">
      <c r="A26" s="254"/>
      <c r="B26" s="201" t="s">
        <v>310</v>
      </c>
      <c r="C26" s="31">
        <v>25.52</v>
      </c>
      <c r="D26" s="31">
        <f>+C26*360</f>
        <v>9187.2</v>
      </c>
      <c r="F26" s="187"/>
      <c r="G26" s="187"/>
    </row>
    <row r="27" spans="1:4" ht="12.75">
      <c r="A27" s="254"/>
      <c r="B27" s="201" t="s">
        <v>311</v>
      </c>
      <c r="C27" s="31">
        <v>38.28</v>
      </c>
      <c r="D27" s="31">
        <f>+C27*360</f>
        <v>13780.800000000001</v>
      </c>
    </row>
    <row r="28" spans="1:4" ht="12.75">
      <c r="A28" s="254"/>
      <c r="B28" s="201" t="s">
        <v>312</v>
      </c>
      <c r="C28" s="31">
        <v>51.04</v>
      </c>
      <c r="D28" s="31">
        <f>+C28*360</f>
        <v>18374.4</v>
      </c>
    </row>
    <row r="29" spans="1:4" ht="12.75">
      <c r="A29" s="255"/>
      <c r="B29" s="201" t="s">
        <v>313</v>
      </c>
      <c r="C29" s="31">
        <v>76.56</v>
      </c>
      <c r="D29" s="31">
        <f>+C29*360</f>
        <v>27561.600000000002</v>
      </c>
    </row>
    <row r="31" spans="1:5" ht="15">
      <c r="A31" s="55" t="str">
        <f>+B26</f>
        <v>1 turno</v>
      </c>
      <c r="B31" s="55" t="str">
        <f>+B27</f>
        <v>2 turnos</v>
      </c>
      <c r="C31" s="55" t="str">
        <f>+B28</f>
        <v>3 turnos</v>
      </c>
      <c r="D31" s="213" t="str">
        <f>+B29</f>
        <v>4 turnos</v>
      </c>
      <c r="E31" s="204"/>
    </row>
    <row r="32" spans="1:5" ht="12.75">
      <c r="A32" s="31">
        <f>+D26</f>
        <v>9187.2</v>
      </c>
      <c r="B32" s="31">
        <f>+D27</f>
        <v>13780.800000000001</v>
      </c>
      <c r="C32" s="31">
        <f>+D28</f>
        <v>18374.4</v>
      </c>
      <c r="D32" s="214">
        <f>+D29</f>
        <v>27561.600000000002</v>
      </c>
      <c r="E32" s="215"/>
    </row>
    <row r="33" ht="15">
      <c r="A33" s="47"/>
    </row>
    <row r="41" spans="3:6" ht="12.75">
      <c r="C41" s="203"/>
      <c r="D41" s="203"/>
      <c r="E41" s="203"/>
      <c r="F41" s="203"/>
    </row>
  </sheetData>
  <sheetProtection/>
  <mergeCells count="1">
    <mergeCell ref="A25:A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2"/>
  <sheetViews>
    <sheetView zoomScale="60" zoomScaleNormal="60" zoomScalePageLayoutView="0" workbookViewId="0" topLeftCell="A25">
      <selection activeCell="B92" sqref="B92"/>
    </sheetView>
  </sheetViews>
  <sheetFormatPr defaultColWidth="11.421875" defaultRowHeight="12.75"/>
  <cols>
    <col min="1" max="1" width="52.28125" style="0" bestFit="1" customWidth="1"/>
    <col min="2" max="2" width="23.421875" style="0" bestFit="1" customWidth="1"/>
    <col min="3" max="3" width="18.421875" style="0" bestFit="1" customWidth="1"/>
    <col min="4" max="5" width="19.00390625" style="0" bestFit="1" customWidth="1"/>
    <col min="6" max="7" width="17.28125" style="0" bestFit="1" customWidth="1"/>
  </cols>
  <sheetData>
    <row r="1" spans="1:2" ht="15">
      <c r="A1" s="47" t="s">
        <v>155</v>
      </c>
      <c r="B1" s="47"/>
    </row>
    <row r="2" spans="1:2" ht="15.75">
      <c r="A2" s="83" t="s">
        <v>304</v>
      </c>
      <c r="B2" s="47"/>
    </row>
    <row r="3" spans="1:2" ht="15">
      <c r="A3" s="47"/>
      <c r="B3" s="47"/>
    </row>
    <row r="4" spans="1:2" ht="15">
      <c r="A4" s="207" t="s">
        <v>64</v>
      </c>
      <c r="B4" s="208"/>
    </row>
    <row r="5" spans="1:2" ht="15">
      <c r="A5" s="23" t="s">
        <v>156</v>
      </c>
      <c r="B5" s="209">
        <f>+'Formato Evaluación Proyecto'!C50</f>
        <v>379800000</v>
      </c>
    </row>
    <row r="6" spans="1:2" ht="15">
      <c r="A6" s="23" t="s">
        <v>255</v>
      </c>
      <c r="B6" s="209">
        <f>+'Formato Evaluación Proyecto'!C51</f>
        <v>13500000</v>
      </c>
    </row>
    <row r="7" spans="1:2" ht="15">
      <c r="A7" s="23" t="s">
        <v>57</v>
      </c>
      <c r="B7" s="209">
        <f>+'Formato Evaluación Proyecto'!C52</f>
        <v>1500000</v>
      </c>
    </row>
    <row r="8" spans="1:2" ht="15">
      <c r="A8" s="23" t="s">
        <v>61</v>
      </c>
      <c r="B8" s="209">
        <f>+'Formato Evaluación Proyecto'!C53</f>
        <v>94950000</v>
      </c>
    </row>
    <row r="9" spans="1:2" ht="15.75">
      <c r="A9" s="18" t="s">
        <v>157</v>
      </c>
      <c r="B9" s="209">
        <f>+'Formato Evaluación Proyecto'!C54</f>
        <v>489750000</v>
      </c>
    </row>
    <row r="10" spans="1:2" ht="15.75">
      <c r="A10" s="18" t="s">
        <v>147</v>
      </c>
      <c r="B10" s="222">
        <f>+'Formato Evaluación Proyecto'!C55</f>
        <v>0.7</v>
      </c>
    </row>
    <row r="11" spans="1:2" ht="15.75">
      <c r="A11" s="18" t="s">
        <v>319</v>
      </c>
      <c r="B11" s="209">
        <f>+'Formato Evaluación Proyecto'!C56</f>
        <v>342825000</v>
      </c>
    </row>
    <row r="12" spans="1:2" ht="15.75">
      <c r="A12" s="18" t="s">
        <v>318</v>
      </c>
      <c r="B12" s="209">
        <f>+'Formato Evaluación Proyecto'!C212</f>
        <v>146925000</v>
      </c>
    </row>
    <row r="21" spans="2:7" ht="15.75">
      <c r="B21" s="60" t="s">
        <v>1</v>
      </c>
      <c r="C21" s="60" t="s">
        <v>2</v>
      </c>
      <c r="D21" s="60" t="s">
        <v>3</v>
      </c>
      <c r="E21" s="60" t="s">
        <v>4</v>
      </c>
      <c r="F21" s="60" t="s">
        <v>5</v>
      </c>
      <c r="G21" s="60" t="s">
        <v>6</v>
      </c>
    </row>
    <row r="22" spans="1:7" ht="15">
      <c r="A22" t="s">
        <v>323</v>
      </c>
      <c r="B22" s="32">
        <f>+'Formato Evaluación Proyecto'!C182</f>
        <v>94950000</v>
      </c>
      <c r="C22" s="32">
        <f>+'Formato Evaluación Proyecto'!D182</f>
        <v>270119411.7289017</v>
      </c>
      <c r="D22" s="32">
        <f>+'Formato Evaluación Proyecto'!E182</f>
        <v>266702461.05320457</v>
      </c>
      <c r="E22" s="32">
        <f>+'Formato Evaluación Proyecto'!F182</f>
        <v>279847526.2750281</v>
      </c>
      <c r="F22" s="32">
        <f>+'Formato Evaluación Proyecto'!G182</f>
        <v>301586867.9338802</v>
      </c>
      <c r="G22" s="32">
        <f>+'Formato Evaluación Proyecto'!H182</f>
        <v>340906304.5047704</v>
      </c>
    </row>
    <row r="23" spans="1:7" ht="15">
      <c r="A23" t="s">
        <v>324</v>
      </c>
      <c r="B23" s="32">
        <f>+'Formato Evaluación Proyecto'!C202</f>
        <v>342825000</v>
      </c>
      <c r="C23" s="32">
        <f>+'Formato Evaluación Proyecto'!D202</f>
        <v>372345377.13599837</v>
      </c>
      <c r="D23" s="32">
        <f>+'Formato Evaluación Proyecto'!E202</f>
        <v>328415667.14009374</v>
      </c>
      <c r="E23" s="32">
        <f>+'Formato Evaluación Proyecto'!F202</f>
        <v>279597863.1343803</v>
      </c>
      <c r="F23" s="32">
        <f>+'Formato Evaluación Proyecto'!G202</f>
        <v>218347872.96901518</v>
      </c>
      <c r="G23" s="32">
        <f>+'Formato Evaluación Proyecto'!H202</f>
        <v>151527072.15690166</v>
      </c>
    </row>
    <row r="24" spans="1:7" ht="15">
      <c r="A24" s="216" t="s">
        <v>322</v>
      </c>
      <c r="B24" s="217">
        <f aca="true" t="shared" si="0" ref="B24:G24">+B22/B23</f>
        <v>0.2769634653248742</v>
      </c>
      <c r="C24" s="217">
        <f t="shared" si="0"/>
        <v>0.725453915412091</v>
      </c>
      <c r="D24" s="217">
        <f t="shared" si="0"/>
        <v>0.81208811801124</v>
      </c>
      <c r="E24" s="217">
        <f t="shared" si="0"/>
        <v>1.0008929365119212</v>
      </c>
      <c r="F24" s="217">
        <f t="shared" si="0"/>
        <v>1.3812219181850107</v>
      </c>
      <c r="G24" s="217">
        <f t="shared" si="0"/>
        <v>2.24980460357455</v>
      </c>
    </row>
    <row r="28" spans="2:7" ht="15.75">
      <c r="B28" s="60" t="s">
        <v>1</v>
      </c>
      <c r="C28" s="60" t="s">
        <v>2</v>
      </c>
      <c r="D28" s="60" t="s">
        <v>3</v>
      </c>
      <c r="E28" s="60" t="s">
        <v>4</v>
      </c>
      <c r="F28" s="60" t="s">
        <v>5</v>
      </c>
      <c r="G28" s="60" t="s">
        <v>6</v>
      </c>
    </row>
    <row r="29" spans="1:7" ht="15">
      <c r="A29" t="str">
        <f>+A22</f>
        <v>Activo corriente</v>
      </c>
      <c r="B29" s="32">
        <f aca="true" t="shared" si="1" ref="B29:G29">+B22</f>
        <v>94950000</v>
      </c>
      <c r="C29" s="32">
        <f t="shared" si="1"/>
        <v>270119411.7289017</v>
      </c>
      <c r="D29" s="32">
        <f t="shared" si="1"/>
        <v>266702461.05320457</v>
      </c>
      <c r="E29" s="32">
        <f t="shared" si="1"/>
        <v>279847526.2750281</v>
      </c>
      <c r="F29" s="32">
        <f t="shared" si="1"/>
        <v>301586867.9338802</v>
      </c>
      <c r="G29" s="32">
        <f t="shared" si="1"/>
        <v>340906304.5047704</v>
      </c>
    </row>
    <row r="30" spans="1:7" ht="15">
      <c r="A30" s="26" t="s">
        <v>326</v>
      </c>
      <c r="B30" s="32">
        <f>+'Formato Evaluación Proyecto'!C181</f>
        <v>0</v>
      </c>
      <c r="C30" s="32">
        <f>+'Formato Evaluación Proyecto'!D181</f>
        <v>7700823.037525283</v>
      </c>
      <c r="D30" s="32">
        <f>+'Formato Evaluación Proyecto'!E181</f>
        <v>8140684.386386561</v>
      </c>
      <c r="E30" s="32">
        <f>+'Formato Evaluación Proyecto'!F181</f>
        <v>16613212.068345793</v>
      </c>
      <c r="F30" s="32">
        <f>+'Formato Evaluación Proyecto'!G181</f>
        <v>17567110.21486335</v>
      </c>
      <c r="G30" s="32">
        <f>+'Formato Evaluación Proyecto'!H181</f>
        <v>26932623.442196507</v>
      </c>
    </row>
    <row r="31" spans="1:7" ht="15">
      <c r="A31" t="str">
        <f>+A23</f>
        <v>Pasivo corriente</v>
      </c>
      <c r="B31" s="32">
        <f aca="true" t="shared" si="2" ref="B31:G31">+B23</f>
        <v>342825000</v>
      </c>
      <c r="C31" s="32">
        <f t="shared" si="2"/>
        <v>372345377.13599837</v>
      </c>
      <c r="D31" s="32">
        <f t="shared" si="2"/>
        <v>328415667.14009374</v>
      </c>
      <c r="E31" s="32">
        <f t="shared" si="2"/>
        <v>279597863.1343803</v>
      </c>
      <c r="F31" s="32">
        <f t="shared" si="2"/>
        <v>218347872.96901518</v>
      </c>
      <c r="G31" s="32">
        <f t="shared" si="2"/>
        <v>151527072.15690166</v>
      </c>
    </row>
    <row r="32" spans="1:7" ht="12.75">
      <c r="A32" s="216" t="s">
        <v>325</v>
      </c>
      <c r="B32" s="218">
        <f aca="true" t="shared" si="3" ref="B32:G32">+(B29-B30)/B31</f>
        <v>0.2769634653248742</v>
      </c>
      <c r="C32" s="218">
        <f t="shared" si="3"/>
        <v>0.70477198000911</v>
      </c>
      <c r="D32" s="218">
        <f t="shared" si="3"/>
        <v>0.7873003712594568</v>
      </c>
      <c r="E32" s="218">
        <f t="shared" si="3"/>
        <v>0.9414746996123025</v>
      </c>
      <c r="F32" s="218">
        <f t="shared" si="3"/>
        <v>1.3007672291789207</v>
      </c>
      <c r="G32" s="218">
        <f t="shared" si="3"/>
        <v>2.0720632728748547</v>
      </c>
    </row>
    <row r="35" spans="2:7" ht="15.75">
      <c r="B35" s="60" t="s">
        <v>1</v>
      </c>
      <c r="C35" s="60" t="s">
        <v>2</v>
      </c>
      <c r="D35" s="60" t="s">
        <v>3</v>
      </c>
      <c r="E35" s="60" t="s">
        <v>4</v>
      </c>
      <c r="F35" s="60" t="s">
        <v>5</v>
      </c>
      <c r="G35" s="60" t="s">
        <v>6</v>
      </c>
    </row>
    <row r="36" spans="1:7" ht="15">
      <c r="A36" s="26" t="s">
        <v>327</v>
      </c>
      <c r="B36" s="32">
        <f>+'Formato Evaluación Proyecto'!C197</f>
        <v>489750000</v>
      </c>
      <c r="C36" s="32">
        <f>+'Formato Evaluación Proyecto'!D197</f>
        <v>585959411.7289016</v>
      </c>
      <c r="D36" s="32">
        <f>+'Formato Evaluación Proyecto'!E197</f>
        <v>503582461.05320454</v>
      </c>
      <c r="E36" s="32">
        <f>+'Formato Evaluación Proyecto'!F197</f>
        <v>437767526.2750281</v>
      </c>
      <c r="F36" s="32">
        <f>+'Formato Evaluación Proyecto'!G197</f>
        <v>380546867.9338802</v>
      </c>
      <c r="G36" s="32">
        <f>+'Formato Evaluación Proyecto'!H197</f>
        <v>340906304.5047704</v>
      </c>
    </row>
    <row r="37" spans="1:7" ht="15">
      <c r="A37" s="219" t="s">
        <v>328</v>
      </c>
      <c r="B37" s="32">
        <f>+'Formato Evaluación Proyecto'!C210</f>
        <v>342825000</v>
      </c>
      <c r="C37" s="32">
        <f>+'Formato Evaluación Proyecto'!D210</f>
        <v>381181417.13599837</v>
      </c>
      <c r="D37" s="32">
        <f>+'Formato Evaluación Proyecto'!E210</f>
        <v>337574222.6000937</v>
      </c>
      <c r="E37" s="32">
        <f>+'Formato Evaluación Proyecto'!F210</f>
        <v>289081547.3132103</v>
      </c>
      <c r="F37" s="32">
        <f>+'Formato Evaluación Proyecto'!G210</f>
        <v>228168227.93619365</v>
      </c>
      <c r="G37" s="32">
        <f>+'Formato Evaluación Proyecto'!H210</f>
        <v>161691139.54793137</v>
      </c>
    </row>
    <row r="38" spans="1:7" ht="12.75">
      <c r="A38" s="219" t="s">
        <v>329</v>
      </c>
      <c r="B38" s="220">
        <f aca="true" t="shared" si="4" ref="B38:G38">+B37/B36</f>
        <v>0.7</v>
      </c>
      <c r="C38" s="220">
        <f t="shared" si="4"/>
        <v>0.6505252915236981</v>
      </c>
      <c r="D38" s="220">
        <f t="shared" si="4"/>
        <v>0.6703454721081485</v>
      </c>
      <c r="E38" s="220">
        <f t="shared" si="4"/>
        <v>0.6603540234539791</v>
      </c>
      <c r="F38" s="220">
        <f t="shared" si="4"/>
        <v>0.599579834081929</v>
      </c>
      <c r="G38" s="220">
        <f t="shared" si="4"/>
        <v>0.47429788599192296</v>
      </c>
    </row>
    <row r="40" ht="12.75">
      <c r="B40" s="224">
        <f>+AVERAGE(B38:G38)</f>
        <v>0.6258504178599463</v>
      </c>
    </row>
    <row r="42" spans="2:7" ht="15.75">
      <c r="B42" s="60" t="s">
        <v>1</v>
      </c>
      <c r="C42" s="60" t="s">
        <v>2</v>
      </c>
      <c r="D42" s="60" t="s">
        <v>3</v>
      </c>
      <c r="E42" s="60" t="s">
        <v>4</v>
      </c>
      <c r="F42" s="60" t="s">
        <v>5</v>
      </c>
      <c r="G42" s="60" t="s">
        <v>6</v>
      </c>
    </row>
    <row r="43" spans="1:7" ht="15">
      <c r="A43" t="str">
        <f>+A37</f>
        <v>Pasivo total</v>
      </c>
      <c r="B43" s="32">
        <f>+'Formato Evaluación Proyecto'!C210</f>
        <v>342825000</v>
      </c>
      <c r="C43" s="32">
        <f>+'Formato Evaluación Proyecto'!D210</f>
        <v>381181417.13599837</v>
      </c>
      <c r="D43" s="32">
        <f>+'Formato Evaluación Proyecto'!E210</f>
        <v>337574222.6000937</v>
      </c>
      <c r="E43" s="32">
        <f>+'Formato Evaluación Proyecto'!F210</f>
        <v>289081547.3132103</v>
      </c>
      <c r="F43" s="32">
        <f>+'Formato Evaluación Proyecto'!G210</f>
        <v>228168227.93619365</v>
      </c>
      <c r="G43" s="32">
        <f>+'Formato Evaluación Proyecto'!H210</f>
        <v>161691139.54793137</v>
      </c>
    </row>
    <row r="44" spans="1:7" ht="15">
      <c r="A44" s="26" t="s">
        <v>331</v>
      </c>
      <c r="B44" s="32">
        <f>+'Formato Evaluación Proyecto'!C215</f>
        <v>146925000</v>
      </c>
      <c r="C44" s="32">
        <f>+'Formato Evaluación Proyecto'!D215</f>
        <v>204777994.59290326</v>
      </c>
      <c r="D44" s="32">
        <f>+'Formato Evaluación Proyecto'!E215</f>
        <v>287474284.7031109</v>
      </c>
      <c r="E44" s="32">
        <f>+'Formato Evaluación Proyecto'!F215</f>
        <v>400425840.9818866</v>
      </c>
      <c r="F44" s="32">
        <f>+'Formato Evaluación Proyecto'!G215</f>
        <v>543652165.3371592</v>
      </c>
      <c r="G44" s="32">
        <f>+'Formato Evaluación Proyecto'!H215</f>
        <v>719898582.917171</v>
      </c>
    </row>
    <row r="45" spans="1:7" ht="12.75">
      <c r="A45" s="216" t="s">
        <v>330</v>
      </c>
      <c r="B45" s="221">
        <f aca="true" t="shared" si="5" ref="B45:G45">+B43/B44</f>
        <v>2.3333333333333335</v>
      </c>
      <c r="C45" s="221">
        <f t="shared" si="5"/>
        <v>1.8614373966000763</v>
      </c>
      <c r="D45" s="221">
        <f t="shared" si="5"/>
        <v>1.1742762416079182</v>
      </c>
      <c r="E45" s="221">
        <f t="shared" si="5"/>
        <v>0.7219352941966775</v>
      </c>
      <c r="F45" s="221">
        <f t="shared" si="5"/>
        <v>0.41969524354729565</v>
      </c>
      <c r="G45" s="221">
        <f t="shared" si="5"/>
        <v>0.22460266402071108</v>
      </c>
    </row>
    <row r="47" spans="2:7" ht="15.75">
      <c r="B47" s="60" t="s">
        <v>1</v>
      </c>
      <c r="C47" s="60" t="s">
        <v>2</v>
      </c>
      <c r="D47" s="60" t="s">
        <v>3</v>
      </c>
      <c r="E47" s="60" t="s">
        <v>4</v>
      </c>
      <c r="F47" s="60" t="s">
        <v>5</v>
      </c>
      <c r="G47" s="60" t="s">
        <v>6</v>
      </c>
    </row>
    <row r="48" spans="1:7" ht="15">
      <c r="A48" t="str">
        <f>+'Formato Evaluación Proyecto'!B202</f>
        <v>Total Pasivos Corrientes</v>
      </c>
      <c r="B48" s="32">
        <f>+'Formato Evaluación Proyecto'!C202</f>
        <v>342825000</v>
      </c>
      <c r="C48" s="32">
        <f>+'Formato Evaluación Proyecto'!D202</f>
        <v>372345377.13599837</v>
      </c>
      <c r="D48" s="32">
        <f>+'Formato Evaluación Proyecto'!E202</f>
        <v>328415667.14009374</v>
      </c>
      <c r="E48" s="32">
        <f>+'Formato Evaluación Proyecto'!F202</f>
        <v>279597863.1343803</v>
      </c>
      <c r="F48" s="32">
        <f>+'Formato Evaluación Proyecto'!G202</f>
        <v>218347872.96901518</v>
      </c>
      <c r="G48" s="32">
        <f>+'Formato Evaluación Proyecto'!H202</f>
        <v>151527072.15690166</v>
      </c>
    </row>
    <row r="49" spans="1:7" ht="15">
      <c r="A49" t="str">
        <f>+'Formato Evaluación Proyecto'!B210</f>
        <v>TOTAL PASIVO</v>
      </c>
      <c r="B49" s="32">
        <f>+'Formato Evaluación Proyecto'!C210</f>
        <v>342825000</v>
      </c>
      <c r="C49" s="32">
        <f>+'Formato Evaluación Proyecto'!D210</f>
        <v>381181417.13599837</v>
      </c>
      <c r="D49" s="32">
        <f>+'Formato Evaluación Proyecto'!E210</f>
        <v>337574222.6000937</v>
      </c>
      <c r="E49" s="32">
        <f>+'Formato Evaluación Proyecto'!F210</f>
        <v>289081547.3132103</v>
      </c>
      <c r="F49" s="32">
        <f>+'Formato Evaluación Proyecto'!G210</f>
        <v>228168227.93619365</v>
      </c>
      <c r="G49" s="32">
        <f>+'Formato Evaluación Proyecto'!H210</f>
        <v>161691139.54793137</v>
      </c>
    </row>
    <row r="50" spans="2:7" ht="12.75">
      <c r="B50" s="220">
        <f aca="true" t="shared" si="6" ref="B50:G50">+B48/B49</f>
        <v>1</v>
      </c>
      <c r="C50" s="220">
        <f t="shared" si="6"/>
        <v>0.9768193316809894</v>
      </c>
      <c r="D50" s="220">
        <f t="shared" si="6"/>
        <v>0.9728695058838968</v>
      </c>
      <c r="E50" s="220">
        <f t="shared" si="6"/>
        <v>0.9671937407732402</v>
      </c>
      <c r="F50" s="220">
        <f t="shared" si="6"/>
        <v>0.9569600243819893</v>
      </c>
      <c r="G50" s="220">
        <f t="shared" si="6"/>
        <v>0.9371389958692405</v>
      </c>
    </row>
    <row r="53" spans="2:7" ht="15.75">
      <c r="B53" s="60" t="s">
        <v>1</v>
      </c>
      <c r="C53" s="60" t="s">
        <v>2</v>
      </c>
      <c r="D53" s="60" t="s">
        <v>3</v>
      </c>
      <c r="E53" s="60" t="s">
        <v>4</v>
      </c>
      <c r="F53" s="60" t="s">
        <v>5</v>
      </c>
      <c r="G53" s="60" t="s">
        <v>6</v>
      </c>
    </row>
    <row r="54" spans="1:7" ht="15">
      <c r="A54" s="26" t="s">
        <v>339</v>
      </c>
      <c r="B54" s="32">
        <f>+'Formato Evaluación Proyecto'!C246</f>
        <v>0</v>
      </c>
      <c r="C54" s="32">
        <f>+'Formato Evaluación Proyecto'!D246</f>
        <v>57852994.59290326</v>
      </c>
      <c r="D54" s="32">
        <f>+'Formato Evaluación Proyecto'!E246</f>
        <v>82696290.11020762</v>
      </c>
      <c r="E54" s="32">
        <f>+'Formato Evaluación Proyecto'!F246</f>
        <v>112951556.27877575</v>
      </c>
      <c r="F54" s="32">
        <f>+'Formato Evaluación Proyecto'!G246</f>
        <v>143226324.35527247</v>
      </c>
      <c r="G54" s="32">
        <f>+'Formato Evaluación Proyecto'!H246</f>
        <v>176246417.58001184</v>
      </c>
    </row>
    <row r="55" spans="1:7" ht="15">
      <c r="A55" s="26" t="s">
        <v>335</v>
      </c>
      <c r="B55" s="32">
        <f>+'Formato Evaluación Proyecto'!C197</f>
        <v>489750000</v>
      </c>
      <c r="C55" s="32">
        <f>+'Formato Evaluación Proyecto'!D197</f>
        <v>585959411.7289016</v>
      </c>
      <c r="D55" s="32">
        <f>+'Formato Evaluación Proyecto'!E197</f>
        <v>503582461.05320454</v>
      </c>
      <c r="E55" s="32">
        <f>+'Formato Evaluación Proyecto'!F197</f>
        <v>437767526.2750281</v>
      </c>
      <c r="F55" s="32">
        <f>+'Formato Evaluación Proyecto'!G197</f>
        <v>380546867.9338802</v>
      </c>
      <c r="G55" s="32">
        <f>+'Formato Evaluación Proyecto'!H197</f>
        <v>340906304.5047704</v>
      </c>
    </row>
    <row r="56" spans="1:7" ht="12.75">
      <c r="A56" s="216" t="s">
        <v>336</v>
      </c>
      <c r="B56" s="223">
        <f aca="true" t="shared" si="7" ref="B56:G56">+B54/B55</f>
        <v>0</v>
      </c>
      <c r="C56" s="223">
        <f t="shared" si="7"/>
        <v>0.09873208525178424</v>
      </c>
      <c r="D56" s="223">
        <f t="shared" si="7"/>
        <v>0.16421598547585353</v>
      </c>
      <c r="E56" s="223">
        <f t="shared" si="7"/>
        <v>0.2580172111894242</v>
      </c>
      <c r="F56" s="223">
        <f t="shared" si="7"/>
        <v>0.37636973635572785</v>
      </c>
      <c r="G56" s="223">
        <f t="shared" si="7"/>
        <v>0.5169937171917147</v>
      </c>
    </row>
    <row r="58" spans="2:7" ht="15.75">
      <c r="B58" s="60" t="s">
        <v>1</v>
      </c>
      <c r="C58" s="60" t="s">
        <v>2</v>
      </c>
      <c r="D58" s="60" t="s">
        <v>3</v>
      </c>
      <c r="E58" s="60" t="s">
        <v>4</v>
      </c>
      <c r="F58" s="60" t="s">
        <v>5</v>
      </c>
      <c r="G58" s="60" t="s">
        <v>6</v>
      </c>
    </row>
    <row r="59" spans="1:7" ht="15">
      <c r="A59" s="26" t="s">
        <v>339</v>
      </c>
      <c r="B59" s="32">
        <f>+'Formato Evaluación Proyecto'!C246</f>
        <v>0</v>
      </c>
      <c r="C59" s="32">
        <f>+'Formato Evaluación Proyecto'!D246</f>
        <v>57852994.59290326</v>
      </c>
      <c r="D59" s="32">
        <f>+'Formato Evaluación Proyecto'!E246</f>
        <v>82696290.11020762</v>
      </c>
      <c r="E59" s="32">
        <f>+'Formato Evaluación Proyecto'!F246</f>
        <v>112951556.27877575</v>
      </c>
      <c r="F59" s="32">
        <f>+'Formato Evaluación Proyecto'!G246</f>
        <v>143226324.35527247</v>
      </c>
      <c r="G59" s="32">
        <f>+'Formato Evaluación Proyecto'!H246</f>
        <v>176246417.58001184</v>
      </c>
    </row>
    <row r="60" spans="1:7" ht="15">
      <c r="A60" s="219" t="s">
        <v>338</v>
      </c>
      <c r="B60" s="32">
        <f>+'Formato Evaluación Proyecto'!C215</f>
        <v>146925000</v>
      </c>
      <c r="C60" s="32">
        <f>+'Formato Evaluación Proyecto'!D215</f>
        <v>204777994.59290326</v>
      </c>
      <c r="D60" s="32">
        <f>+'Formato Evaluación Proyecto'!E215</f>
        <v>287474284.7031109</v>
      </c>
      <c r="E60" s="32">
        <f>+'Formato Evaluación Proyecto'!F215</f>
        <v>400425840.9818866</v>
      </c>
      <c r="F60" s="32">
        <f>+'Formato Evaluación Proyecto'!G215</f>
        <v>543652165.3371592</v>
      </c>
      <c r="G60" s="32">
        <f>+'Formato Evaluación Proyecto'!H215</f>
        <v>719898582.917171</v>
      </c>
    </row>
    <row r="61" spans="1:7" ht="12.75">
      <c r="A61" s="216" t="s">
        <v>337</v>
      </c>
      <c r="B61" s="223">
        <f aca="true" t="shared" si="8" ref="B61:G61">+B59/B60</f>
        <v>0</v>
      </c>
      <c r="C61" s="223">
        <f t="shared" si="8"/>
        <v>0.2825156809837623</v>
      </c>
      <c r="D61" s="223">
        <f t="shared" si="8"/>
        <v>0.287665000003782</v>
      </c>
      <c r="E61" s="223">
        <f t="shared" si="8"/>
        <v>0.2820785891385195</v>
      </c>
      <c r="F61" s="223">
        <f t="shared" si="8"/>
        <v>0.2634521362872659</v>
      </c>
      <c r="G61" s="223">
        <f t="shared" si="8"/>
        <v>0.24482117587428304</v>
      </c>
    </row>
    <row r="63" spans="2:6" ht="15.75">
      <c r="B63" s="60" t="s">
        <v>2</v>
      </c>
      <c r="C63" s="60" t="s">
        <v>3</v>
      </c>
      <c r="D63" s="60" t="s">
        <v>4</v>
      </c>
      <c r="E63" s="60" t="s">
        <v>5</v>
      </c>
      <c r="F63" s="60" t="s">
        <v>6</v>
      </c>
    </row>
    <row r="64" spans="1:7" ht="12.75">
      <c r="A64" s="26" t="s">
        <v>340</v>
      </c>
      <c r="B64" s="225">
        <f>+'Formato Evaluación Proyecto'!D236</f>
        <v>0.6306264514277263</v>
      </c>
      <c r="C64" s="225">
        <f>+'Formato Evaluación Proyecto'!E236</f>
        <v>0.6342510950553144</v>
      </c>
      <c r="D64" s="225">
        <f>+'Formato Evaluación Proyecto'!F236</f>
        <v>0.6397483918746074</v>
      </c>
      <c r="E64" s="225">
        <f>+'Formato Evaluación Proyecto'!G236</f>
        <v>0.6428379415036667</v>
      </c>
      <c r="F64" s="225">
        <f>+'Formato Evaluación Proyecto'!H236</f>
        <v>0.6475512697087313</v>
      </c>
      <c r="G64" s="224"/>
    </row>
    <row r="66" spans="2:6" ht="15.75">
      <c r="B66" s="60" t="s">
        <v>2</v>
      </c>
      <c r="C66" s="60" t="s">
        <v>3</v>
      </c>
      <c r="D66" s="60" t="s">
        <v>4</v>
      </c>
      <c r="E66" s="60" t="s">
        <v>5</v>
      </c>
      <c r="F66" s="60" t="s">
        <v>6</v>
      </c>
    </row>
    <row r="67" spans="1:6" ht="15">
      <c r="A67" s="26" t="s">
        <v>341</v>
      </c>
      <c r="B67" s="32">
        <f>+'Formato Evaluación Proyecto'!D241</f>
        <v>213920338.12373626</v>
      </c>
      <c r="C67" s="32">
        <f>+'Formato Evaluación Proyecto'!E241</f>
        <v>243430772.04122353</v>
      </c>
      <c r="D67" s="32">
        <f>+'Formato Evaluación Proyecto'!F241</f>
        <v>277828106.1666074</v>
      </c>
      <c r="E67" s="32">
        <f>+'Formato Evaluación Proyecto'!G241</f>
        <v>312495032.4772583</v>
      </c>
      <c r="F67" s="32">
        <f>+'Formato Evaluación Proyecto'!H241</f>
        <v>352403653.84071624</v>
      </c>
    </row>
    <row r="68" spans="1:6" ht="12.75">
      <c r="A68" s="26" t="s">
        <v>342</v>
      </c>
      <c r="B68" s="225">
        <f>+'Formato Evaluación Proyecto'!D242</f>
        <v>0.20521576465140468</v>
      </c>
      <c r="C68" s="225">
        <f>+'Formato Evaluación Proyecto'!E242</f>
        <v>0.21873968840459468</v>
      </c>
      <c r="D68" s="225">
        <f>+'Formato Evaluación Proyecto'!F242</f>
        <v>0.23406741736258643</v>
      </c>
      <c r="E68" s="225">
        <f>+'Formato Evaluación Proyecto'!G242</f>
        <v>0.24684286295841434</v>
      </c>
      <c r="F68" s="225">
        <f>+'Formato Evaluación Proyecto'!H242</f>
        <v>0.26112008892882144</v>
      </c>
    </row>
    <row r="72" spans="1:6" ht="12.75">
      <c r="A72" s="26"/>
      <c r="B72" s="226"/>
      <c r="C72" s="226"/>
      <c r="D72" s="226"/>
      <c r="E72" s="226"/>
      <c r="F72" s="226"/>
    </row>
    <row r="73" spans="1:6" ht="15">
      <c r="A73" s="26" t="s">
        <v>343</v>
      </c>
      <c r="B73" s="32">
        <f>+'Formato Evaluación Proyecto'!D222</f>
        <v>1042416690</v>
      </c>
      <c r="C73" s="32">
        <f>+'Formato Evaluación Proyecto'!E222</f>
        <v>1112878846.1605499</v>
      </c>
      <c r="D73" s="32">
        <f>+'Formato Evaluación Proyecto'!F222</f>
        <v>1186957626.5552273</v>
      </c>
      <c r="E73" s="32">
        <f>+'Formato Evaluación Proyecto'!G222</f>
        <v>1265967460.966876</v>
      </c>
      <c r="F73" s="32">
        <f>+'Formato Evaluación Proyecto'!H222</f>
        <v>1349584611.7637382</v>
      </c>
    </row>
    <row r="74" spans="1:6" ht="15">
      <c r="A74" s="26" t="s">
        <v>344</v>
      </c>
      <c r="B74" s="32">
        <f>+'Formato Evaluación Proyecto'!D179</f>
        <v>130302086.25</v>
      </c>
      <c r="C74" s="32">
        <f>+'Formato Evaluación Proyecto'!E179</f>
        <v>139109855.77006865</v>
      </c>
      <c r="D74" s="32">
        <f>+'Formato Evaluación Proyecto'!F179</f>
        <v>148369703.3194034</v>
      </c>
      <c r="E74" s="32">
        <f>+'Formato Evaluación Proyecto'!G179</f>
        <v>158245932.62085938</v>
      </c>
      <c r="F74" s="32">
        <f>+'Formato Evaluación Proyecto'!H179</f>
        <v>168698076.47046733</v>
      </c>
    </row>
    <row r="75" spans="1:6" ht="15">
      <c r="A75" s="216" t="s">
        <v>345</v>
      </c>
      <c r="B75" s="227">
        <f>+B73/B74</f>
        <v>8</v>
      </c>
      <c r="C75" s="227">
        <f>+C73/C74</f>
        <v>8.000000000000005</v>
      </c>
      <c r="D75" s="227">
        <f>+D73/D74</f>
        <v>8</v>
      </c>
      <c r="E75" s="227">
        <f>+E73/E74</f>
        <v>8.000000000000005</v>
      </c>
      <c r="F75" s="227">
        <f>+F73/F74</f>
        <v>7.999999999999997</v>
      </c>
    </row>
    <row r="76" spans="1:6" ht="12.75">
      <c r="A76" s="228" t="s">
        <v>348</v>
      </c>
      <c r="B76">
        <f>360/B75</f>
        <v>45</v>
      </c>
      <c r="C76">
        <f>360/C75</f>
        <v>44.99999999999997</v>
      </c>
      <c r="D76">
        <f>360/D75</f>
        <v>45</v>
      </c>
      <c r="E76">
        <f>360/E75</f>
        <v>44.99999999999997</v>
      </c>
      <c r="F76">
        <f>360/F75</f>
        <v>45.000000000000014</v>
      </c>
    </row>
    <row r="78" spans="1:6" ht="12.75">
      <c r="A78" s="26" t="s">
        <v>346</v>
      </c>
      <c r="B78">
        <f>+'Formato Evaluación Proyecto'!D181</f>
        <v>7700823.037525283</v>
      </c>
      <c r="C78">
        <f>+'Formato Evaluación Proyecto'!E181</f>
        <v>8140684.386386561</v>
      </c>
      <c r="D78">
        <f>+'Formato Evaluación Proyecto'!F181</f>
        <v>16613212.068345793</v>
      </c>
      <c r="E78">
        <f>+'Formato Evaluación Proyecto'!G181</f>
        <v>17567110.21486335</v>
      </c>
      <c r="F78">
        <f>+'Formato Evaluación Proyecto'!H181</f>
        <v>26932623.442196507</v>
      </c>
    </row>
    <row r="79" spans="1:6" ht="12.75">
      <c r="A79" s="219" t="s">
        <v>347</v>
      </c>
      <c r="B79">
        <f>+'Formato Evaluación Proyecto'!D234</f>
        <v>385041151.87626374</v>
      </c>
      <c r="C79">
        <f>+'Formato Evaluación Proyecto'!E234</f>
        <v>407034219.31932646</v>
      </c>
      <c r="D79">
        <f>+'Formato Evaluación Proyecto'!F234</f>
        <v>427603393.74321985</v>
      </c>
      <c r="E79">
        <f>+'Formato Evaluación Proyecto'!G234</f>
        <v>452155544.3483059</v>
      </c>
      <c r="F79">
        <f>+'Formato Evaluación Proyecto'!H234</f>
        <v>475659382.83676434</v>
      </c>
    </row>
    <row r="80" spans="1:6" ht="12.75">
      <c r="A80" s="228" t="s">
        <v>349</v>
      </c>
      <c r="B80">
        <f>+(B78/B79)*360</f>
        <v>7.200000000000007</v>
      </c>
      <c r="C80">
        <f>+(C78/C79)*360</f>
        <v>7.200000000000029</v>
      </c>
      <c r="D80">
        <f>+(D78/D79)*360</f>
        <v>13.986690545763045</v>
      </c>
      <c r="E80">
        <f>+(E78/E79)*360</f>
        <v>13.986690545763071</v>
      </c>
      <c r="F80">
        <f>+(F78/F79)*360</f>
        <v>20.383797290756075</v>
      </c>
    </row>
    <row r="83" spans="1:6" ht="15">
      <c r="A83" s="26" t="s">
        <v>350</v>
      </c>
      <c r="B83" s="32">
        <f>+'Formato Evaluación Proyecto'!D222</f>
        <v>1042416690</v>
      </c>
      <c r="C83" s="32">
        <f>+'Formato Evaluación Proyecto'!E222</f>
        <v>1112878846.1605499</v>
      </c>
      <c r="D83" s="32">
        <f>+'Formato Evaluación Proyecto'!F222</f>
        <v>1186957626.5552273</v>
      </c>
      <c r="E83" s="32">
        <f>+'Formato Evaluación Proyecto'!G222</f>
        <v>1265967460.966876</v>
      </c>
      <c r="F83" s="32">
        <f>+'Formato Evaluación Proyecto'!H222</f>
        <v>1349584611.7637382</v>
      </c>
    </row>
    <row r="84" spans="1:6" ht="15">
      <c r="A84" s="26" t="s">
        <v>334</v>
      </c>
      <c r="B84" s="32">
        <f>+'Formato Evaluación Proyecto'!D241</f>
        <v>213920338.12373626</v>
      </c>
      <c r="C84" s="32">
        <f>+'Formato Evaluación Proyecto'!E241</f>
        <v>243430772.04122353</v>
      </c>
      <c r="D84" s="32">
        <f>+'Formato Evaluación Proyecto'!F241</f>
        <v>277828106.1666074</v>
      </c>
      <c r="E84" s="32">
        <f>+'Formato Evaluación Proyecto'!G241</f>
        <v>312495032.4772583</v>
      </c>
      <c r="F84" s="32">
        <f>+'Formato Evaluación Proyecto'!H241</f>
        <v>352403653.84071624</v>
      </c>
    </row>
    <row r="85" spans="1:6" ht="15">
      <c r="A85" s="26" t="s">
        <v>351</v>
      </c>
      <c r="B85" s="32">
        <f>+'Formato Evaluación Proyecto'!D246</f>
        <v>57852994.59290326</v>
      </c>
      <c r="C85" s="32">
        <f>+'Formato Evaluación Proyecto'!E246</f>
        <v>82696290.11020762</v>
      </c>
      <c r="D85" s="32">
        <f>+'Formato Evaluación Proyecto'!F246</f>
        <v>112951556.27877575</v>
      </c>
      <c r="E85" s="32">
        <f>+'Formato Evaluación Proyecto'!G246</f>
        <v>143226324.35527247</v>
      </c>
      <c r="F85" s="32">
        <f>+'Formato Evaluación Proyecto'!H246</f>
        <v>176246417.58001184</v>
      </c>
    </row>
    <row r="89" spans="1:6" ht="15">
      <c r="A89" s="26" t="s">
        <v>352</v>
      </c>
      <c r="B89" s="32">
        <f>+'Formato Evaluación Proyecto'!C179+'Formato Evaluación Proyecto'!C181-'Formato Evaluación Proyecto'!C199+'Formato Evaluación Proyecto'!C186</f>
        <v>379800000</v>
      </c>
      <c r="C89" s="32">
        <f>+'Formato Evaluación Proyecto'!D179+'Formato Evaluación Proyecto'!D181-'Formato Evaluación Proyecto'!D199+'Formato Evaluación Proyecto'!D186</f>
        <v>466806185.5754877</v>
      </c>
      <c r="D89" s="32">
        <f>+'Formato Evaluación Proyecto'!E179+'Formato Evaluación Proyecto'!E181-'Formato Evaluación Proyecto'!E199+'Formato Evaluación Proyecto'!E186</f>
        <v>474679559.7336329</v>
      </c>
      <c r="E89" s="32">
        <f>+'Formato Evaluación Proyecto'!F179+'Formato Evaluación Proyecto'!F181-'Formato Evaluación Proyecto'!F199+'Formato Evaluación Proyecto'!F186</f>
        <v>487831590.1898557</v>
      </c>
      <c r="F89" s="32">
        <f>+'Formato Evaluación Proyecto'!G179+'Formato Evaluación Proyecto'!G181-'Formato Evaluación Proyecto'!G199+'Formato Evaluación Proyecto'!G186</f>
        <v>496003869.740702</v>
      </c>
    </row>
    <row r="90" spans="1:6" ht="15">
      <c r="A90" s="26" t="s">
        <v>334</v>
      </c>
      <c r="B90" s="32">
        <f>+'Formato Evaluación Proyecto'!D241</f>
        <v>213920338.12373626</v>
      </c>
      <c r="C90" s="32">
        <f>+'Formato Evaluación Proyecto'!E241</f>
        <v>243430772.04122353</v>
      </c>
      <c r="D90" s="32">
        <f>+'Formato Evaluación Proyecto'!F241</f>
        <v>277828106.1666074</v>
      </c>
      <c r="E90" s="32">
        <f>+'Formato Evaluación Proyecto'!G241</f>
        <v>312495032.4772583</v>
      </c>
      <c r="F90" s="32">
        <f>+'Formato Evaluación Proyecto'!H241</f>
        <v>352403653.84071624</v>
      </c>
    </row>
    <row r="91" spans="1:6" ht="12.75">
      <c r="A91" s="26" t="s">
        <v>353</v>
      </c>
      <c r="B91" s="225">
        <f>+'Formato Evaluación Proyecto'!D311</f>
        <v>0.09675127669413071</v>
      </c>
      <c r="C91" s="225">
        <f>+'Formato Evaluación Proyecto'!E311</f>
        <v>0.09821880948811931</v>
      </c>
      <c r="D91" s="225">
        <f>+'Formato Evaluación Proyecto'!F311</f>
        <v>0.09769697208795719</v>
      </c>
      <c r="E91" s="225">
        <f>+'Formato Evaluación Proyecto'!G311</f>
        <v>0.09558978587888974</v>
      </c>
      <c r="F91" s="225">
        <f>+'Formato Evaluación Proyecto'!H311</f>
        <v>0.10051868863076774</v>
      </c>
    </row>
    <row r="92" spans="1:6" ht="15">
      <c r="A92" s="26" t="s">
        <v>354</v>
      </c>
      <c r="B92" s="32">
        <f>+B90-B89*B91</f>
        <v>177174203.23530543</v>
      </c>
      <c r="C92" s="32">
        <f>+C90-C89*C91</f>
        <v>197581624.23230904</v>
      </c>
      <c r="D92" s="32">
        <f>+D90-D89*D91</f>
        <v>231453350.46858683</v>
      </c>
      <c r="E92" s="32">
        <f>+E90-E89*E91</f>
        <v>265863315.22605175</v>
      </c>
      <c r="F92" s="32">
        <f>+F90-F89*F91</f>
        <v>302545995.2985947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estudiante</dc:creator>
  <cp:keywords/>
  <dc:description/>
  <cp:lastModifiedBy>HECTOR ALIRIO MARTINEZ TORRES</cp:lastModifiedBy>
  <dcterms:created xsi:type="dcterms:W3CDTF">2006-05-08T14:53:13Z</dcterms:created>
  <dcterms:modified xsi:type="dcterms:W3CDTF">2013-05-04T15:33:20Z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1233863420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CARDAZA@bancolombia.com.co</vt:lpwstr>
  </property>
  <property fmtid="{D5CDD505-2E9C-101B-9397-08002B2CF9AE}" pid="6" name="_AuthorEmailDisplayName">
    <vt:lpwstr>Carlos Alejandro Daza Ardila</vt:lpwstr>
  </property>
  <property fmtid="{D5CDD505-2E9C-101B-9397-08002B2CF9AE}" pid="7" name="_ReviewingToolsShownOnce">
    <vt:lpwstr/>
  </property>
</Properties>
</file>