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24226"/>
  <mc:AlternateContent xmlns:mc="http://schemas.openxmlformats.org/markup-compatibility/2006">
    <mc:Choice Requires="x15">
      <x15ac:absPath xmlns:x15ac="http://schemas.microsoft.com/office/spreadsheetml/2010/11/ac" url="C:\Users\Usuario\Dropbox\TRABAJO DE GRADO 2024\"/>
    </mc:Choice>
  </mc:AlternateContent>
  <xr:revisionPtr revIDLastSave="0" documentId="13_ncr:1_{2613EB20-E40B-40C4-AE74-4F878A99F92F}" xr6:coauthVersionLast="47" xr6:coauthVersionMax="47" xr10:uidLastSave="{00000000-0000-0000-0000-000000000000}"/>
  <bookViews>
    <workbookView xWindow="-120" yWindow="-120" windowWidth="20730" windowHeight="11160" tabRatio="703" firstSheet="1" activeTab="3" xr2:uid="{00000000-000D-0000-FFFF-FFFF00000000}"/>
  </bookViews>
  <sheets>
    <sheet name="Menú" sheetId="7" r:id="rId1"/>
    <sheet name="1" sheetId="1" r:id="rId2"/>
    <sheet name="2" sheetId="4" r:id="rId3"/>
    <sheet name="3" sheetId="3" r:id="rId4"/>
    <sheet name="4" sheetId="5" r:id="rId5"/>
    <sheet name="5" sheetId="6" r:id="rId6"/>
    <sheet name="Hoja1" sheetId="8" r:id="rId7"/>
  </sheets>
  <externalReferences>
    <externalReference r:id="rId8"/>
  </externalReferences>
  <definedNames>
    <definedName name="_xlnm.Print_Area" localSheetId="0">Menú!$B$2:$J$24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4" l="1"/>
  <c r="C7" i="4"/>
  <c r="C6" i="4" l="1"/>
  <c r="H55" i="6" l="1"/>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I2" i="1" s="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H52" i="6" s="1"/>
  <c r="C17" i="5"/>
  <c r="C35" i="5" s="1"/>
  <c r="C36" i="5" s="1"/>
  <c r="H9" i="3"/>
  <c r="J9" i="3" s="1"/>
  <c r="I10" i="3" s="1"/>
  <c r="E35" i="6"/>
  <c r="F35" i="6" s="1"/>
  <c r="D35" i="6"/>
  <c r="C30" i="5"/>
  <c r="C45" i="5"/>
  <c r="B39" i="5" l="1"/>
  <c r="H53"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F12" i="3" l="1"/>
  <c r="G12" i="3" s="1"/>
  <c r="F14" i="5" s="1"/>
  <c r="F15" i="5" s="1"/>
  <c r="F16" i="5" s="1"/>
  <c r="F17" i="5" s="1"/>
  <c r="F35" i="5" s="1"/>
  <c r="F36" i="5" s="1"/>
  <c r="E31" i="5"/>
  <c r="E32" i="5" s="1"/>
  <c r="E38" i="5" s="1"/>
  <c r="E22" i="5" s="1"/>
  <c r="E27" i="5" s="1"/>
  <c r="E39" i="5" s="1"/>
  <c r="D46" i="5"/>
  <c r="D52" i="5" s="1"/>
  <c r="D58" i="5" s="1"/>
  <c r="D59" i="5" s="1"/>
  <c r="E8" i="6" s="1"/>
  <c r="H12" i="3" l="1"/>
  <c r="J12" i="3" s="1"/>
  <c r="F13" i="3" s="1"/>
  <c r="G13" i="3" s="1"/>
  <c r="G14" i="5" s="1"/>
  <c r="G15" i="5" s="1"/>
  <c r="G16" i="5" s="1"/>
  <c r="G17" i="5" s="1"/>
  <c r="F29" i="5"/>
  <c r="F45" i="5" s="1"/>
  <c r="E44" i="5"/>
  <c r="F31" i="5" l="1"/>
  <c r="G29" i="5"/>
  <c r="G30" i="5" s="1"/>
  <c r="I13" i="3"/>
  <c r="H13" i="3" s="1"/>
  <c r="J13" i="3" s="1"/>
  <c r="G31" i="5" s="1"/>
  <c r="F30" i="5"/>
  <c r="E46" i="5"/>
  <c r="E52" i="5" s="1"/>
  <c r="E58" i="5" s="1"/>
  <c r="E59" i="5" s="1"/>
  <c r="F8" i="6" s="1"/>
  <c r="G35" i="5"/>
  <c r="G36" i="5" s="1"/>
  <c r="F32" i="5" l="1"/>
  <c r="F38" i="5" s="1"/>
  <c r="F22" i="5" s="1"/>
  <c r="F44" i="5" s="1"/>
  <c r="F46" i="5" s="1"/>
  <c r="F52" i="5" s="1"/>
  <c r="F58" i="5" s="1"/>
  <c r="F59" i="5" s="1"/>
  <c r="G8" i="6" s="1"/>
  <c r="G45" i="5"/>
  <c r="G32" i="5"/>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B4" authorId="0" shapeId="0" xr:uid="{97810027-5CCB-4EA0-8475-FEDA5A31340B}">
      <text>
        <r>
          <rPr>
            <b/>
            <sz val="9"/>
            <color indexed="81"/>
            <rFont val="Tahoma"/>
            <family val="2"/>
          </rPr>
          <t>DARIO MAURICIO REYES GIRALDO:</t>
        </r>
        <r>
          <rPr>
            <sz val="9"/>
            <color indexed="81"/>
            <rFont val="Tahoma"/>
            <family val="2"/>
          </rPr>
          <t xml:space="preserve">
Digita el nombre de cada línea de producto o servicio a vender</t>
        </r>
      </text>
    </comment>
    <comment ref="G4" authorId="0" shapeId="0" xr:uid="{109F40D9-B083-4B12-AF1E-64A32121160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4" authorId="0" shapeId="0" xr:uid="{70DC25B0-5C23-45C9-8873-FC04B3F8B1B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4" authorId="0" shapeId="0" xr:uid="{F3ACE0D3-1B56-4D1E-9FDB-BF24945EB8C1}">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4" authorId="0" shapeId="0" xr:uid="{F828AF52-9C8C-48C5-A3E0-FFDD3710738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B5" authorId="0" shapeId="0" xr:uid="{241D47F4-3495-475C-A4DD-38135941F47C}">
      <text>
        <r>
          <rPr>
            <b/>
            <sz val="9"/>
            <color indexed="81"/>
            <rFont val="Tahoma"/>
            <family val="2"/>
          </rPr>
          <t>DARIO MAURICIO REYES GIRALDO:</t>
        </r>
        <r>
          <rPr>
            <sz val="9"/>
            <color indexed="81"/>
            <rFont val="Tahoma"/>
            <family val="2"/>
          </rPr>
          <t xml:space="preserve">
Digita el nombre de cada línea de producto o servicio a vender</t>
        </r>
      </text>
    </comment>
    <comment ref="G5" authorId="0" shapeId="0" xr:uid="{A2945189-B863-43E1-A968-42021C98DDF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5" authorId="0" shapeId="0" xr:uid="{D93EAAF5-7F55-4F53-A016-589D3FCCE7A1}">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5" authorId="0" shapeId="0" xr:uid="{470711F7-7D50-40A1-AA02-AAAB18FECA5B}">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5" authorId="0" shapeId="0" xr:uid="{E1D7C8BB-3C49-4092-8D69-490DF58FCEC3}">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B6" authorId="0" shapeId="0" xr:uid="{14516B6E-76B3-47D2-8461-E3ED1BF589A4}">
      <text>
        <r>
          <rPr>
            <b/>
            <sz val="9"/>
            <color indexed="81"/>
            <rFont val="Tahoma"/>
            <family val="2"/>
          </rPr>
          <t>DARIO MAURICIO REYES GIRALDO:</t>
        </r>
        <r>
          <rPr>
            <sz val="9"/>
            <color indexed="81"/>
            <rFont val="Tahoma"/>
            <family val="2"/>
          </rPr>
          <t xml:space="preserve">
Digita el nombre de cada línea de producto o servicio a vender</t>
        </r>
      </text>
    </comment>
    <comment ref="G6" authorId="0" shapeId="0" xr:uid="{EFE8BC9D-182D-4A60-83A6-24C755AE0FB3}">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6" authorId="0" shapeId="0" xr:uid="{42E6EFC1-B965-4564-B58A-A60195B391C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6" authorId="0" shapeId="0" xr:uid="{1F47BE65-4267-4F7F-BB2F-97074A2C97A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6" authorId="0" shapeId="0" xr:uid="{2B335C87-C3B4-49B8-80C5-ED8A9655CB33}">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B7" authorId="0" shapeId="0" xr:uid="{4D5130C6-DD48-4831-9AFF-B775352EC4F6}">
      <text>
        <r>
          <rPr>
            <b/>
            <sz val="9"/>
            <color indexed="81"/>
            <rFont val="Tahoma"/>
            <family val="2"/>
          </rPr>
          <t>DARIO MAURICIO REYES GIRALDO:</t>
        </r>
        <r>
          <rPr>
            <sz val="9"/>
            <color indexed="81"/>
            <rFont val="Tahoma"/>
            <family val="2"/>
          </rPr>
          <t xml:space="preserve">
Digita el nombre de cada línea de producto o servicio a vender</t>
        </r>
      </text>
    </comment>
    <comment ref="G7" authorId="0" shapeId="0" xr:uid="{7AA3F67B-3FA9-444A-A21A-7A1B381E7761}">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7" authorId="0" shapeId="0" xr:uid="{214072B1-0668-4334-9F6D-6493BAE38E3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7" authorId="0" shapeId="0" xr:uid="{56AB1FA5-D8AE-4E8D-82F9-E59C454F27B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7" authorId="0" shapeId="0" xr:uid="{0FAF6F6A-E31F-47FE-AB7E-355BB42CB635}">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B8" authorId="0" shapeId="0" xr:uid="{0E284A5E-A615-4BB1-8E3D-5872D4C935B1}">
      <text>
        <r>
          <rPr>
            <b/>
            <sz val="9"/>
            <color indexed="81"/>
            <rFont val="Tahoma"/>
            <family val="2"/>
          </rPr>
          <t>DARIO MAURICIO REYES GIRALDO:</t>
        </r>
        <r>
          <rPr>
            <sz val="9"/>
            <color indexed="81"/>
            <rFont val="Tahoma"/>
            <family val="2"/>
          </rPr>
          <t xml:space="preserve">
Digita el nombre de cada línea de producto o servicio a vender</t>
        </r>
      </text>
    </comment>
    <comment ref="G8" authorId="0" shapeId="0" xr:uid="{A22730D6-B1C1-4C6C-B96E-77E1EC26DC6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8" authorId="0" shapeId="0" xr:uid="{1811BCC3-12D3-4820-9642-7BBA888E301B}">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8" authorId="0" shapeId="0" xr:uid="{7FDD1581-DDDB-4AF7-9C3A-4735AD540C4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8" authorId="0" shapeId="0" xr:uid="{6F3AB97C-8E8B-41C6-86C0-950841067F72}">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B9" authorId="0" shapeId="0" xr:uid="{C53D5AC8-0206-4B28-BB35-6280C6C6CA9C}">
      <text>
        <r>
          <rPr>
            <b/>
            <sz val="9"/>
            <color indexed="81"/>
            <rFont val="Tahoma"/>
            <family val="2"/>
          </rPr>
          <t>DARIO MAURICIO REYES GIRALDO:</t>
        </r>
        <r>
          <rPr>
            <sz val="9"/>
            <color indexed="81"/>
            <rFont val="Tahoma"/>
            <family val="2"/>
          </rPr>
          <t xml:space="preserve">
Digita el nombre de cada línea de producto o servicio a vender</t>
        </r>
      </text>
    </comment>
    <comment ref="G9" authorId="0" shapeId="0" xr:uid="{D692DF50-381C-4EDA-8CA5-C065C3BDB664}">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9" authorId="0" shapeId="0" xr:uid="{945697B4-A0BA-4B8D-A1F7-6943745A1D5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9" authorId="0" shapeId="0" xr:uid="{252001CD-256A-4399-BA10-4AB80A85E676}">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9" authorId="0" shapeId="0" xr:uid="{E80BCB78-04F9-4159-9466-4912A4C9D5C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B10" authorId="0" shapeId="0" xr:uid="{5DD96A48-DD26-4320-B129-A75425037CB0}">
      <text>
        <r>
          <rPr>
            <b/>
            <sz val="9"/>
            <color indexed="81"/>
            <rFont val="Tahoma"/>
            <family val="2"/>
          </rPr>
          <t>DARIO MAURICIO REYES GIRALDO:</t>
        </r>
        <r>
          <rPr>
            <sz val="9"/>
            <color indexed="81"/>
            <rFont val="Tahoma"/>
            <family val="2"/>
          </rPr>
          <t xml:space="preserve">
Digita el nombre de cada línea de producto o servicio a vender</t>
        </r>
      </text>
    </comment>
    <comment ref="G10" authorId="0" shapeId="0" xr:uid="{AFC3F5BD-724B-4AAF-BE0C-7E79A1E4012B}">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10" authorId="0" shapeId="0" xr:uid="{B5504702-B1FC-4077-B149-EBA790F0C866}">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10" authorId="0" shapeId="0" xr:uid="{2AEF45C4-9BD0-479C-9833-05FA4C99B42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10" authorId="0" shapeId="0" xr:uid="{69872B4D-3D47-4984-993E-C86F2CC649E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B11" authorId="0" shapeId="0" xr:uid="{5AA48E07-6395-4897-A399-2121B3467391}">
      <text>
        <r>
          <rPr>
            <b/>
            <sz val="9"/>
            <color indexed="81"/>
            <rFont val="Tahoma"/>
            <family val="2"/>
          </rPr>
          <t>DARIO MAURICIO REYES GIRALDO:</t>
        </r>
        <r>
          <rPr>
            <sz val="9"/>
            <color indexed="81"/>
            <rFont val="Tahoma"/>
            <family val="2"/>
          </rPr>
          <t xml:space="preserve">
Digita el nombre de cada línea de producto o servicio a vender</t>
        </r>
      </text>
    </comment>
    <comment ref="G11" authorId="0" shapeId="0" xr:uid="{779DAE78-03BE-4C1A-B660-684E4C85948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11" authorId="0" shapeId="0" xr:uid="{0011583E-129B-4B1A-B098-0B48F87849F5}">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11" authorId="0" shapeId="0" xr:uid="{47F5F429-CF56-4E5E-9088-620B48BD9281}">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11" authorId="0" shapeId="0" xr:uid="{80C4E903-5954-45E3-823E-17C93228D39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B12" authorId="0" shapeId="0" xr:uid="{5752937A-F1C5-4019-8969-DFBE48E779FF}">
      <text>
        <r>
          <rPr>
            <b/>
            <sz val="9"/>
            <color indexed="81"/>
            <rFont val="Tahoma"/>
            <family val="2"/>
          </rPr>
          <t>DARIO MAURICIO REYES GIRALDO:</t>
        </r>
        <r>
          <rPr>
            <sz val="9"/>
            <color indexed="81"/>
            <rFont val="Tahoma"/>
            <family val="2"/>
          </rPr>
          <t xml:space="preserve">
Digita el nombre de cada línea de producto o servicio a vender</t>
        </r>
      </text>
    </comment>
    <comment ref="G12" authorId="0" shapeId="0" xr:uid="{9AE9D63D-028F-4612-95E1-77275607EB2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12" authorId="0" shapeId="0" xr:uid="{E35A6642-E0AD-4E9B-B269-FA967138613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12" authorId="0" shapeId="0" xr:uid="{F29BA875-E369-4275-A826-F5A96CAEC3E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12" authorId="0" shapeId="0" xr:uid="{08D3B74E-805B-4E66-B68B-280573C9018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<sst xmlns="http://schemas.openxmlformats.org/spreadsheetml/2006/main" count="180" uniqueCount="171">
  <si>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</si>
  <si>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</si>
  <si>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</si>
  <si>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</si>
  <si>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</si>
  <si>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</si>
  <si>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</si>
  <si>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</si>
  <si>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</si>
  <si>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</si>
  <si>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</si>
  <si>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</si>
  <si>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</si>
  <si>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</si>
  <si>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</si>
  <si>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</si>
  <si>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</si>
  <si>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</si>
  <si>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Viajes de 10000 mt  Automovil</t>
  </si>
  <si>
    <t>AÑO</t>
  </si>
  <si>
    <t xml:space="preserve">Viajes de 20000 mt  Automovil </t>
  </si>
  <si>
    <t>INFLACIÓN</t>
  </si>
  <si>
    <t xml:space="preserve">Viajes de 30000 mt  Automovil </t>
  </si>
  <si>
    <t>IPP</t>
  </si>
  <si>
    <t xml:space="preserve">Viajes de 40000 mt  Automovil </t>
  </si>
  <si>
    <t>Viajes de 50000 mt Automovil</t>
  </si>
  <si>
    <t>TASA IMPTO RENTA</t>
  </si>
  <si>
    <t xml:space="preserve">Viajes de 10000 mt  Van </t>
  </si>
  <si>
    <t xml:space="preserve">Viajes de 20000 mt  Van </t>
  </si>
  <si>
    <t xml:space="preserve">Viajes de 30000 mt  Van </t>
  </si>
  <si>
    <t xml:space="preserve">Viajes de 40000 mt  Van </t>
  </si>
  <si>
    <t xml:space="preserve">Viajes de 50000 mt Van </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</si>
  <si>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</si>
  <si>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</si>
  <si>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</si>
  <si>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</si>
  <si>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</si>
  <si>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</si>
  <si>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</si>
  <si>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</si>
  <si>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</si>
  <si>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</si>
  <si>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</si>
  <si>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</si>
  <si>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</si>
  <si>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</si>
  <si>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</si>
  <si>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</si>
  <si>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</si>
  <si>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</si>
  <si>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</si>
  <si>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</si>
  <si>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</si>
  <si>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</si>
  <si>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</si>
  <si>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</si>
  <si>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</si>
  <si>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</si>
  <si>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</si>
  <si>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</si>
  <si>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</si>
  <si>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</si>
  <si>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</si>
  <si>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</si>
  <si>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</si>
  <si>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</si>
  <si>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</si>
  <si>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</si>
  <si>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</si>
  <si>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</si>
  <si>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</si>
  <si>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</si>
  <si>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Impuestos vehículos y revisión tecnicomecánica</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</si>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</sst>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 #,##0.00_);_(* \(#,##0.00\);_(* &quot;-&quot;??_);_(@_)"/>
    <numFmt numFmtId="165" formatCode="&quot;$&quot;#,##0.00;[Red]\-&quot;$&quot;#,##0.00"/>
    <numFmt numFmtId="166" formatCode="&quot;$&quot;\ #,##0.00_);[Red]\(&quot;$&quot;\ #,##0.00\)"/>
    <numFmt numFmtId="167" formatCode="_(&quot;$&quot;\ * #,##0.00_);_(&quot;$&quot;\ * \(#,##0.00\);_(&quot;$&quot;\ *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 numFmtId="181" formatCode="0.0"/>
  </numFmts>
  <fonts count="45">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11"/>
      <color theme="0"/>
      <name val="Calibri"/>
      <family val="2"/>
      <scheme val="minor"/>
    </font>
    <font>
      <b/>
      <sz val="9"/>
      <color theme="1"/>
      <name val="Aharoni"/>
    </font>
    <font>
      <sz val="10"/>
      <name val="Arial"/>
      <family val="2"/>
    </font>
    <font>
      <b/>
      <sz val="12"/>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u/>
      <sz val="11"/>
      <color theme="10"/>
      <name val="Calibri"/>
      <family val="2"/>
      <scheme val="minor"/>
    </font>
    <font>
      <u/>
      <sz val="16"/>
      <color rgb="FF0070C0"/>
      <name val="Arial"/>
      <family val="2"/>
    </font>
    <font>
      <b/>
      <u/>
      <sz val="8"/>
      <color theme="1"/>
      <name val="Antique Olive"/>
    </font>
    <font>
      <b/>
      <sz val="8"/>
      <color theme="1"/>
      <name val="Antique Olive"/>
    </font>
    <font>
      <b/>
      <sz val="16"/>
      <color theme="1"/>
      <name val="Arial"/>
      <family val="2"/>
    </font>
    <font>
      <b/>
      <sz val="8"/>
      <color theme="1"/>
      <name val="Aharoni"/>
    </font>
    <font>
      <sz val="11"/>
      <color rgb="FFFF0000"/>
      <name val="Calibri"/>
      <family val="2"/>
      <scheme val="minor"/>
    </font>
    <font>
      <sz val="12"/>
      <color theme="1"/>
      <name val="Arial"/>
      <family val="2"/>
    </font>
    <font>
      <b/>
      <sz val="12"/>
      <color theme="0"/>
      <name val="Arial"/>
      <family val="2"/>
    </font>
    <font>
      <sz val="12"/>
      <name val="Arial"/>
      <family val="2"/>
    </font>
    <font>
      <b/>
      <sz val="12"/>
      <color theme="1"/>
      <name val="Arial"/>
      <family val="2"/>
    </font>
    <font>
      <sz val="12"/>
      <color theme="0"/>
      <name val="Arial"/>
      <family val="2"/>
    </font>
    <font>
      <sz val="12"/>
      <color rgb="FFFF0000"/>
      <name val="Arial"/>
      <family val="2"/>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7" fontId="1" fillId="0" borderId="0" applyFont="0" applyFill="0" applyBorder="0" applyAlignment="0" applyProtection="0"/>
    <xf numFmtId="9" fontId="1"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0" fontId="32" fillId="0" borderId="0" applyNumberFormat="0" applyFill="0" applyBorder="0" applyAlignment="0" applyProtection="0"/>
    <xf numFmtId="0" fontId="19" fillId="0" borderId="0"/>
  </cellStyleXfs>
  <cellXfs count="167">
    <xf numFmtId="0" fontId="0" fillId="0" borderId="0" xfId="0"/>
    <xf numFmtId="0" fontId="23"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4" fillId="0" borderId="0" xfId="0" applyFont="1" applyProtection="1">
      <protection hidden="1"/>
    </xf>
    <xf numFmtId="173" fontId="22" fillId="0" borderId="0" xfId="1" applyNumberFormat="1" applyFont="1" applyFill="1" applyProtection="1">
      <protection hidden="1"/>
    </xf>
    <xf numFmtId="173" fontId="22" fillId="0" borderId="1" xfId="1" applyNumberFormat="1" applyFont="1" applyFill="1" applyBorder="1" applyProtection="1">
      <protection hidden="1"/>
    </xf>
    <xf numFmtId="175" fontId="19"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5" fillId="0" borderId="0" xfId="3" applyNumberFormat="1" applyFont="1" applyFill="1" applyBorder="1" applyProtection="1">
      <protection hidden="1"/>
    </xf>
    <xf numFmtId="0" fontId="26" fillId="0" borderId="0" xfId="0" applyFont="1" applyProtection="1">
      <protection hidden="1"/>
    </xf>
    <xf numFmtId="0" fontId="27" fillId="4" borderId="0" xfId="0" applyFont="1" applyFill="1" applyProtection="1">
      <protection locked="0"/>
    </xf>
    <xf numFmtId="167" fontId="27" fillId="4" borderId="0" xfId="1" applyFont="1" applyFill="1" applyProtection="1">
      <protection locked="0"/>
    </xf>
    <xf numFmtId="0" fontId="29"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7" fontId="0" fillId="0" borderId="0" xfId="1" applyFont="1" applyProtection="1">
      <protection hidden="1"/>
    </xf>
    <xf numFmtId="167"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7"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6" fillId="0" borderId="0" xfId="0" applyFont="1" applyProtection="1">
      <protection hidden="1"/>
    </xf>
    <xf numFmtId="0" fontId="28" fillId="6" borderId="0" xfId="0" applyFont="1" applyFill="1" applyProtection="1">
      <protection locked="0"/>
    </xf>
    <xf numFmtId="170" fontId="28" fillId="6" borderId="0" xfId="2" applyNumberFormat="1" applyFont="1" applyFill="1" applyBorder="1" applyProtection="1">
      <protection locked="0"/>
    </xf>
    <xf numFmtId="170" fontId="28" fillId="6" borderId="14" xfId="2" applyNumberFormat="1" applyFont="1" applyFill="1" applyBorder="1" applyProtection="1">
      <protection locked="0"/>
    </xf>
    <xf numFmtId="170" fontId="28" fillId="6" borderId="3" xfId="2" applyNumberFormat="1" applyFont="1" applyFill="1" applyBorder="1" applyProtection="1">
      <protection locked="0"/>
    </xf>
    <xf numFmtId="170" fontId="28" fillId="6" borderId="5" xfId="2" applyNumberFormat="1" applyFont="1" applyFill="1" applyBorder="1" applyProtection="1">
      <protection locked="0"/>
    </xf>
    <xf numFmtId="177" fontId="27" fillId="4" borderId="0" xfId="4" applyNumberFormat="1" applyFont="1" applyFill="1" applyAlignment="1" applyProtection="1">
      <alignment horizontal="center"/>
      <protection locked="0"/>
    </xf>
    <xf numFmtId="167" fontId="27" fillId="4" borderId="0" xfId="1" applyFont="1" applyFill="1" applyAlignment="1" applyProtection="1">
      <alignment horizontal="center"/>
      <protection locked="0"/>
    </xf>
    <xf numFmtId="0" fontId="24" fillId="5" borderId="0" xfId="0" applyFont="1" applyFill="1" applyProtection="1">
      <protection hidden="1"/>
    </xf>
    <xf numFmtId="0" fontId="0" fillId="5" borderId="0" xfId="0" applyFill="1" applyProtection="1">
      <protection hidden="1"/>
    </xf>
    <xf numFmtId="173" fontId="22"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1" fillId="0" borderId="0" xfId="0" applyFont="1" applyAlignment="1" applyProtection="1">
      <alignment horizontal="center" vertical="center"/>
      <protection hidden="1"/>
    </xf>
    <xf numFmtId="167" fontId="2" fillId="0" borderId="1" xfId="0" applyNumberFormat="1" applyFont="1" applyBorder="1" applyProtection="1">
      <protection hidden="1"/>
    </xf>
    <xf numFmtId="167" fontId="0" fillId="5" borderId="0" xfId="0" applyNumberFormat="1" applyFill="1" applyProtection="1">
      <protection hidden="1"/>
    </xf>
    <xf numFmtId="0" fontId="17" fillId="0" borderId="0" xfId="0" applyFont="1" applyProtection="1">
      <protection hidden="1"/>
    </xf>
    <xf numFmtId="167" fontId="17" fillId="0" borderId="0" xfId="0" applyNumberFormat="1" applyFont="1" applyProtection="1">
      <protection hidden="1"/>
    </xf>
    <xf numFmtId="0" fontId="7" fillId="0" borderId="0" xfId="0" applyFont="1" applyProtection="1">
      <protection hidden="1"/>
    </xf>
    <xf numFmtId="167" fontId="20"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8"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0" fillId="5" borderId="0" xfId="0" applyFont="1" applyFill="1" applyProtection="1">
      <protection hidden="1"/>
    </xf>
    <xf numFmtId="167" fontId="20" fillId="5" borderId="0" xfId="0" applyNumberFormat="1" applyFont="1" applyFill="1" applyProtection="1">
      <protection hidden="1"/>
    </xf>
    <xf numFmtId="167" fontId="31" fillId="0" borderId="0" xfId="0" applyNumberFormat="1" applyFont="1" applyProtection="1">
      <protection hidden="1"/>
    </xf>
    <xf numFmtId="0" fontId="6" fillId="0" borderId="0" xfId="0" applyFont="1" applyAlignment="1" applyProtection="1">
      <alignment horizontal="left"/>
      <protection hidden="1"/>
    </xf>
    <xf numFmtId="0" fontId="2" fillId="0" borderId="0" xfId="0" applyFont="1" applyProtection="1">
      <protection hidden="1"/>
    </xf>
    <xf numFmtId="0" fontId="18" fillId="0" borderId="0" xfId="0" applyFont="1" applyAlignment="1" applyProtection="1">
      <alignment wrapText="1"/>
      <protection locked="0"/>
    </xf>
    <xf numFmtId="0" fontId="35" fillId="0" borderId="0" xfId="0" applyFont="1" applyAlignment="1" applyProtection="1">
      <alignment wrapText="1"/>
      <protection hidden="1"/>
    </xf>
    <xf numFmtId="170" fontId="27" fillId="4" borderId="0" xfId="2" applyNumberFormat="1" applyFont="1" applyFill="1" applyProtection="1">
      <protection locked="0"/>
    </xf>
    <xf numFmtId="168" fontId="36" fillId="7" borderId="1" xfId="1" applyNumberFormat="1" applyFont="1" applyFill="1" applyBorder="1" applyProtection="1">
      <protection hidden="1"/>
    </xf>
    <xf numFmtId="0" fontId="37" fillId="0" borderId="13" xfId="0" applyFont="1" applyBorder="1" applyAlignment="1" applyProtection="1">
      <alignment wrapText="1"/>
      <protection hidden="1"/>
    </xf>
    <xf numFmtId="0" fontId="37" fillId="0" borderId="11" xfId="0" applyFont="1" applyBorder="1" applyProtection="1">
      <protection hidden="1"/>
    </xf>
    <xf numFmtId="0" fontId="0" fillId="0" borderId="8" xfId="0" applyBorder="1" applyProtection="1">
      <protection hidden="1"/>
    </xf>
    <xf numFmtId="0" fontId="24" fillId="0" borderId="15" xfId="0" applyFont="1" applyBorder="1" applyAlignment="1">
      <alignment horizontal="center"/>
    </xf>
    <xf numFmtId="0" fontId="24"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7" fillId="4" borderId="0" xfId="0" applyFont="1" applyFill="1" applyProtection="1">
      <protection locked="0" hidden="1"/>
    </xf>
    <xf numFmtId="0" fontId="38" fillId="0" borderId="0" xfId="0" applyFont="1" applyProtection="1">
      <protection hidden="1"/>
    </xf>
    <xf numFmtId="0" fontId="39" fillId="0" borderId="0" xfId="0" applyFont="1" applyProtection="1">
      <protection hidden="1"/>
    </xf>
    <xf numFmtId="168" fontId="39" fillId="0" borderId="0" xfId="1" applyNumberFormat="1" applyFont="1" applyProtection="1">
      <protection hidden="1"/>
    </xf>
    <xf numFmtId="168" fontId="39" fillId="0" borderId="0" xfId="0" applyNumberFormat="1" applyFont="1" applyProtection="1">
      <protection hidden="1"/>
    </xf>
    <xf numFmtId="168" fontId="0" fillId="0" borderId="0" xfId="1" applyNumberFormat="1" applyFont="1" applyFill="1" applyProtection="1">
      <protection hidden="1"/>
    </xf>
    <xf numFmtId="167" fontId="27" fillId="4" borderId="0" xfId="1" applyFont="1" applyFill="1" applyAlignment="1" applyProtection="1">
      <alignment vertical="top"/>
      <protection locked="0"/>
    </xf>
    <xf numFmtId="169" fontId="27" fillId="4" borderId="0" xfId="1" applyNumberFormat="1" applyFont="1" applyFill="1" applyProtection="1">
      <protection locked="0"/>
    </xf>
    <xf numFmtId="175" fontId="27" fillId="4" borderId="0" xfId="4" applyNumberFormat="1" applyFont="1" applyFill="1" applyProtection="1">
      <protection locked="0"/>
    </xf>
    <xf numFmtId="10" fontId="40" fillId="0" borderId="0" xfId="2" applyNumberFormat="1" applyFont="1" applyFill="1" applyAlignment="1" applyProtection="1">
      <alignment horizontal="center" vertical="center"/>
      <protection locked="0"/>
    </xf>
    <xf numFmtId="165" fontId="41" fillId="0" borderId="0" xfId="6" applyNumberFormat="1" applyFont="1"/>
    <xf numFmtId="178" fontId="41" fillId="0" borderId="0" xfId="6" applyNumberFormat="1" applyFont="1"/>
    <xf numFmtId="0" fontId="41" fillId="0" borderId="0" xfId="6" applyFont="1"/>
    <xf numFmtId="0" fontId="39" fillId="0" borderId="0" xfId="0" applyFont="1" applyAlignment="1" applyProtection="1">
      <alignment horizontal="left"/>
      <protection hidden="1"/>
    </xf>
    <xf numFmtId="167" fontId="39" fillId="0" borderId="0" xfId="0" applyNumberFormat="1" applyFont="1" applyProtection="1">
      <protection hidden="1"/>
    </xf>
    <xf numFmtId="9" fontId="39" fillId="0" borderId="0" xfId="0" applyNumberFormat="1" applyFont="1" applyProtection="1">
      <protection hidden="1"/>
    </xf>
    <xf numFmtId="164" fontId="39" fillId="0" borderId="0" xfId="0" applyNumberFormat="1" applyFont="1" applyProtection="1">
      <protection hidden="1"/>
    </xf>
    <xf numFmtId="10" fontId="39" fillId="0" borderId="6" xfId="2" applyNumberFormat="1" applyFont="1" applyBorder="1" applyAlignment="1" applyProtection="1">
      <alignment horizontal="center" vertical="center"/>
      <protection hidden="1"/>
    </xf>
    <xf numFmtId="165" fontId="39" fillId="0" borderId="0" xfId="0" applyNumberFormat="1" applyFont="1" applyProtection="1">
      <protection hidden="1"/>
    </xf>
    <xf numFmtId="0" fontId="39" fillId="0" borderId="9" xfId="0" applyFont="1" applyBorder="1" applyAlignment="1" applyProtection="1">
      <alignment horizontal="center" vertical="center"/>
      <protection hidden="1"/>
    </xf>
    <xf numFmtId="0" fontId="39" fillId="0" borderId="10" xfId="0" applyFont="1" applyBorder="1" applyAlignment="1" applyProtection="1">
      <alignment horizontal="center" vertical="center"/>
      <protection hidden="1"/>
    </xf>
    <xf numFmtId="179" fontId="39" fillId="0" borderId="3" xfId="0" applyNumberFormat="1" applyFont="1" applyBorder="1" applyProtection="1">
      <protection hidden="1"/>
    </xf>
    <xf numFmtId="179" fontId="39" fillId="0" borderId="12" xfId="0" applyNumberFormat="1" applyFont="1" applyBorder="1" applyProtection="1">
      <protection hidden="1"/>
    </xf>
    <xf numFmtId="0" fontId="43" fillId="0" borderId="0" xfId="0" applyFont="1" applyProtection="1">
      <protection hidden="1"/>
    </xf>
    <xf numFmtId="0" fontId="42" fillId="0" borderId="4" xfId="0" applyFont="1" applyBorder="1" applyProtection="1">
      <protection hidden="1"/>
    </xf>
    <xf numFmtId="0" fontId="39" fillId="0" borderId="5" xfId="0" applyFont="1" applyBorder="1" applyProtection="1">
      <protection hidden="1"/>
    </xf>
    <xf numFmtId="166" fontId="42" fillId="5" borderId="6" xfId="0" applyNumberFormat="1" applyFont="1" applyFill="1" applyBorder="1" applyProtection="1">
      <protection hidden="1"/>
    </xf>
    <xf numFmtId="181" fontId="42" fillId="7" borderId="5" xfId="0" applyNumberFormat="1" applyFont="1" applyFill="1" applyBorder="1" applyProtection="1">
      <protection hidden="1"/>
    </xf>
    <xf numFmtId="0" fontId="42" fillId="0" borderId="6" xfId="0" applyFont="1" applyBorder="1" applyProtection="1">
      <protection hidden="1"/>
    </xf>
    <xf numFmtId="0" fontId="39" fillId="0" borderId="0" xfId="0" applyFont="1" applyAlignment="1" applyProtection="1">
      <alignment wrapText="1"/>
      <protection hidden="1"/>
    </xf>
    <xf numFmtId="167" fontId="43" fillId="0" borderId="0" xfId="0" applyNumberFormat="1" applyFont="1" applyProtection="1">
      <protection hidden="1"/>
    </xf>
    <xf numFmtId="164" fontId="43" fillId="0" borderId="0" xfId="0" applyNumberFormat="1" applyFont="1" applyProtection="1">
      <protection hidden="1"/>
    </xf>
    <xf numFmtId="164" fontId="42" fillId="0" borderId="0" xfId="4" applyFont="1" applyProtection="1">
      <protection hidden="1"/>
    </xf>
    <xf numFmtId="167" fontId="42" fillId="0" borderId="0" xfId="1" applyFont="1" applyProtection="1">
      <protection hidden="1"/>
    </xf>
    <xf numFmtId="0" fontId="42" fillId="0" borderId="0" xfId="0" applyFont="1" applyProtection="1">
      <protection hidden="1"/>
    </xf>
    <xf numFmtId="0" fontId="44" fillId="0" borderId="0" xfId="0" applyFont="1" applyProtection="1">
      <protection hidden="1"/>
    </xf>
    <xf numFmtId="167" fontId="43" fillId="0" borderId="0" xfId="1" applyFont="1" applyProtection="1">
      <protection hidden="1"/>
    </xf>
    <xf numFmtId="0" fontId="43" fillId="0" borderId="0" xfId="0" applyFont="1" applyAlignment="1" applyProtection="1">
      <alignment horizontal="center"/>
      <protection hidden="1"/>
    </xf>
    <xf numFmtId="167" fontId="40" fillId="0" borderId="0" xfId="1" applyFont="1" applyProtection="1">
      <protection hidden="1"/>
    </xf>
    <xf numFmtId="9" fontId="43" fillId="0" borderId="0" xfId="2" applyFont="1" applyProtection="1">
      <protection hidden="1"/>
    </xf>
    <xf numFmtId="0" fontId="39" fillId="0" borderId="11" xfId="0" applyFont="1" applyBorder="1" applyAlignment="1" applyProtection="1">
      <alignment wrapText="1"/>
      <protection hidden="1"/>
    </xf>
    <xf numFmtId="0" fontId="42" fillId="0" borderId="8" xfId="0" applyFont="1" applyBorder="1" applyAlignment="1" applyProtection="1">
      <alignment wrapText="1"/>
      <protection hidden="1"/>
    </xf>
    <xf numFmtId="0" fontId="2"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33"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7"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42" fillId="0" borderId="0" xfId="0" applyFont="1" applyAlignment="1" applyProtection="1">
      <alignment horizontal="center" vertical="center"/>
      <protection hidden="1"/>
    </xf>
    <xf numFmtId="0" fontId="42" fillId="0" borderId="0" xfId="0" applyFont="1" applyAlignment="1" applyProtection="1">
      <alignment wrapText="1"/>
      <protection hidden="1"/>
    </xf>
    <xf numFmtId="10" fontId="40" fillId="4" borderId="0" xfId="2" applyNumberFormat="1" applyFont="1" applyFill="1" applyAlignment="1" applyProtection="1">
      <alignment horizontal="center" vertical="center"/>
      <protection locked="0"/>
    </xf>
    <xf numFmtId="0" fontId="42" fillId="5" borderId="0" xfId="0" applyFont="1" applyFill="1" applyAlignment="1" applyProtection="1">
      <alignment horizontal="center"/>
      <protection hidden="1"/>
    </xf>
    <xf numFmtId="0" fontId="40" fillId="0" borderId="0" xfId="0" applyFont="1" applyAlignment="1" applyProtection="1">
      <alignment horizontal="left"/>
      <protection hidden="1"/>
    </xf>
    <xf numFmtId="0" fontId="42" fillId="0" borderId="0" xfId="0" applyFont="1" applyAlignment="1" applyProtection="1">
      <alignment horizontal="left" wrapText="1"/>
      <protection hidden="1"/>
    </xf>
    <xf numFmtId="0" fontId="42" fillId="0" borderId="0" xfId="0" applyFont="1" applyAlignment="1" applyProtection="1">
      <alignment horizontal="left"/>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spPr>
            <a:ln w="31750" cap="rnd">
              <a:solidFill>
                <a:schemeClr val="accent1"/>
              </a:solidFill>
              <a:round/>
            </a:ln>
            <a:effectLst>
              <a:outerShdw blurRad="40000" dist="23000" dir="5400000" rotWithShape="0">
                <a:srgbClr val="000000">
                  <a:alpha val="35000"/>
                </a:srgbClr>
              </a:outerShdw>
            </a:effectLst>
          </c:spPr>
          <c:marker>
            <c:symbol val="none"/>
          </c:marker>
          <c:cat>
            <c:numRef>
              <c:f>'5'!$B$33:$B$35</c:f>
              <c:numCache>
                <c:formatCode>_(* #,##0.00_);_(* \(#,##0.00\);_(* "-"??_);_(@_)</c:formatCode>
                <c:ptCount val="3"/>
                <c:pt idx="0" formatCode="General">
                  <c:v>0</c:v>
                </c:pt>
                <c:pt idx="1">
                  <c:v>6982.2409159644212</c:v>
                </c:pt>
                <c:pt idx="2">
                  <c:v>13964.481831928842</c:v>
                </c:pt>
              </c:numCache>
            </c:numRef>
          </c:cat>
          <c:val>
            <c:numRef>
              <c:f>'5'!$C$33:$C$35</c:f>
              <c:numCache>
                <c:formatCode>_("$"\ * #,##0.00_);_("$"\ * \(#,##0.00\);_("$"\ * "-"??_);_(@_)</c:formatCode>
                <c:ptCount val="3"/>
                <c:pt idx="0">
                  <c:v>162147433</c:v>
                </c:pt>
                <c:pt idx="1">
                  <c:v>162147433</c:v>
                </c:pt>
                <c:pt idx="2">
                  <c:v>162147433</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spPr>
            <a:ln w="31750" cap="rnd">
              <a:solidFill>
                <a:schemeClr val="accent2"/>
              </a:solidFill>
              <a:round/>
            </a:ln>
            <a:effectLst>
              <a:outerShdw blurRad="40000" dist="23000" dir="5400000" rotWithShape="0">
                <a:srgbClr val="000000">
                  <a:alpha val="35000"/>
                </a:srgbClr>
              </a:outerShdw>
            </a:effectLst>
          </c:spPr>
          <c:marker>
            <c:symbol val="none"/>
          </c:marker>
          <c:cat>
            <c:numRef>
              <c:f>'5'!$B$33:$B$35</c:f>
              <c:numCache>
                <c:formatCode>_(* #,##0.00_);_(* \(#,##0.00\);_(* "-"??_);_(@_)</c:formatCode>
                <c:ptCount val="3"/>
                <c:pt idx="0" formatCode="General">
                  <c:v>0</c:v>
                </c:pt>
                <c:pt idx="1">
                  <c:v>6982.2409159644212</c:v>
                </c:pt>
                <c:pt idx="2">
                  <c:v>13964.481831928842</c:v>
                </c:pt>
              </c:numCache>
            </c:numRef>
          </c:cat>
          <c:val>
            <c:numRef>
              <c:f>'5'!$D$33:$D$35</c:f>
              <c:numCache>
                <c:formatCode>_("$"\ * #,##0.00_);_("$"\ * \(#,##0.00\);_("$"\ * "-"??_);_(@_)</c:formatCode>
                <c:ptCount val="3"/>
                <c:pt idx="0" formatCode="General">
                  <c:v>0</c:v>
                </c:pt>
                <c:pt idx="1">
                  <c:v>333587520.98204714</c:v>
                </c:pt>
                <c:pt idx="2">
                  <c:v>667175041.96409416</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spPr>
            <a:ln w="31750" cap="rnd">
              <a:solidFill>
                <a:schemeClr val="accent3"/>
              </a:solidFill>
              <a:round/>
            </a:ln>
            <a:effectLst>
              <a:outerShdw blurRad="40000" dist="23000" dir="5400000" rotWithShape="0">
                <a:srgbClr val="000000">
                  <a:alpha val="35000"/>
                </a:srgbClr>
              </a:outerShdw>
            </a:effectLst>
          </c:spPr>
          <c:marker>
            <c:symbol val="none"/>
          </c:marker>
          <c:cat>
            <c:numRef>
              <c:f>'5'!$B$33:$B$35</c:f>
              <c:numCache>
                <c:formatCode>_(* #,##0.00_);_(* \(#,##0.00\);_(* "-"??_);_(@_)</c:formatCode>
                <c:ptCount val="3"/>
                <c:pt idx="0" formatCode="General">
                  <c:v>0</c:v>
                </c:pt>
                <c:pt idx="1">
                  <c:v>6982.2409159644212</c:v>
                </c:pt>
                <c:pt idx="2">
                  <c:v>13964.481831928842</c:v>
                </c:pt>
              </c:numCache>
            </c:numRef>
          </c:cat>
          <c:val>
            <c:numRef>
              <c:f>'5'!$F$33:$F$35</c:f>
              <c:numCache>
                <c:formatCode>_("$"\ * #,##0.00_);_("$"\ * \(#,##0.00\);_("$"\ * "-"??_);_(@_)</c:formatCode>
                <c:ptCount val="3"/>
                <c:pt idx="0">
                  <c:v>162147433</c:v>
                </c:pt>
                <c:pt idx="1">
                  <c:v>333587520.98204708</c:v>
                </c:pt>
                <c:pt idx="2">
                  <c:v>505027608.96409416</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123654528"/>
        <c:crosses val="autoZero"/>
        <c:auto val="1"/>
        <c:lblAlgn val="ctr"/>
        <c:lblOffset val="100"/>
        <c:noMultiLvlLbl val="0"/>
      </c:catAx>
      <c:valAx>
        <c:axId val="123654528"/>
        <c:scaling>
          <c:orientation val="minMax"/>
        </c:scaling>
        <c:delete val="0"/>
        <c:axPos val="l"/>
        <c:majorGridlines>
          <c:spPr>
            <a:ln w="9525" cap="flat" cmpd="sng" algn="ctr">
              <a:solidFill>
                <a:schemeClr val="tx2">
                  <a:lumMod val="15000"/>
                  <a:lumOff val="85000"/>
                </a:schemeClr>
              </a:solidFill>
              <a:round/>
            </a:ln>
            <a:effectLst/>
          </c:spPr>
        </c:majorGridlines>
        <c:numFmt formatCode="_(&quot;$&quot;\ * #,##0.00_);_(&quot;$&quot;\ * \(#,##0.00\);_(&quot;$&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crossAx val="1236404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3" Type="http://schemas.openxmlformats.org/officeDocument/2006/relationships/hyperlink" Target="#'3'!A1"/><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533398</xdr:colOff>
      <xdr:row>13</xdr:row>
      <xdr:rowOff>147639</xdr:rowOff>
    </xdr:from>
    <xdr:to>
      <xdr:col>13</xdr:col>
      <xdr:colOff>495298</xdr:colOff>
      <xdr:row>26</xdr:row>
      <xdr:rowOff>47626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714375</xdr:colOff>
      <xdr:row>1</xdr:row>
      <xdr:rowOff>19051</xdr:rowOff>
    </xdr:from>
    <xdr:to>
      <xdr:col>7</xdr:col>
      <xdr:colOff>471704</xdr:colOff>
      <xdr:row>14</xdr:row>
      <xdr:rowOff>133351</xdr:rowOff>
    </xdr:to>
    <xdr:pic>
      <xdr:nvPicPr>
        <xdr:cNvPr id="2" name="Imagen 1">
          <a:extLst>
            <a:ext uri="{FF2B5EF4-FFF2-40B4-BE49-F238E27FC236}">
              <a16:creationId xmlns:a16="http://schemas.microsoft.com/office/drawing/2014/main" id="{3164E137-FE9D-49BA-80CE-0B9B1F36C381}"/>
            </a:ext>
          </a:extLst>
        </xdr:cNvPr>
        <xdr:cNvPicPr>
          <a:picLocks noChangeAspect="1"/>
        </xdr:cNvPicPr>
      </xdr:nvPicPr>
      <xdr:blipFill>
        <a:blip xmlns:r="http://schemas.openxmlformats.org/officeDocument/2006/relationships" r:embed="rId1"/>
        <a:stretch>
          <a:fillRect/>
        </a:stretch>
      </xdr:blipFill>
      <xdr:spPr>
        <a:xfrm>
          <a:off x="714375" y="209551"/>
          <a:ext cx="5091329" cy="2590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ario\Dropbox\TRABAJO%20DE%20GRADO%202024\Presupuesto_Servicio%20de%20Transporte_20042024.xlsx" TargetMode="External"/><Relationship Id="rId1" Type="http://schemas.openxmlformats.org/officeDocument/2006/relationships/externalLinkPath" Target="Presupuesto_Servicio%20de%20Transporte_2004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 val="Tabla inversiones"/>
    </sheetNames>
    <sheetDataSet>
      <sheetData sheetId="0">
        <row r="10">
          <cell r="D10">
            <v>7266000</v>
          </cell>
        </row>
        <row r="15">
          <cell r="D15">
            <v>2999100</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ColWidth="11.42578125" defaultRowHeight="15"/>
  <sheetData>
    <row r="23" spans="7:8" ht="20.25">
      <c r="G23" s="142" t="s">
        <v>0</v>
      </c>
      <c r="H23" s="142"/>
    </row>
  </sheetData>
  <sheetProtection algorithmName="SHA-512" hashValue="yEMIW8KgRsP3VTzZ5MhJf2mifk22oU04SQfTSUKUce+y7DQ9nVfd/ZJwQti+bHWzITHglYeYcql49OGjwHXpCQ==" saltValue="tEOLSjpE/Gzt9Qmj0TZxcg=="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opLeftCell="A19" zoomScale="80" zoomScaleNormal="80" workbookViewId="0">
      <selection activeCell="B33" sqref="B33"/>
    </sheetView>
  </sheetViews>
  <sheetFormatPr baseColWidth="10" defaultColWidth="11.42578125" defaultRowHeight="15"/>
  <cols>
    <col min="1" max="1" width="22.5703125" style="8" customWidth="1"/>
    <col min="2" max="2" width="34.5703125" style="8" bestFit="1" customWidth="1"/>
    <col min="3" max="3" width="26" style="8" bestFit="1" customWidth="1"/>
    <col min="4" max="4" width="28.28515625" style="8" customWidth="1"/>
    <col min="5" max="5" width="28.7109375" style="8" customWidth="1"/>
    <col min="6" max="6" width="27.42578125" style="8" customWidth="1"/>
    <col min="7" max="10" width="9.42578125" style="8" bestFit="1" customWidth="1"/>
    <col min="11" max="11" width="4.28515625" style="8" customWidth="1"/>
    <col min="12" max="15" width="11.42578125" style="8" hidden="1" customWidth="1"/>
    <col min="16" max="19" width="12" style="8" hidden="1" customWidth="1"/>
    <col min="20" max="24" width="15.5703125" style="8" hidden="1" customWidth="1"/>
    <col min="25" max="25" width="22.140625" style="8" bestFit="1" customWidth="1"/>
    <col min="26" max="27" width="9.42578125" style="8" bestFit="1" customWidth="1"/>
    <col min="28" max="28" width="11.42578125" style="8" bestFit="1" customWidth="1"/>
    <col min="29" max="29" width="9.42578125" style="8" bestFit="1" customWidth="1"/>
    <col min="30" max="16384" width="11.42578125" style="8"/>
  </cols>
  <sheetData>
    <row r="1" spans="1:29" ht="30.75" customHeight="1">
      <c r="A1" s="144" t="s">
        <v>1</v>
      </c>
      <c r="B1" s="144"/>
      <c r="C1" s="144"/>
      <c r="D1" s="144"/>
      <c r="E1" s="144"/>
      <c r="G1" s="145" t="s">
        <v>2</v>
      </c>
      <c r="H1" s="145"/>
      <c r="I1" s="145"/>
      <c r="J1" s="145"/>
      <c r="P1" s="8" t="s">
        <v>3</v>
      </c>
      <c r="Y1" s="15" t="s">
        <v>4</v>
      </c>
      <c r="Z1" s="46">
        <v>2024</v>
      </c>
      <c r="AA1" s="16"/>
    </row>
    <row r="2" spans="1:29" ht="32.25" customHeight="1" thickBot="1">
      <c r="B2" s="17" t="s">
        <v>5</v>
      </c>
      <c r="C2" s="18" t="s">
        <v>6</v>
      </c>
      <c r="D2" s="17" t="s">
        <v>7</v>
      </c>
      <c r="E2" s="18" t="s">
        <v>8</v>
      </c>
      <c r="F2" s="19" t="s">
        <v>9</v>
      </c>
      <c r="G2" s="20">
        <f>'1'!Z1+1</f>
        <v>2025</v>
      </c>
      <c r="H2" s="20">
        <f>G2+1</f>
        <v>2026</v>
      </c>
      <c r="I2" s="20">
        <f>H2+1</f>
        <v>2027</v>
      </c>
      <c r="J2" s="20">
        <f>I2+1</f>
        <v>2028</v>
      </c>
      <c r="L2" s="8">
        <f>G2</f>
        <v>2025</v>
      </c>
      <c r="M2" s="8">
        <f>H2</f>
        <v>2026</v>
      </c>
      <c r="N2" s="8">
        <f>M2+1</f>
        <v>2027</v>
      </c>
      <c r="O2" s="8">
        <f>N2+1</f>
        <v>2028</v>
      </c>
      <c r="P2" s="8" t="s">
        <v>10</v>
      </c>
      <c r="Q2" s="8" t="s">
        <v>11</v>
      </c>
      <c r="R2" s="8" t="s">
        <v>12</v>
      </c>
      <c r="S2" s="8" t="s">
        <v>13</v>
      </c>
      <c r="T2" s="8" t="s">
        <v>14</v>
      </c>
      <c r="U2" s="8" t="s">
        <v>15</v>
      </c>
      <c r="V2" s="8" t="s">
        <v>16</v>
      </c>
      <c r="W2" s="8" t="s">
        <v>17</v>
      </c>
      <c r="Y2" s="16"/>
      <c r="Z2" s="16"/>
      <c r="AA2" s="16"/>
    </row>
    <row r="3" spans="1:29" ht="24" thickBot="1">
      <c r="A3" s="21">
        <v>1</v>
      </c>
      <c r="B3" s="13" t="s">
        <v>18</v>
      </c>
      <c r="C3" s="106">
        <v>15000</v>
      </c>
      <c r="D3" s="105">
        <v>3704.3</v>
      </c>
      <c r="E3" s="22">
        <f>C3*D3</f>
        <v>55564500</v>
      </c>
      <c r="F3" s="23">
        <f>IF($E$13=0,0,E3/$E$13)</f>
        <v>8.3266904532574668E-2</v>
      </c>
      <c r="G3" s="83">
        <v>0.1</v>
      </c>
      <c r="H3" s="83">
        <v>0.12</v>
      </c>
      <c r="I3" s="83">
        <v>0.14000000000000001</v>
      </c>
      <c r="J3" s="83">
        <v>0.16</v>
      </c>
      <c r="K3" s="24"/>
      <c r="L3" s="8">
        <f t="shared" ref="L3:L12" si="0">C3*(1+G3)</f>
        <v>16500</v>
      </c>
      <c r="M3" s="8">
        <f>L3*(1+H3)</f>
        <v>18480</v>
      </c>
      <c r="N3" s="8">
        <f>M3*(1+I3)</f>
        <v>21067.200000000001</v>
      </c>
      <c r="O3" s="8">
        <f>N3*(1+J3)</f>
        <v>24437.951999999997</v>
      </c>
      <c r="P3" s="25">
        <f>D3*(1+'1'!$Z$4)</f>
        <v>3841.3591000000001</v>
      </c>
      <c r="Q3" s="25">
        <f>P3*(1+'1'!$AA$4)</f>
        <v>3979.6480276000002</v>
      </c>
      <c r="R3" s="25">
        <f>Q3*(1+'1'!$AB$4)</f>
        <v>4118.9357085659994</v>
      </c>
      <c r="S3" s="25">
        <f>R3*(1+'1'!$AC$4)</f>
        <v>4250.7416512401114</v>
      </c>
      <c r="T3" s="26">
        <f>L3*P3</f>
        <v>63382425.149999999</v>
      </c>
      <c r="U3" s="26">
        <f>M3*Q3</f>
        <v>73543895.550048009</v>
      </c>
      <c r="V3" s="26">
        <f>N3*R3</f>
        <v>86774442.35950163</v>
      </c>
      <c r="W3" s="26">
        <f>O3*S3</f>
        <v>103879420.43740657</v>
      </c>
      <c r="X3" s="26"/>
      <c r="Y3" s="27" t="s">
        <v>19</v>
      </c>
      <c r="Z3" s="28">
        <f>G2</f>
        <v>2025</v>
      </c>
      <c r="AA3" s="28">
        <f>Z3+1</f>
        <v>2026</v>
      </c>
      <c r="AB3" s="28">
        <f>AA3+1</f>
        <v>2027</v>
      </c>
      <c r="AC3" s="29">
        <f>AB3+1</f>
        <v>2028</v>
      </c>
    </row>
    <row r="4" spans="1:29" ht="23.25">
      <c r="A4" s="21">
        <f>A3+1</f>
        <v>2</v>
      </c>
      <c r="B4" s="13" t="s">
        <v>20</v>
      </c>
      <c r="C4" s="106">
        <v>14000</v>
      </c>
      <c r="D4" s="105">
        <v>7500</v>
      </c>
      <c r="E4" s="22">
        <f t="shared" ref="E4:E12" si="1">C4*D4</f>
        <v>105000000</v>
      </c>
      <c r="F4" s="23">
        <f t="shared" ref="F4:F12" si="2">IF($E$13=0,0,E4/$E$13)</f>
        <v>0.15734911635883236</v>
      </c>
      <c r="G4" s="83">
        <v>0.1</v>
      </c>
      <c r="H4" s="83">
        <v>0.12</v>
      </c>
      <c r="I4" s="83">
        <v>0.12</v>
      </c>
      <c r="J4" s="83">
        <v>0.16</v>
      </c>
      <c r="K4" s="24"/>
      <c r="L4" s="8">
        <f t="shared" si="0"/>
        <v>15400.000000000002</v>
      </c>
      <c r="M4" s="8">
        <f t="shared" ref="M4:M12" si="3">L4*(1+H4)</f>
        <v>17248.000000000004</v>
      </c>
      <c r="N4" s="8">
        <f t="shared" ref="N4:N12" si="4">M4*(1+I4)</f>
        <v>19317.760000000006</v>
      </c>
      <c r="O4" s="8">
        <f t="shared" ref="O4:O12" si="5">N4*(1+J4)</f>
        <v>22408.601600000005</v>
      </c>
      <c r="P4" s="25">
        <f>D4*(1+'1'!$Z$4)</f>
        <v>7777.4999999999991</v>
      </c>
      <c r="Q4" s="25">
        <f>P4*(1+'1'!$AA$4)</f>
        <v>8057.4899999999989</v>
      </c>
      <c r="R4" s="25">
        <f>Q4*(1+'1'!$AB$4)</f>
        <v>8339.5021499999984</v>
      </c>
      <c r="S4" s="25">
        <f>R4*(1+'1'!$AC$4)</f>
        <v>8606.366218799998</v>
      </c>
      <c r="T4" s="26">
        <f t="shared" ref="T4:T12" si="6">L4*P4</f>
        <v>119773500</v>
      </c>
      <c r="U4" s="26">
        <f t="shared" ref="U4:U12" si="7">M4*Q4</f>
        <v>138975587.52000001</v>
      </c>
      <c r="V4" s="26">
        <f t="shared" ref="V4:V12" si="8">N4*R4</f>
        <v>161100501.053184</v>
      </c>
      <c r="W4" s="26">
        <f t="shared" ref="W4:W12" si="9">O4*S4</f>
        <v>192856631.82078764</v>
      </c>
      <c r="X4" s="26"/>
      <c r="Y4" s="85" t="s">
        <v>21</v>
      </c>
      <c r="Z4" s="47">
        <v>3.6999999999999998E-2</v>
      </c>
      <c r="AA4" s="47">
        <v>3.5999999999999997E-2</v>
      </c>
      <c r="AB4" s="47">
        <v>3.5000000000000003E-2</v>
      </c>
      <c r="AC4" s="48">
        <v>3.2000000000000001E-2</v>
      </c>
    </row>
    <row r="5" spans="1:29" ht="24" thickBot="1">
      <c r="A5" s="21">
        <f t="shared" ref="A5:A12" si="10">A4+1</f>
        <v>3</v>
      </c>
      <c r="B5" s="13" t="s">
        <v>22</v>
      </c>
      <c r="C5" s="106">
        <v>4000</v>
      </c>
      <c r="D5" s="105">
        <v>16828.3</v>
      </c>
      <c r="E5" s="22">
        <f t="shared" si="1"/>
        <v>67313200</v>
      </c>
      <c r="F5" s="23">
        <f t="shared" si="2"/>
        <v>0.10087307180271765</v>
      </c>
      <c r="G5" s="83">
        <v>0.1</v>
      </c>
      <c r="H5" s="83">
        <v>0.12</v>
      </c>
      <c r="I5" s="83">
        <v>0.12</v>
      </c>
      <c r="J5" s="83">
        <v>0.16</v>
      </c>
      <c r="K5" s="24"/>
      <c r="L5" s="8">
        <f t="shared" si="0"/>
        <v>4400</v>
      </c>
      <c r="M5" s="8">
        <f t="shared" si="3"/>
        <v>4928.0000000000009</v>
      </c>
      <c r="N5" s="8">
        <f t="shared" si="4"/>
        <v>5519.3600000000015</v>
      </c>
      <c r="O5" s="8">
        <f t="shared" si="5"/>
        <v>6402.4576000000015</v>
      </c>
      <c r="P5" s="25">
        <f>D5*(1+'1'!$Z$4)</f>
        <v>17450.947099999998</v>
      </c>
      <c r="Q5" s="25">
        <f>P5*(1+'1'!$AA$4)</f>
        <v>18079.181195599998</v>
      </c>
      <c r="R5" s="25">
        <f>Q5*(1+'1'!$AB$4)</f>
        <v>18711.952537445995</v>
      </c>
      <c r="S5" s="25">
        <f>R5*(1+'1'!$AC$4)</f>
        <v>19310.735018644267</v>
      </c>
      <c r="T5" s="26">
        <f t="shared" si="6"/>
        <v>76784167.239999995</v>
      </c>
      <c r="U5" s="26">
        <f t="shared" si="7"/>
        <v>89094204.931916803</v>
      </c>
      <c r="V5" s="26">
        <f t="shared" si="8"/>
        <v>103278002.35707796</v>
      </c>
      <c r="W5" s="26">
        <f t="shared" si="9"/>
        <v>123636162.18170516</v>
      </c>
      <c r="X5" s="26"/>
      <c r="Y5" s="86" t="s">
        <v>23</v>
      </c>
      <c r="Z5" s="49">
        <v>1.2999999999999999E-2</v>
      </c>
      <c r="AA5" s="49">
        <v>1.2999999999999999E-2</v>
      </c>
      <c r="AB5" s="49">
        <v>1.2999999999999999E-2</v>
      </c>
      <c r="AC5" s="49">
        <v>1.2999999999999999E-2</v>
      </c>
    </row>
    <row r="6" spans="1:29" ht="15.75" thickBot="1">
      <c r="A6" s="21">
        <f t="shared" si="10"/>
        <v>4</v>
      </c>
      <c r="B6" s="13" t="s">
        <v>24</v>
      </c>
      <c r="C6" s="106">
        <v>1200</v>
      </c>
      <c r="D6" s="105">
        <v>67051.399999999994</v>
      </c>
      <c r="E6" s="22">
        <f t="shared" si="1"/>
        <v>80461680</v>
      </c>
      <c r="F6" s="23">
        <f t="shared" si="2"/>
        <v>0.12057689760711555</v>
      </c>
      <c r="G6" s="83">
        <v>0.1</v>
      </c>
      <c r="H6" s="83">
        <v>0.12</v>
      </c>
      <c r="I6" s="83">
        <v>0.12</v>
      </c>
      <c r="J6" s="83">
        <v>0.16</v>
      </c>
      <c r="K6" s="24"/>
      <c r="L6" s="8">
        <f t="shared" si="0"/>
        <v>1320</v>
      </c>
      <c r="M6" s="8">
        <f t="shared" si="3"/>
        <v>1478.4</v>
      </c>
      <c r="N6" s="8">
        <f t="shared" si="4"/>
        <v>1655.8080000000002</v>
      </c>
      <c r="O6" s="8">
        <f t="shared" si="5"/>
        <v>1920.7372800000001</v>
      </c>
      <c r="P6" s="25">
        <f>D6*(1+'1'!$Z$4)</f>
        <v>69532.301799999987</v>
      </c>
      <c r="Q6" s="25">
        <f>P6*(1+'1'!$AA$4)</f>
        <v>72035.464664799991</v>
      </c>
      <c r="R6" s="25">
        <f>Q6*(1+'1'!$AB$4)</f>
        <v>74556.705928067982</v>
      </c>
      <c r="S6" s="25">
        <f>R6*(1+'1'!$AC$4)</f>
        <v>76942.520517766156</v>
      </c>
      <c r="T6" s="26">
        <f t="shared" si="6"/>
        <v>91782638.375999987</v>
      </c>
      <c r="U6" s="26">
        <f t="shared" si="7"/>
        <v>106497230.96044031</v>
      </c>
      <c r="V6" s="26">
        <f t="shared" si="8"/>
        <v>123451590.12934241</v>
      </c>
      <c r="W6" s="26">
        <f t="shared" si="9"/>
        <v>147786367.57563835</v>
      </c>
      <c r="X6" s="26"/>
    </row>
    <row r="7" spans="1:29" ht="24" thickBot="1">
      <c r="A7" s="21">
        <f t="shared" si="10"/>
        <v>5</v>
      </c>
      <c r="B7" s="13" t="s">
        <v>25</v>
      </c>
      <c r="C7" s="106">
        <v>700</v>
      </c>
      <c r="D7" s="105">
        <v>97200.9</v>
      </c>
      <c r="E7" s="22">
        <f t="shared" si="1"/>
        <v>68040630</v>
      </c>
      <c r="F7" s="23">
        <f t="shared" si="2"/>
        <v>0.10196317149522152</v>
      </c>
      <c r="G7" s="83">
        <v>0.1</v>
      </c>
      <c r="H7" s="83">
        <v>0.12</v>
      </c>
      <c r="I7" s="83">
        <v>0.12</v>
      </c>
      <c r="J7" s="83">
        <v>0.16</v>
      </c>
      <c r="K7" s="24"/>
      <c r="L7" s="8">
        <f t="shared" si="0"/>
        <v>770.00000000000011</v>
      </c>
      <c r="M7" s="8">
        <f t="shared" si="3"/>
        <v>862.4000000000002</v>
      </c>
      <c r="N7" s="8">
        <f t="shared" si="4"/>
        <v>965.88800000000037</v>
      </c>
      <c r="O7" s="8">
        <f t="shared" si="5"/>
        <v>1120.4300800000003</v>
      </c>
      <c r="P7" s="25">
        <f>D7*(1+'1'!$Z$4)</f>
        <v>100797.33329999998</v>
      </c>
      <c r="Q7" s="25">
        <f>P7*(1+'1'!$AA$4)</f>
        <v>104426.03729879999</v>
      </c>
      <c r="R7" s="25">
        <f>Q7*(1+'1'!$AB$4)</f>
        <v>108080.94860425798</v>
      </c>
      <c r="S7" s="25">
        <f>R7*(1+'1'!$AC$4)</f>
        <v>111539.53895959424</v>
      </c>
      <c r="T7" s="26">
        <f t="shared" si="6"/>
        <v>77613946.641000003</v>
      </c>
      <c r="U7" s="26">
        <f t="shared" si="7"/>
        <v>90057014.566485137</v>
      </c>
      <c r="V7" s="26">
        <f t="shared" si="8"/>
        <v>104394091.28546958</v>
      </c>
      <c r="W7" s="26">
        <f t="shared" si="9"/>
        <v>124972254.55966133</v>
      </c>
      <c r="X7" s="26"/>
      <c r="Y7" s="30" t="s">
        <v>26</v>
      </c>
      <c r="Z7" s="31"/>
      <c r="AA7" s="31"/>
      <c r="AB7" s="50">
        <v>0.35</v>
      </c>
      <c r="AC7" s="32"/>
    </row>
    <row r="8" spans="1:29">
      <c r="A8" s="21">
        <f t="shared" si="10"/>
        <v>6</v>
      </c>
      <c r="B8" s="13" t="s">
        <v>27</v>
      </c>
      <c r="C8" s="106">
        <v>7500</v>
      </c>
      <c r="D8" s="105">
        <v>14970.2</v>
      </c>
      <c r="E8" s="22">
        <f t="shared" si="1"/>
        <v>112276500</v>
      </c>
      <c r="F8" s="23">
        <f t="shared" si="2"/>
        <v>0.16825341012249945</v>
      </c>
      <c r="G8" s="83">
        <v>0.1</v>
      </c>
      <c r="H8" s="83">
        <v>0.12</v>
      </c>
      <c r="I8" s="83">
        <v>0.12</v>
      </c>
      <c r="J8" s="83">
        <v>0.16</v>
      </c>
      <c r="K8" s="24"/>
      <c r="L8" s="8">
        <f t="shared" si="0"/>
        <v>8250</v>
      </c>
      <c r="M8" s="8">
        <f t="shared" si="3"/>
        <v>9240</v>
      </c>
      <c r="N8" s="8">
        <f t="shared" si="4"/>
        <v>10348.800000000001</v>
      </c>
      <c r="O8" s="8">
        <f t="shared" si="5"/>
        <v>12004.608</v>
      </c>
      <c r="P8" s="25">
        <f>D8*(1+'1'!$Z$4)</f>
        <v>15524.097399999999</v>
      </c>
      <c r="Q8" s="25">
        <f>P8*(1+'1'!$AA$4)</f>
        <v>16082.964906399999</v>
      </c>
      <c r="R8" s="25">
        <f>Q8*(1+'1'!$AB$4)</f>
        <v>16645.868678123996</v>
      </c>
      <c r="S8" s="25">
        <f>R8*(1+'1'!$AC$4)</f>
        <v>17178.536475823963</v>
      </c>
      <c r="T8" s="26">
        <f t="shared" si="6"/>
        <v>128073803.55</v>
      </c>
      <c r="U8" s="26">
        <f t="shared" si="7"/>
        <v>148606595.735136</v>
      </c>
      <c r="V8" s="26">
        <f t="shared" si="8"/>
        <v>172264765.77616963</v>
      </c>
      <c r="W8" s="26">
        <f t="shared" si="9"/>
        <v>206221596.40596816</v>
      </c>
      <c r="X8" s="26"/>
    </row>
    <row r="9" spans="1:29">
      <c r="A9" s="21">
        <f t="shared" si="10"/>
        <v>7</v>
      </c>
      <c r="B9" s="13" t="s">
        <v>28</v>
      </c>
      <c r="C9" s="106">
        <v>900</v>
      </c>
      <c r="D9" s="105">
        <v>26650.9</v>
      </c>
      <c r="E9" s="22">
        <f t="shared" si="1"/>
        <v>23985810</v>
      </c>
      <c r="F9" s="23">
        <f t="shared" si="2"/>
        <v>3.5944247701436616E-2</v>
      </c>
      <c r="G9" s="83">
        <v>0.1</v>
      </c>
      <c r="H9" s="83">
        <v>0.12</v>
      </c>
      <c r="I9" s="83">
        <v>0.12</v>
      </c>
      <c r="J9" s="83">
        <v>0.16</v>
      </c>
      <c r="K9" s="24"/>
      <c r="L9" s="8">
        <f t="shared" si="0"/>
        <v>990.00000000000011</v>
      </c>
      <c r="M9" s="8">
        <f t="shared" si="3"/>
        <v>1108.8000000000002</v>
      </c>
      <c r="N9" s="8">
        <f t="shared" si="4"/>
        <v>1241.8560000000002</v>
      </c>
      <c r="O9" s="8">
        <f t="shared" si="5"/>
        <v>1440.5529600000002</v>
      </c>
      <c r="P9" s="25">
        <f>D9*(1+'1'!$Z$4)</f>
        <v>27636.9833</v>
      </c>
      <c r="Q9" s="25">
        <f>P9*(1+'1'!$AA$4)</f>
        <v>28631.914698799999</v>
      </c>
      <c r="R9" s="25">
        <f>Q9*(1+'1'!$AB$4)</f>
        <v>29634.031713257998</v>
      </c>
      <c r="S9" s="25">
        <f>R9*(1+'1'!$AC$4)</f>
        <v>30582.320728082253</v>
      </c>
      <c r="T9" s="26">
        <f t="shared" si="6"/>
        <v>27360613.467000004</v>
      </c>
      <c r="U9" s="26">
        <f t="shared" si="7"/>
        <v>31747067.018029444</v>
      </c>
      <c r="V9" s="26">
        <f t="shared" si="8"/>
        <v>36801200.087299734</v>
      </c>
      <c r="W9" s="26">
        <f t="shared" si="9"/>
        <v>44055452.648508251</v>
      </c>
      <c r="X9" s="26"/>
    </row>
    <row r="10" spans="1:29">
      <c r="A10" s="21">
        <f t="shared" si="10"/>
        <v>8</v>
      </c>
      <c r="B10" s="13" t="s">
        <v>29</v>
      </c>
      <c r="C10" s="106">
        <v>800</v>
      </c>
      <c r="D10" s="105">
        <v>54020.899999999994</v>
      </c>
      <c r="E10" s="22">
        <f t="shared" si="1"/>
        <v>43216719.999999993</v>
      </c>
      <c r="F10" s="23">
        <f t="shared" si="2"/>
        <v>6.4762978132638815E-2</v>
      </c>
      <c r="G10" s="83">
        <v>0.1</v>
      </c>
      <c r="H10" s="83">
        <v>0.12</v>
      </c>
      <c r="I10" s="83">
        <v>0.12</v>
      </c>
      <c r="J10" s="83">
        <v>0.16</v>
      </c>
      <c r="K10" s="24"/>
      <c r="L10" s="8">
        <f t="shared" si="0"/>
        <v>880.00000000000011</v>
      </c>
      <c r="M10" s="8">
        <f t="shared" si="3"/>
        <v>985.60000000000025</v>
      </c>
      <c r="N10" s="8">
        <f t="shared" si="4"/>
        <v>1103.8720000000003</v>
      </c>
      <c r="O10" s="8">
        <f t="shared" si="5"/>
        <v>1280.4915200000003</v>
      </c>
      <c r="P10" s="25">
        <f>D10*(1+'1'!$Z$4)</f>
        <v>56019.673299999988</v>
      </c>
      <c r="Q10" s="25">
        <f>P10*(1+'1'!$AA$4)</f>
        <v>58036.381538799986</v>
      </c>
      <c r="R10" s="25">
        <f>Q10*(1+'1'!$AB$4)</f>
        <v>60067.654892657978</v>
      </c>
      <c r="S10" s="25">
        <f>R10*(1+'1'!$AC$4)</f>
        <v>61989.819849223037</v>
      </c>
      <c r="T10" s="26">
        <f t="shared" si="6"/>
        <v>49297312.503999993</v>
      </c>
      <c r="U10" s="26">
        <f t="shared" si="7"/>
        <v>57200657.64464128</v>
      </c>
      <c r="V10" s="26">
        <f t="shared" si="8"/>
        <v>66307002.341668166</v>
      </c>
      <c r="W10" s="26">
        <f t="shared" si="9"/>
        <v>79377438.643257797</v>
      </c>
      <c r="X10" s="26"/>
    </row>
    <row r="11" spans="1:29">
      <c r="A11" s="21">
        <f t="shared" si="10"/>
        <v>9</v>
      </c>
      <c r="B11" s="13" t="s">
        <v>30</v>
      </c>
      <c r="C11" s="106">
        <v>500</v>
      </c>
      <c r="D11" s="105">
        <v>85528.7</v>
      </c>
      <c r="E11" s="22">
        <f t="shared" si="1"/>
        <v>42764350</v>
      </c>
      <c r="F11" s="23">
        <f t="shared" si="2"/>
        <v>6.4085073182474597E-2</v>
      </c>
      <c r="G11" s="83">
        <v>0.1</v>
      </c>
      <c r="H11" s="83">
        <v>0.12</v>
      </c>
      <c r="I11" s="83">
        <v>0.12</v>
      </c>
      <c r="J11" s="83">
        <v>0.16</v>
      </c>
      <c r="K11" s="24"/>
      <c r="L11" s="8">
        <f t="shared" si="0"/>
        <v>550</v>
      </c>
      <c r="M11" s="8">
        <f t="shared" si="3"/>
        <v>616.00000000000011</v>
      </c>
      <c r="N11" s="8">
        <f t="shared" si="4"/>
        <v>689.92000000000019</v>
      </c>
      <c r="O11" s="8">
        <f t="shared" si="5"/>
        <v>800.30720000000019</v>
      </c>
      <c r="P11" s="25">
        <f>D11*(1+'1'!$Z$4)</f>
        <v>88693.261899999983</v>
      </c>
      <c r="Q11" s="25">
        <f>P11*(1+'1'!$AA$4)</f>
        <v>91886.21932839998</v>
      </c>
      <c r="R11" s="25">
        <f>Q11*(1+'1'!$AB$4)</f>
        <v>95102.237004893977</v>
      </c>
      <c r="S11" s="25">
        <f>R11*(1+'1'!$AC$4)</f>
        <v>98145.508589050587</v>
      </c>
      <c r="T11" s="26">
        <f t="shared" si="6"/>
        <v>48781294.044999994</v>
      </c>
      <c r="U11" s="26">
        <f t="shared" si="7"/>
        <v>56601911.106294401</v>
      </c>
      <c r="V11" s="26">
        <f t="shared" si="8"/>
        <v>65612935.354416467</v>
      </c>
      <c r="W11" s="26">
        <f t="shared" si="9"/>
        <v>78546557.171479046</v>
      </c>
      <c r="X11" s="26"/>
    </row>
    <row r="12" spans="1:29">
      <c r="A12" s="21">
        <f t="shared" si="10"/>
        <v>10</v>
      </c>
      <c r="B12" s="13" t="s">
        <v>31</v>
      </c>
      <c r="C12" s="106">
        <v>500</v>
      </c>
      <c r="D12" s="105">
        <v>137365.1</v>
      </c>
      <c r="E12" s="22">
        <f t="shared" si="1"/>
        <v>68682550</v>
      </c>
      <c r="F12" s="23">
        <f t="shared" si="2"/>
        <v>0.10292512906448877</v>
      </c>
      <c r="G12" s="83">
        <v>0.1</v>
      </c>
      <c r="H12" s="83">
        <v>0.12</v>
      </c>
      <c r="I12" s="83">
        <v>0.12</v>
      </c>
      <c r="J12" s="83">
        <v>0.16</v>
      </c>
      <c r="K12" s="24"/>
      <c r="L12" s="8">
        <f t="shared" si="0"/>
        <v>550</v>
      </c>
      <c r="M12" s="8">
        <f t="shared" si="3"/>
        <v>616.00000000000011</v>
      </c>
      <c r="N12" s="8">
        <f t="shared" si="4"/>
        <v>689.92000000000019</v>
      </c>
      <c r="O12" s="8">
        <f t="shared" si="5"/>
        <v>800.30720000000019</v>
      </c>
      <c r="P12" s="25">
        <f>D12*(1+'1'!$Z$4)</f>
        <v>142447.60869999998</v>
      </c>
      <c r="Q12" s="25">
        <f>P12*(1+'1'!$AA$4)</f>
        <v>147575.72261319999</v>
      </c>
      <c r="R12" s="25">
        <f>Q12*(1+'1'!$AB$4)</f>
        <v>152740.87290466198</v>
      </c>
      <c r="S12" s="25">
        <f>R12*(1+'1'!$AC$4)</f>
        <v>157628.58083761117</v>
      </c>
      <c r="T12" s="26">
        <f t="shared" si="6"/>
        <v>78346184.784999996</v>
      </c>
      <c r="U12" s="26">
        <f t="shared" si="7"/>
        <v>90906645.129731208</v>
      </c>
      <c r="V12" s="26">
        <f t="shared" si="8"/>
        <v>105378983.03438443</v>
      </c>
      <c r="W12" s="26">
        <f t="shared" si="9"/>
        <v>126151288.17012228</v>
      </c>
      <c r="X12" s="26"/>
    </row>
    <row r="13" spans="1:29">
      <c r="D13" s="8" t="s">
        <v>32</v>
      </c>
      <c r="E13" s="33">
        <f>SUM(E3:E12)</f>
        <v>667305940</v>
      </c>
      <c r="F13" s="34">
        <f>SUM(F3:F12)</f>
        <v>1</v>
      </c>
      <c r="T13" s="35">
        <f>SUM(T3:T12)</f>
        <v>761195885.75799978</v>
      </c>
      <c r="U13" s="35">
        <f>SUM(U3:U12)</f>
        <v>883230810.16272259</v>
      </c>
      <c r="V13" s="35">
        <f>SUM(V3:V12)</f>
        <v>1025363513.7785139</v>
      </c>
      <c r="W13" s="35">
        <f>SUM(W3:W12)</f>
        <v>1227483169.6145349</v>
      </c>
      <c r="X13" s="26"/>
    </row>
    <row r="15" spans="1:29" ht="23.25" customHeight="1">
      <c r="A15" s="144" t="s">
        <v>33</v>
      </c>
      <c r="B15" s="144"/>
      <c r="C15" s="144"/>
      <c r="D15" s="144"/>
      <c r="E15" s="144"/>
      <c r="G15" s="36"/>
    </row>
    <row r="16" spans="1:29" ht="25.5" customHeight="1">
      <c r="B16" s="17" t="s">
        <v>34</v>
      </c>
      <c r="C16" s="37" t="s">
        <v>6</v>
      </c>
      <c r="D16" s="82" t="s">
        <v>35</v>
      </c>
      <c r="E16" s="18" t="s">
        <v>36</v>
      </c>
      <c r="L16" s="8">
        <f>L2</f>
        <v>2025</v>
      </c>
      <c r="M16" s="8">
        <f t="shared" ref="M16:W16" si="11">M2</f>
        <v>2026</v>
      </c>
      <c r="N16" s="8">
        <f t="shared" si="11"/>
        <v>2027</v>
      </c>
      <c r="O16" s="8">
        <f t="shared" si="11"/>
        <v>2028</v>
      </c>
      <c r="P16" s="8" t="str">
        <f t="shared" si="11"/>
        <v>AÑO 2</v>
      </c>
      <c r="Q16" s="8" t="str">
        <f t="shared" si="11"/>
        <v>AÑO 3</v>
      </c>
      <c r="R16" s="8" t="str">
        <f t="shared" si="11"/>
        <v>AÑO 4</v>
      </c>
      <c r="S16" s="8" t="str">
        <f t="shared" si="11"/>
        <v>AÑO 5</v>
      </c>
      <c r="T16" s="8" t="str">
        <f t="shared" si="11"/>
        <v>año 2</v>
      </c>
      <c r="U16" s="8" t="str">
        <f t="shared" si="11"/>
        <v>año 3</v>
      </c>
      <c r="V16" s="8" t="str">
        <f t="shared" si="11"/>
        <v>año 4</v>
      </c>
      <c r="W16" s="8" t="str">
        <f t="shared" si="11"/>
        <v>año 5</v>
      </c>
    </row>
    <row r="17" spans="1:24">
      <c r="A17" s="21">
        <f>A3</f>
        <v>1</v>
      </c>
      <c r="B17" s="79" t="str">
        <f>B3</f>
        <v>Viajes de 10000 mt  Automovil</v>
      </c>
      <c r="C17" s="39">
        <f>C3</f>
        <v>15000</v>
      </c>
      <c r="D17" s="105">
        <v>1000</v>
      </c>
      <c r="E17" s="22">
        <f>C17*D17</f>
        <v>15000000</v>
      </c>
      <c r="F17" s="23">
        <f>IF($E$27=0,0,E17/$E$27)</f>
        <v>4.5925673278024534E-2</v>
      </c>
      <c r="L17" s="8">
        <f t="shared" ref="L17:L26" si="12">C17*(1+G3)</f>
        <v>16500</v>
      </c>
      <c r="M17" s="8">
        <f>L17*(1+H3)</f>
        <v>18480</v>
      </c>
      <c r="N17" s="8">
        <f>M17*(1+I3)</f>
        <v>21067.200000000001</v>
      </c>
      <c r="O17" s="8">
        <f>N17*(1+J3)</f>
        <v>24437.951999999997</v>
      </c>
      <c r="P17" s="40">
        <f>D17*(1+'1'!$Z$5)</f>
        <v>1012.9999999999999</v>
      </c>
      <c r="Q17" s="25">
        <f>P17*(1+'1'!$AA$5)</f>
        <v>1026.1689999999999</v>
      </c>
      <c r="R17" s="25">
        <f>Q17*(1+'1'!$AB$5)</f>
        <v>1039.5091969999999</v>
      </c>
      <c r="S17" s="25">
        <f>R17*(1+'1'!$AC$5)</f>
        <v>1053.0228165609997</v>
      </c>
      <c r="T17" s="40">
        <f t="shared" ref="T17:U19" si="13">L17*P17</f>
        <v>16714499.999999998</v>
      </c>
      <c r="U17" s="26">
        <f t="shared" si="13"/>
        <v>18963603.119999997</v>
      </c>
      <c r="V17" s="26">
        <f>N17*R17</f>
        <v>21899548.155038398</v>
      </c>
      <c r="W17" s="26">
        <f>O17*S17</f>
        <v>25733721.046022512</v>
      </c>
      <c r="X17" s="26"/>
    </row>
    <row r="18" spans="1:24">
      <c r="A18" s="21">
        <f t="shared" ref="A18:B25" si="14">A4</f>
        <v>2</v>
      </c>
      <c r="B18" s="41" t="str">
        <f t="shared" si="14"/>
        <v xml:space="preserve">Viajes de 20000 mt  Automovil </v>
      </c>
      <c r="C18" s="39">
        <f t="shared" ref="C18:C26" si="15">C4</f>
        <v>14000</v>
      </c>
      <c r="D18" s="105">
        <v>2499</v>
      </c>
      <c r="E18" s="22">
        <f t="shared" ref="E18:E26" si="16">C18*D18</f>
        <v>34986000</v>
      </c>
      <c r="F18" s="23">
        <f t="shared" ref="F18:F26" si="17">IF($E$27=0,0,E18/$E$27)</f>
        <v>0.10711704035366443</v>
      </c>
      <c r="L18" s="8">
        <f t="shared" si="12"/>
        <v>15400.000000000002</v>
      </c>
      <c r="M18" s="8">
        <f t="shared" ref="M18:M26" si="18">L18*(1+H4)</f>
        <v>17248.000000000004</v>
      </c>
      <c r="N18" s="8">
        <f t="shared" ref="N18:N26" si="19">M18*(1+I4)</f>
        <v>19317.760000000006</v>
      </c>
      <c r="O18" s="8">
        <f t="shared" ref="O18:O26" si="20">N18*(1+J4)</f>
        <v>22408.601600000005</v>
      </c>
      <c r="P18" s="40">
        <f>D18*(1+'1'!$Z$5)</f>
        <v>2531.4869999999996</v>
      </c>
      <c r="Q18" s="25">
        <f>P18*(1+'1'!$AA$5)</f>
        <v>2564.3963309999995</v>
      </c>
      <c r="R18" s="25">
        <f>Q18*(1+'1'!$AB$5)</f>
        <v>2597.733483302999</v>
      </c>
      <c r="S18" s="25">
        <f>R18*(1+'1'!$AC$5)</f>
        <v>2631.504018585938</v>
      </c>
      <c r="T18" s="40">
        <f t="shared" si="13"/>
        <v>38984899.799999997</v>
      </c>
      <c r="U18" s="26">
        <f t="shared" si="13"/>
        <v>44230707.917088002</v>
      </c>
      <c r="V18" s="26">
        <f t="shared" ref="V18:V26" si="21">N18*R18</f>
        <v>50182391.974411361</v>
      </c>
      <c r="W18" s="26">
        <f t="shared" ref="W18:W26" si="22">O18*S18</f>
        <v>58968325.161291294</v>
      </c>
      <c r="X18" s="26"/>
    </row>
    <row r="19" spans="1:24">
      <c r="A19" s="21">
        <f t="shared" si="14"/>
        <v>3</v>
      </c>
      <c r="B19" s="41" t="str">
        <f t="shared" si="14"/>
        <v xml:space="preserve">Viajes de 30000 mt  Automovil </v>
      </c>
      <c r="C19" s="39">
        <f t="shared" si="15"/>
        <v>4000</v>
      </c>
      <c r="D19" s="105">
        <v>11693</v>
      </c>
      <c r="E19" s="22">
        <f t="shared" si="16"/>
        <v>46772000</v>
      </c>
      <c r="F19" s="23">
        <f t="shared" si="17"/>
        <v>0.14320237270398423</v>
      </c>
      <c r="L19" s="8">
        <f t="shared" si="12"/>
        <v>4400</v>
      </c>
      <c r="M19" s="8">
        <f t="shared" si="18"/>
        <v>4928.0000000000009</v>
      </c>
      <c r="N19" s="8">
        <f t="shared" si="19"/>
        <v>5519.3600000000015</v>
      </c>
      <c r="O19" s="8">
        <f t="shared" si="20"/>
        <v>6402.4576000000015</v>
      </c>
      <c r="P19" s="40">
        <f>D19*(1+'1'!$Z$5)</f>
        <v>11845.008999999998</v>
      </c>
      <c r="Q19" s="25">
        <f>P19*(1+'1'!$AA$5)</f>
        <v>11998.994116999997</v>
      </c>
      <c r="R19" s="25">
        <f>Q19*(1+'1'!$AB$5)</f>
        <v>12154.981040520996</v>
      </c>
      <c r="S19" s="25">
        <f>R19*(1+'1'!$AC$5)</f>
        <v>12312.995794047767</v>
      </c>
      <c r="T19" s="40">
        <f t="shared" si="13"/>
        <v>52118039.599999994</v>
      </c>
      <c r="U19" s="26">
        <f t="shared" si="13"/>
        <v>59131043.008575991</v>
      </c>
      <c r="V19" s="26">
        <f t="shared" si="21"/>
        <v>67087716.155809984</v>
      </c>
      <c r="W19" s="26">
        <f t="shared" si="22"/>
        <v>78833433.500369176</v>
      </c>
      <c r="X19" s="26"/>
    </row>
    <row r="20" spans="1:24">
      <c r="A20" s="21">
        <f t="shared" si="14"/>
        <v>4</v>
      </c>
      <c r="B20" s="41" t="str">
        <f t="shared" si="14"/>
        <v xml:space="preserve">Viajes de 40000 mt  Automovil </v>
      </c>
      <c r="C20" s="39">
        <f t="shared" si="15"/>
        <v>1200</v>
      </c>
      <c r="D20" s="105">
        <v>23978</v>
      </c>
      <c r="E20" s="22">
        <f t="shared" si="16"/>
        <v>28773600</v>
      </c>
      <c r="F20" s="23">
        <f t="shared" si="17"/>
        <v>8.8096463508837777E-2</v>
      </c>
      <c r="L20" s="8">
        <f t="shared" si="12"/>
        <v>1320</v>
      </c>
      <c r="M20" s="8">
        <f t="shared" si="18"/>
        <v>1478.4</v>
      </c>
      <c r="N20" s="8">
        <f t="shared" si="19"/>
        <v>1655.8080000000002</v>
      </c>
      <c r="O20" s="8">
        <f t="shared" si="20"/>
        <v>1920.7372800000001</v>
      </c>
      <c r="P20" s="40">
        <f>D20*(1+'1'!$Z$5)</f>
        <v>24289.713999999996</v>
      </c>
      <c r="Q20" s="25">
        <f>P20*(1+'1'!$AA$5)</f>
        <v>24605.480281999993</v>
      </c>
      <c r="R20" s="25">
        <f>Q20*(1+'1'!$AB$5)</f>
        <v>24925.351525665992</v>
      </c>
      <c r="S20" s="25">
        <f>R20*(1+'1'!$AC$5)</f>
        <v>25249.381095499648</v>
      </c>
      <c r="T20" s="40">
        <f t="shared" ref="T20:T26" si="23">L20*P20</f>
        <v>32062422.479999997</v>
      </c>
      <c r="U20" s="26">
        <f t="shared" ref="U20:U26" si="24">M20*Q20</f>
        <v>36376742.048908792</v>
      </c>
      <c r="V20" s="26">
        <f t="shared" si="21"/>
        <v>41271596.45900996</v>
      </c>
      <c r="W20" s="26">
        <f t="shared" si="22"/>
        <v>48497427.567053415</v>
      </c>
      <c r="X20" s="26"/>
    </row>
    <row r="21" spans="1:24">
      <c r="A21" s="21">
        <f t="shared" si="14"/>
        <v>5</v>
      </c>
      <c r="B21" s="41" t="str">
        <f t="shared" si="14"/>
        <v>Viajes de 50000 mt Automovil</v>
      </c>
      <c r="C21" s="39">
        <f t="shared" si="15"/>
        <v>700</v>
      </c>
      <c r="D21" s="105">
        <v>42786</v>
      </c>
      <c r="E21" s="22">
        <f t="shared" si="16"/>
        <v>29950200</v>
      </c>
      <c r="F21" s="23">
        <f t="shared" si="17"/>
        <v>9.1698873320766025E-2</v>
      </c>
      <c r="L21" s="8">
        <f t="shared" si="12"/>
        <v>770.00000000000011</v>
      </c>
      <c r="M21" s="8">
        <f t="shared" si="18"/>
        <v>862.4000000000002</v>
      </c>
      <c r="N21" s="8">
        <f t="shared" si="19"/>
        <v>965.88800000000037</v>
      </c>
      <c r="O21" s="8">
        <f t="shared" si="20"/>
        <v>1120.4300800000003</v>
      </c>
      <c r="P21" s="40">
        <f>D21*(1+'1'!$Z$5)</f>
        <v>43342.217999999993</v>
      </c>
      <c r="Q21" s="25">
        <f>P21*(1+'1'!$AA$5)</f>
        <v>43905.666833999989</v>
      </c>
      <c r="R21" s="25">
        <f>Q21*(1+'1'!$AB$5)</f>
        <v>44476.440502841986</v>
      </c>
      <c r="S21" s="25">
        <f>R21*(1+'1'!$AC$5)</f>
        <v>45054.634229378928</v>
      </c>
      <c r="T21" s="40">
        <f t="shared" si="23"/>
        <v>33373507.859999999</v>
      </c>
      <c r="U21" s="26">
        <f t="shared" si="24"/>
        <v>37864247.077641599</v>
      </c>
      <c r="V21" s="26">
        <f t="shared" si="21"/>
        <v>42959260.164409056</v>
      </c>
      <c r="W21" s="26">
        <f t="shared" si="22"/>
        <v>50480567.433993787</v>
      </c>
      <c r="X21" s="26"/>
    </row>
    <row r="22" spans="1:24">
      <c r="A22" s="21">
        <f t="shared" si="14"/>
        <v>6</v>
      </c>
      <c r="B22" s="41" t="str">
        <f t="shared" si="14"/>
        <v xml:space="preserve">Viajes de 10000 mt  Van </v>
      </c>
      <c r="C22" s="39">
        <f t="shared" si="15"/>
        <v>7500</v>
      </c>
      <c r="D22" s="105">
        <v>8806</v>
      </c>
      <c r="E22" s="22">
        <f t="shared" si="16"/>
        <v>66045000</v>
      </c>
      <c r="F22" s="23">
        <f t="shared" si="17"/>
        <v>0.20221073944314202</v>
      </c>
      <c r="L22" s="8">
        <f t="shared" si="12"/>
        <v>8250</v>
      </c>
      <c r="M22" s="8">
        <f t="shared" si="18"/>
        <v>9240</v>
      </c>
      <c r="N22" s="8">
        <f t="shared" si="19"/>
        <v>10348.800000000001</v>
      </c>
      <c r="O22" s="8">
        <f t="shared" si="20"/>
        <v>12004.608</v>
      </c>
      <c r="P22" s="40">
        <f>D22*(1+'1'!$Z$5)</f>
        <v>8920.4779999999992</v>
      </c>
      <c r="Q22" s="25">
        <f>P22*(1+'1'!$AA$5)</f>
        <v>9036.4442139999974</v>
      </c>
      <c r="R22" s="25">
        <f>Q22*(1+'1'!$AB$5)</f>
        <v>9153.9179887819973</v>
      </c>
      <c r="S22" s="25">
        <f>R22*(1+'1'!$AC$5)</f>
        <v>9272.9189226361632</v>
      </c>
      <c r="T22" s="40">
        <f t="shared" si="23"/>
        <v>73593943.5</v>
      </c>
      <c r="U22" s="26">
        <f t="shared" si="24"/>
        <v>83496744.537359983</v>
      </c>
      <c r="V22" s="26">
        <f t="shared" si="21"/>
        <v>94732066.482307151</v>
      </c>
      <c r="W22" s="26">
        <f t="shared" si="22"/>
        <v>111317756.68202947</v>
      </c>
      <c r="X22" s="26"/>
    </row>
    <row r="23" spans="1:24">
      <c r="A23" s="21">
        <f t="shared" si="14"/>
        <v>7</v>
      </c>
      <c r="B23" s="41" t="str">
        <f t="shared" si="14"/>
        <v xml:space="preserve">Viajes de 20000 mt  Van </v>
      </c>
      <c r="C23" s="39">
        <f t="shared" si="15"/>
        <v>900</v>
      </c>
      <c r="D23" s="105">
        <v>15677</v>
      </c>
      <c r="E23" s="22">
        <f t="shared" si="16"/>
        <v>14109300</v>
      </c>
      <c r="F23" s="23">
        <f t="shared" si="17"/>
        <v>4.3198606798775435E-2</v>
      </c>
      <c r="L23" s="8">
        <f t="shared" si="12"/>
        <v>990.00000000000011</v>
      </c>
      <c r="M23" s="8">
        <f t="shared" si="18"/>
        <v>1108.8000000000002</v>
      </c>
      <c r="N23" s="8">
        <f t="shared" si="19"/>
        <v>1241.8560000000002</v>
      </c>
      <c r="O23" s="8">
        <f t="shared" si="20"/>
        <v>1440.5529600000002</v>
      </c>
      <c r="P23" s="40">
        <f>D23*(1+'1'!$Z$5)</f>
        <v>15880.800999999998</v>
      </c>
      <c r="Q23" s="25">
        <f>P23*(1+'1'!$AA$5)</f>
        <v>16087.251412999996</v>
      </c>
      <c r="R23" s="25">
        <f>Q23*(1+'1'!$AB$5)</f>
        <v>16296.385681368994</v>
      </c>
      <c r="S23" s="25">
        <f>R23*(1+'1'!$AC$5)</f>
        <v>16508.238695226792</v>
      </c>
      <c r="T23" s="40">
        <f t="shared" si="23"/>
        <v>15721992.99</v>
      </c>
      <c r="U23" s="26">
        <f t="shared" si="24"/>
        <v>17837544.3667344</v>
      </c>
      <c r="V23" s="26">
        <f t="shared" si="21"/>
        <v>20237764.336722177</v>
      </c>
      <c r="W23" s="26">
        <f t="shared" si="22"/>
        <v>23780992.116795495</v>
      </c>
      <c r="X23" s="26"/>
    </row>
    <row r="24" spans="1:24">
      <c r="A24" s="21">
        <f t="shared" si="14"/>
        <v>8</v>
      </c>
      <c r="B24" s="41" t="str">
        <f t="shared" si="14"/>
        <v xml:space="preserve">Viajes de 30000 mt  Van </v>
      </c>
      <c r="C24" s="39">
        <f t="shared" si="15"/>
        <v>800</v>
      </c>
      <c r="D24" s="105">
        <v>31777</v>
      </c>
      <c r="E24" s="22">
        <f t="shared" si="16"/>
        <v>25421600</v>
      </c>
      <c r="F24" s="23">
        <f t="shared" si="17"/>
        <v>7.7833606386975229E-2</v>
      </c>
      <c r="L24" s="8">
        <f t="shared" si="12"/>
        <v>880.00000000000011</v>
      </c>
      <c r="M24" s="8">
        <f t="shared" si="18"/>
        <v>985.60000000000025</v>
      </c>
      <c r="N24" s="8">
        <f t="shared" si="19"/>
        <v>1103.8720000000003</v>
      </c>
      <c r="O24" s="8">
        <f t="shared" si="20"/>
        <v>1280.4915200000003</v>
      </c>
      <c r="P24" s="40">
        <f>D24*(1+'1'!$Z$5)</f>
        <v>32190.100999999995</v>
      </c>
      <c r="Q24" s="25">
        <f>P24*(1+'1'!$AA$5)</f>
        <v>32608.572312999993</v>
      </c>
      <c r="R24" s="25">
        <f>Q24*(1+'1'!$AB$5)</f>
        <v>33032.483753068991</v>
      </c>
      <c r="S24" s="25">
        <f>R24*(1+'1'!$AC$5)</f>
        <v>33461.906041858885</v>
      </c>
      <c r="T24" s="40">
        <f t="shared" si="23"/>
        <v>28327288.879999999</v>
      </c>
      <c r="U24" s="26">
        <f t="shared" si="24"/>
        <v>32139008.871692803</v>
      </c>
      <c r="V24" s="26">
        <f t="shared" si="21"/>
        <v>36463633.905467786</v>
      </c>
      <c r="W24" s="26">
        <f t="shared" si="22"/>
        <v>42847686.929637074</v>
      </c>
      <c r="X24" s="26"/>
    </row>
    <row r="25" spans="1:24">
      <c r="A25" s="21">
        <f t="shared" si="14"/>
        <v>9</v>
      </c>
      <c r="B25" s="41" t="str">
        <f t="shared" si="14"/>
        <v xml:space="preserve">Viajes de 40000 mt  Van </v>
      </c>
      <c r="C25" s="39">
        <f t="shared" si="15"/>
        <v>500</v>
      </c>
      <c r="D25" s="105">
        <v>50311</v>
      </c>
      <c r="E25" s="22">
        <f t="shared" si="16"/>
        <v>25155500</v>
      </c>
      <c r="F25" s="23">
        <f t="shared" si="17"/>
        <v>7.7018884943023072E-2</v>
      </c>
      <c r="L25" s="8">
        <f t="shared" si="12"/>
        <v>550</v>
      </c>
      <c r="M25" s="8">
        <f t="shared" si="18"/>
        <v>616.00000000000011</v>
      </c>
      <c r="N25" s="8">
        <f t="shared" si="19"/>
        <v>689.92000000000019</v>
      </c>
      <c r="O25" s="8">
        <f t="shared" si="20"/>
        <v>800.30720000000019</v>
      </c>
      <c r="P25" s="40">
        <f>D25*(1+'1'!$Z$5)</f>
        <v>50965.042999999998</v>
      </c>
      <c r="Q25" s="25">
        <f>P25*(1+'1'!$AA$5)</f>
        <v>51627.588558999996</v>
      </c>
      <c r="R25" s="25">
        <f>Q25*(1+'1'!$AB$5)</f>
        <v>52298.747210266993</v>
      </c>
      <c r="S25" s="25">
        <f>R25*(1+'1'!$AC$5)</f>
        <v>52978.630924000456</v>
      </c>
      <c r="T25" s="40">
        <f t="shared" si="23"/>
        <v>28030773.649999999</v>
      </c>
      <c r="U25" s="26">
        <f t="shared" si="24"/>
        <v>31802594.552344002</v>
      </c>
      <c r="V25" s="26">
        <f t="shared" si="21"/>
        <v>36081951.675307415</v>
      </c>
      <c r="W25" s="26">
        <f t="shared" si="22"/>
        <v>42399179.774620228</v>
      </c>
      <c r="X25" s="26"/>
    </row>
    <row r="26" spans="1:24">
      <c r="A26" s="21">
        <f>A12</f>
        <v>10</v>
      </c>
      <c r="B26" s="41" t="str">
        <f>B12</f>
        <v xml:space="preserve">Viajes de 50000 mt Van </v>
      </c>
      <c r="C26" s="39">
        <f t="shared" si="15"/>
        <v>500</v>
      </c>
      <c r="D26" s="105">
        <v>80803</v>
      </c>
      <c r="E26" s="22">
        <f t="shared" si="16"/>
        <v>40401500</v>
      </c>
      <c r="F26" s="23">
        <f t="shared" si="17"/>
        <v>0.12369773926280722</v>
      </c>
      <c r="L26" s="8">
        <f t="shared" si="12"/>
        <v>550</v>
      </c>
      <c r="M26" s="8">
        <f t="shared" si="18"/>
        <v>616.00000000000011</v>
      </c>
      <c r="N26" s="8">
        <f t="shared" si="19"/>
        <v>689.92000000000019</v>
      </c>
      <c r="O26" s="8">
        <f t="shared" si="20"/>
        <v>800.30720000000019</v>
      </c>
      <c r="P26" s="40">
        <f>D26*(1+'1'!$Z$5)</f>
        <v>81853.438999999998</v>
      </c>
      <c r="Q26" s="25">
        <f>P26*(1+'1'!$AA$5)</f>
        <v>82917.533706999995</v>
      </c>
      <c r="R26" s="25">
        <f>Q26*(1+'1'!$AB$5)</f>
        <v>83995.461645190982</v>
      </c>
      <c r="S26" s="25">
        <f>R26*(1+'1'!$AC$5)</f>
        <v>85087.402646578455</v>
      </c>
      <c r="T26" s="40">
        <f t="shared" si="23"/>
        <v>45019391.449999996</v>
      </c>
      <c r="U26" s="26">
        <f t="shared" si="24"/>
        <v>51077200.763512008</v>
      </c>
      <c r="V26" s="26">
        <f t="shared" si="21"/>
        <v>57950148.898250178</v>
      </c>
      <c r="W26" s="26">
        <f t="shared" si="22"/>
        <v>68096060.967355803</v>
      </c>
      <c r="X26" s="26"/>
    </row>
    <row r="27" spans="1:24">
      <c r="D27" s="8" t="str">
        <f>D13</f>
        <v>TOTAL</v>
      </c>
      <c r="E27" s="33">
        <f>SUM(E17:E26)</f>
        <v>326614700</v>
      </c>
      <c r="F27" s="34">
        <f>SUM(F17:F26)</f>
        <v>1</v>
      </c>
      <c r="T27" s="35">
        <f>SUM(T17:T26)</f>
        <v>363946760.20999998</v>
      </c>
      <c r="U27" s="35">
        <f>SUM(U17:U26)</f>
        <v>412919436.26385754</v>
      </c>
      <c r="V27" s="35">
        <f>SUM(V17:V26)</f>
        <v>468866078.20673341</v>
      </c>
      <c r="W27" s="35">
        <f>SUM(W17:W26)</f>
        <v>550955151.17916822</v>
      </c>
      <c r="X27" s="26"/>
    </row>
    <row r="30" spans="1:24">
      <c r="A30" s="143" t="s">
        <v>37</v>
      </c>
      <c r="B30" s="143"/>
      <c r="C30" s="143"/>
      <c r="D30" s="143"/>
      <c r="E30" s="143"/>
      <c r="F30" s="143"/>
    </row>
    <row r="31" spans="1:24" ht="26.25">
      <c r="A31" s="42" t="s">
        <v>19</v>
      </c>
      <c r="B31" s="43">
        <f>'1'!Z1</f>
        <v>2024</v>
      </c>
      <c r="C31" s="43">
        <f>B31+1</f>
        <v>2025</v>
      </c>
      <c r="D31" s="43">
        <f>C31+1</f>
        <v>2026</v>
      </c>
      <c r="E31" s="43">
        <f>D31+1</f>
        <v>2027</v>
      </c>
      <c r="F31" s="43">
        <f>E31+1</f>
        <v>2028</v>
      </c>
      <c r="H31" s="44"/>
      <c r="I31" s="44"/>
      <c r="J31" s="44"/>
      <c r="K31" s="44"/>
      <c r="L31" s="44"/>
      <c r="M31" s="44"/>
      <c r="N31" s="44"/>
      <c r="O31" s="44"/>
      <c r="P31" s="44"/>
      <c r="Q31" s="44"/>
      <c r="R31" s="44"/>
      <c r="S31" s="44"/>
      <c r="T31" s="44"/>
      <c r="U31" s="44"/>
      <c r="V31" s="44"/>
    </row>
    <row r="32" spans="1:24" ht="15.75">
      <c r="A32" s="100" t="s">
        <v>38</v>
      </c>
      <c r="B32" s="101">
        <f>'1'!E13</f>
        <v>667305940</v>
      </c>
      <c r="C32" s="102">
        <f>'1'!T13</f>
        <v>761195885.75799978</v>
      </c>
      <c r="D32" s="102">
        <f>'1'!U13</f>
        <v>883230810.16272259</v>
      </c>
      <c r="E32" s="102">
        <f>'1'!V13</f>
        <v>1025363513.7785139</v>
      </c>
      <c r="F32" s="102">
        <f>'1'!W13</f>
        <v>1227483169.6145349</v>
      </c>
    </row>
    <row r="33" spans="1:6" ht="15.75">
      <c r="A33" s="100" t="s">
        <v>39</v>
      </c>
      <c r="B33" s="101">
        <f>'1'!E27</f>
        <v>326614700</v>
      </c>
      <c r="C33" s="101">
        <f>'1'!T27</f>
        <v>363946760.20999998</v>
      </c>
      <c r="D33" s="101">
        <f>'1'!U27</f>
        <v>412919436.26385754</v>
      </c>
      <c r="E33" s="101">
        <f>'1'!V27</f>
        <v>468866078.20673341</v>
      </c>
      <c r="F33" s="101">
        <f>'1'!W27</f>
        <v>550955151.17916822</v>
      </c>
    </row>
    <row r="34" spans="1:6" ht="21" thickBot="1">
      <c r="A34" s="45" t="s">
        <v>40</v>
      </c>
      <c r="B34" s="84">
        <f>B32-B33</f>
        <v>340691240</v>
      </c>
      <c r="C34" s="84">
        <f>C32-C33</f>
        <v>397249125.5479998</v>
      </c>
      <c r="D34" s="84">
        <f>D32-D33</f>
        <v>470311373.89886504</v>
      </c>
      <c r="E34" s="84">
        <f>E32-E33</f>
        <v>556497435.57178044</v>
      </c>
      <c r="F34" s="84">
        <f>F32-F33</f>
        <v>676528018.43536663</v>
      </c>
    </row>
    <row r="35" spans="1:6" ht="15.75" thickTop="1"/>
  </sheetData>
  <sheetProtection algorithmName="SHA-512" hashValue="c9OV3Zy24crzkSi7EaI7KP3HjroZ07oEdz8dffC/RK7BynzCOUXBaSy59Y/HmGQp6NyaiIvLZjFOa6GAOkVACQ==" saltValue="NEdFzlz9Mh514qFHjwxnCg=="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M31"/>
  <sheetViews>
    <sheetView showGridLines="0" zoomScaleNormal="100" workbookViewId="0">
      <pane ySplit="14" topLeftCell="A19" activePane="bottomLeft" state="frozenSplit"/>
      <selection activeCell="B40" sqref="B40"/>
      <selection pane="bottomLeft" activeCell="C11" sqref="C11"/>
    </sheetView>
  </sheetViews>
  <sheetFormatPr baseColWidth="10" defaultColWidth="11.42578125" defaultRowHeight="15"/>
  <cols>
    <col min="1" max="1" width="5.42578125" style="8" customWidth="1"/>
    <col min="2" max="2" width="29.42578125" style="8" bestFit="1" customWidth="1"/>
    <col min="3" max="3" width="28" style="8" customWidth="1"/>
    <col min="4" max="4" width="11.42578125" style="8"/>
    <col min="5" max="5" width="23.28515625" style="8" customWidth="1"/>
    <col min="6" max="6" width="64" style="8" customWidth="1"/>
    <col min="7" max="7" width="15.5703125" style="8" bestFit="1" customWidth="1"/>
    <col min="8" max="16384" width="11.42578125" style="8"/>
  </cols>
  <sheetData>
    <row r="1" spans="2:13">
      <c r="B1" s="146" t="s">
        <v>41</v>
      </c>
      <c r="C1" s="146"/>
      <c r="D1" s="146"/>
      <c r="E1" s="146"/>
      <c r="F1" s="146"/>
      <c r="G1" s="146"/>
      <c r="H1" s="146"/>
    </row>
    <row r="2" spans="2:13" ht="3.75" customHeight="1">
      <c r="B2" s="146"/>
      <c r="C2" s="146"/>
      <c r="D2" s="146"/>
      <c r="E2" s="146"/>
      <c r="F2" s="146"/>
      <c r="G2" s="146"/>
      <c r="H2" s="146"/>
    </row>
    <row r="3" spans="2:13">
      <c r="C3" s="21" t="s">
        <v>42</v>
      </c>
      <c r="F3" s="67" t="s">
        <v>43</v>
      </c>
      <c r="G3" s="99"/>
      <c r="H3" s="99"/>
      <c r="I3" s="99"/>
      <c r="J3" s="99"/>
      <c r="K3" s="99"/>
      <c r="L3" s="99"/>
      <c r="M3" s="99"/>
    </row>
    <row r="4" spans="2:13">
      <c r="B4" s="45" t="s">
        <v>44</v>
      </c>
      <c r="C4" s="14">
        <v>0</v>
      </c>
      <c r="F4" s="67"/>
      <c r="G4" s="67"/>
      <c r="H4" s="67"/>
      <c r="I4" s="99"/>
      <c r="J4" s="99"/>
      <c r="K4" s="99"/>
      <c r="L4" s="99"/>
      <c r="M4" s="99"/>
    </row>
    <row r="5" spans="2:13">
      <c r="B5" s="45" t="s">
        <v>45</v>
      </c>
      <c r="C5" s="14">
        <v>320000000</v>
      </c>
      <c r="F5" s="67">
        <v>10</v>
      </c>
      <c r="G5" s="68">
        <f t="shared" ref="G5:G11" si="0">C5/F5</f>
        <v>32000000</v>
      </c>
      <c r="H5" s="67"/>
      <c r="I5" s="99"/>
      <c r="J5" s="99"/>
      <c r="K5" s="99"/>
      <c r="L5" s="99"/>
      <c r="M5" s="99"/>
    </row>
    <row r="6" spans="2:13">
      <c r="B6" s="45" t="s">
        <v>46</v>
      </c>
      <c r="C6" s="14">
        <f>+[1]Hoja1!$D$15</f>
        <v>2999100</v>
      </c>
      <c r="F6" s="67">
        <v>5</v>
      </c>
      <c r="G6" s="68">
        <f t="shared" si="0"/>
        <v>599820</v>
      </c>
      <c r="H6" s="67"/>
      <c r="I6" s="99"/>
      <c r="J6" s="99"/>
      <c r="K6" s="99"/>
      <c r="L6" s="99"/>
      <c r="M6" s="99"/>
    </row>
    <row r="7" spans="2:13">
      <c r="B7" s="45" t="s">
        <v>47</v>
      </c>
      <c r="C7" s="14">
        <f>+[1]Hoja1!$D$10</f>
        <v>7266000</v>
      </c>
      <c r="F7" s="67">
        <v>5</v>
      </c>
      <c r="G7" s="68">
        <f t="shared" si="0"/>
        <v>1453200</v>
      </c>
      <c r="H7" s="67"/>
      <c r="I7" s="99"/>
      <c r="J7" s="99"/>
      <c r="K7" s="99"/>
      <c r="L7" s="99"/>
      <c r="M7" s="99"/>
    </row>
    <row r="8" spans="2:13">
      <c r="B8" s="45" t="s">
        <v>48</v>
      </c>
      <c r="C8" s="14">
        <v>0</v>
      </c>
      <c r="F8" s="67">
        <v>5</v>
      </c>
      <c r="G8" s="68">
        <f t="shared" si="0"/>
        <v>0</v>
      </c>
      <c r="H8" s="67"/>
      <c r="I8" s="99"/>
      <c r="J8" s="99"/>
      <c r="K8" s="99"/>
      <c r="L8" s="99"/>
      <c r="M8" s="99"/>
    </row>
    <row r="9" spans="2:13">
      <c r="B9" s="45" t="s">
        <v>49</v>
      </c>
      <c r="C9" s="14">
        <v>0</v>
      </c>
      <c r="F9" s="67">
        <v>5</v>
      </c>
      <c r="G9" s="68">
        <f t="shared" si="0"/>
        <v>0</v>
      </c>
      <c r="H9" s="67"/>
      <c r="I9" s="99"/>
      <c r="J9" s="99"/>
      <c r="K9" s="99"/>
      <c r="L9" s="99"/>
      <c r="M9" s="99"/>
    </row>
    <row r="10" spans="2:13">
      <c r="B10" s="45" t="s">
        <v>50</v>
      </c>
      <c r="C10" s="14">
        <v>0</v>
      </c>
      <c r="F10" s="67">
        <v>5</v>
      </c>
      <c r="G10" s="68">
        <f t="shared" si="0"/>
        <v>0</v>
      </c>
      <c r="H10" s="67"/>
      <c r="I10" s="99"/>
      <c r="J10" s="99"/>
      <c r="K10" s="99"/>
      <c r="L10" s="99"/>
      <c r="M10" s="99"/>
    </row>
    <row r="11" spans="2:13">
      <c r="B11" s="45" t="s">
        <v>51</v>
      </c>
      <c r="C11" s="14">
        <f>8643035+2000000</f>
        <v>10643035</v>
      </c>
      <c r="F11" s="67">
        <v>5</v>
      </c>
      <c r="G11" s="68">
        <f t="shared" si="0"/>
        <v>2128607</v>
      </c>
      <c r="H11" s="67"/>
      <c r="I11" s="99"/>
      <c r="J11" s="99"/>
      <c r="K11" s="99"/>
      <c r="L11" s="99"/>
      <c r="M11" s="99"/>
    </row>
    <row r="12" spans="2:13" ht="16.5" thickBot="1">
      <c r="B12" s="69" t="s">
        <v>52</v>
      </c>
      <c r="C12" s="70">
        <f>SUM(C4:C11)</f>
        <v>340908135</v>
      </c>
      <c r="F12" s="67"/>
      <c r="G12" s="68">
        <f>SUM(G5:G11)</f>
        <v>36181627</v>
      </c>
      <c r="H12" s="67"/>
      <c r="I12" s="99"/>
      <c r="J12" s="99"/>
      <c r="K12" s="99"/>
      <c r="L12" s="99"/>
      <c r="M12" s="99"/>
    </row>
    <row r="13" spans="2:13">
      <c r="B13" s="147" t="s">
        <v>53</v>
      </c>
      <c r="C13" s="148"/>
      <c r="D13" s="148"/>
      <c r="E13" s="148"/>
      <c r="F13" s="148"/>
      <c r="G13" s="148"/>
      <c r="H13" s="149"/>
    </row>
    <row r="14" spans="2:13" ht="15.75" thickBot="1">
      <c r="B14" s="150"/>
      <c r="C14" s="151"/>
      <c r="D14" s="151"/>
      <c r="E14" s="151"/>
      <c r="F14" s="151"/>
      <c r="G14" s="151"/>
      <c r="H14" s="152"/>
    </row>
    <row r="15" spans="2:13">
      <c r="B15" s="71"/>
      <c r="C15" s="71"/>
      <c r="D15" s="71"/>
      <c r="E15" s="71"/>
      <c r="F15" s="71"/>
      <c r="G15" s="71"/>
      <c r="H15" s="71"/>
    </row>
    <row r="16" spans="2:13">
      <c r="B16" s="69" t="s">
        <v>54</v>
      </c>
      <c r="E16" s="69" t="s">
        <v>55</v>
      </c>
      <c r="F16" s="38"/>
    </row>
    <row r="17" spans="2:6">
      <c r="C17" s="69" t="s">
        <v>56</v>
      </c>
      <c r="F17" s="69" t="str">
        <f>C17</f>
        <v>VALOR AÑO 1</v>
      </c>
    </row>
    <row r="18" spans="2:6">
      <c r="B18" s="72" t="s">
        <v>57</v>
      </c>
      <c r="C18" s="14">
        <v>69351320</v>
      </c>
      <c r="E18" s="73" t="s">
        <v>58</v>
      </c>
      <c r="F18" s="14">
        <v>30000000</v>
      </c>
    </row>
    <row r="19" spans="2:6">
      <c r="C19" s="74"/>
      <c r="E19" s="73" t="s">
        <v>59</v>
      </c>
      <c r="F19" s="14">
        <v>3660000</v>
      </c>
    </row>
    <row r="20" spans="2:6">
      <c r="B20" s="72" t="s">
        <v>60</v>
      </c>
      <c r="C20" s="14">
        <v>26796113</v>
      </c>
      <c r="E20" s="73" t="s">
        <v>61</v>
      </c>
      <c r="F20" s="14">
        <v>800000</v>
      </c>
    </row>
    <row r="21" spans="2:6">
      <c r="C21" s="74"/>
      <c r="E21" s="73" t="s">
        <v>62</v>
      </c>
      <c r="F21" s="14">
        <v>1200000</v>
      </c>
    </row>
    <row r="22" spans="2:6">
      <c r="B22" s="72" t="s">
        <v>63</v>
      </c>
      <c r="C22" s="14">
        <v>21140000</v>
      </c>
      <c r="E22" s="73" t="s">
        <v>64</v>
      </c>
      <c r="F22" s="14">
        <v>0</v>
      </c>
    </row>
    <row r="23" spans="2:6" ht="19.5" customHeight="1">
      <c r="B23" s="8" t="s">
        <v>65</v>
      </c>
      <c r="C23" s="70">
        <f>C18+C20+C22</f>
        <v>117287433</v>
      </c>
      <c r="E23" s="73" t="s">
        <v>66</v>
      </c>
      <c r="F23" s="14">
        <v>0</v>
      </c>
    </row>
    <row r="24" spans="2:6">
      <c r="E24" s="73" t="s">
        <v>67</v>
      </c>
      <c r="F24" s="14">
        <v>0</v>
      </c>
    </row>
    <row r="25" spans="2:6" ht="24.75">
      <c r="B25" s="73" t="s">
        <v>68</v>
      </c>
      <c r="C25" s="14">
        <v>3200000</v>
      </c>
      <c r="E25" s="81" t="s">
        <v>69</v>
      </c>
      <c r="F25" s="14">
        <v>6000000</v>
      </c>
    </row>
    <row r="26" spans="2:6">
      <c r="E26" s="81" t="s">
        <v>70</v>
      </c>
      <c r="F26" s="14">
        <v>0</v>
      </c>
    </row>
    <row r="27" spans="2:6" ht="24.75">
      <c r="B27" s="80" t="s">
        <v>71</v>
      </c>
      <c r="C27" s="80"/>
      <c r="E27" s="81" t="s">
        <v>72</v>
      </c>
      <c r="F27" s="104">
        <v>0</v>
      </c>
    </row>
    <row r="28" spans="2:6">
      <c r="B28" s="140">
        <f>'1'!G2</f>
        <v>2025</v>
      </c>
      <c r="C28" s="14">
        <v>3700000</v>
      </c>
      <c r="E28" s="81"/>
      <c r="F28" s="14">
        <v>0</v>
      </c>
    </row>
    <row r="29" spans="2:6">
      <c r="B29" s="140">
        <f>'1'!H2</f>
        <v>2026</v>
      </c>
      <c r="C29" s="14">
        <v>4200000</v>
      </c>
      <c r="E29" s="81"/>
      <c r="F29" s="14">
        <v>0</v>
      </c>
    </row>
    <row r="30" spans="2:6">
      <c r="B30" s="140">
        <f>'1'!I2</f>
        <v>2027</v>
      </c>
      <c r="C30" s="14">
        <v>4700000</v>
      </c>
      <c r="E30" s="81"/>
      <c r="F30" s="14">
        <v>0</v>
      </c>
    </row>
    <row r="31" spans="2:6" ht="15.75">
      <c r="B31" s="140">
        <f>'1'!J2</f>
        <v>2028</v>
      </c>
      <c r="C31" s="14">
        <v>5200000</v>
      </c>
      <c r="E31" s="73" t="s">
        <v>73</v>
      </c>
      <c r="F31" s="70">
        <f>SUM(F18:F30)</f>
        <v>41660000</v>
      </c>
    </row>
  </sheetData>
  <sheetProtection algorithmName="SHA-512" hashValue="6EroQaZZpvQBYltmXCQrJi9YJc2eXPkZiar/65bynBbeiZGTZfympwxBl/eD9Ulgnvl91UqnonGILX6DsPC9IQ==" saltValue="DMgiEL6P5GJMMp+51z0JfQ==" spinCount="100000" sheet="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tabSelected="1" workbookViewId="0">
      <selection activeCell="D16" sqref="D16"/>
    </sheetView>
  </sheetViews>
  <sheetFormatPr baseColWidth="10" defaultColWidth="11.42578125" defaultRowHeight="15"/>
  <cols>
    <col min="1" max="1" width="11.42578125" style="8"/>
    <col min="2" max="2" width="39" style="8" bestFit="1" customWidth="1"/>
    <col min="3" max="4" width="18.5703125" style="8" bestFit="1" customWidth="1"/>
    <col min="5" max="5" width="12.85546875" style="8" customWidth="1"/>
    <col min="6" max="6" width="18.140625" style="8" customWidth="1"/>
    <col min="7" max="7" width="18.28515625" style="8" customWidth="1"/>
    <col min="8" max="8" width="17.140625" style="8" customWidth="1"/>
    <col min="9" max="9" width="17" style="8" bestFit="1" customWidth="1"/>
    <col min="10" max="10" width="17.7109375" style="8" customWidth="1"/>
    <col min="11" max="16384" width="11.42578125" style="8"/>
  </cols>
  <sheetData>
    <row r="2" spans="2:12" ht="29.25" customHeight="1">
      <c r="B2" s="144" t="s">
        <v>74</v>
      </c>
      <c r="C2" s="144"/>
      <c r="D2" s="144"/>
      <c r="E2" s="144"/>
      <c r="F2" s="144"/>
      <c r="G2" s="144"/>
      <c r="H2" s="144"/>
      <c r="I2" s="144"/>
      <c r="J2" s="144"/>
    </row>
    <row r="3" spans="2:12">
      <c r="F3" s="153" t="s">
        <v>75</v>
      </c>
      <c r="G3" s="153"/>
    </row>
    <row r="4" spans="2:12" ht="15.75">
      <c r="B4" s="16" t="s">
        <v>52</v>
      </c>
      <c r="C4" s="70">
        <f>'2'!C12</f>
        <v>340908135</v>
      </c>
      <c r="F4" s="154">
        <v>0.15</v>
      </c>
      <c r="G4" s="154"/>
      <c r="I4" s="8" t="s">
        <v>76</v>
      </c>
      <c r="J4" s="98">
        <v>5</v>
      </c>
      <c r="L4" s="67">
        <v>1</v>
      </c>
    </row>
    <row r="5" spans="2:12">
      <c r="L5" s="67">
        <v>2</v>
      </c>
    </row>
    <row r="6" spans="2:12" ht="15.75" thickBot="1">
      <c r="B6" s="16" t="s">
        <v>77</v>
      </c>
      <c r="F6" s="143" t="s">
        <v>78</v>
      </c>
      <c r="G6" s="143"/>
      <c r="H6" s="143"/>
      <c r="I6" s="143"/>
      <c r="J6" s="143"/>
      <c r="L6" s="67">
        <v>3</v>
      </c>
    </row>
    <row r="7" spans="2:12">
      <c r="C7" s="75" t="s">
        <v>79</v>
      </c>
      <c r="D7" s="75" t="s">
        <v>80</v>
      </c>
      <c r="E7" s="87"/>
      <c r="F7" s="88" t="s">
        <v>81</v>
      </c>
      <c r="G7" s="88" t="s">
        <v>82</v>
      </c>
      <c r="H7" s="88" t="s">
        <v>83</v>
      </c>
      <c r="I7" s="88" t="s">
        <v>84</v>
      </c>
      <c r="J7" s="89" t="s">
        <v>85</v>
      </c>
      <c r="L7" s="67">
        <v>4</v>
      </c>
    </row>
    <row r="8" spans="2:12">
      <c r="B8" s="45" t="s">
        <v>86</v>
      </c>
      <c r="C8" s="51">
        <v>1</v>
      </c>
      <c r="D8" s="25">
        <f>('1'!B33/12)*C8</f>
        <v>27217891.666666668</v>
      </c>
      <c r="E8" s="90" t="s">
        <v>87</v>
      </c>
      <c r="F8" s="91"/>
      <c r="G8" s="91"/>
      <c r="H8" s="91"/>
      <c r="I8" s="91"/>
      <c r="J8" s="92">
        <f>D16</f>
        <v>261638312.75</v>
      </c>
      <c r="L8" s="67">
        <v>5</v>
      </c>
    </row>
    <row r="9" spans="2:12">
      <c r="B9" s="45" t="s">
        <v>88</v>
      </c>
      <c r="C9" s="51">
        <v>1</v>
      </c>
      <c r="D9" s="25">
        <f>('2'!C23/12)*C9</f>
        <v>9773952.75</v>
      </c>
      <c r="E9" s="90">
        <f>'1'!B31</f>
        <v>2024</v>
      </c>
      <c r="F9" s="94">
        <f>IF(J8&gt;0,J8,0)</f>
        <v>261638312.75</v>
      </c>
      <c r="G9" s="94">
        <f>F9*$F$4</f>
        <v>39245746.912500001</v>
      </c>
      <c r="H9" s="94">
        <f>IF(J8&lt;1,0,(I9-G9))</f>
        <v>38805030.900618382</v>
      </c>
      <c r="I9" s="94">
        <f>PMT(F4,J4,J8)*-1</f>
        <v>78050777.813118383</v>
      </c>
      <c r="J9" s="95">
        <f>F9-H9</f>
        <v>222833281.84938163</v>
      </c>
    </row>
    <row r="10" spans="2:12">
      <c r="B10" s="45" t="s">
        <v>89</v>
      </c>
      <c r="C10" s="51">
        <v>1</v>
      </c>
      <c r="D10" s="25">
        <f>('2'!C25/12)*C10</f>
        <v>266666.66666666669</v>
      </c>
      <c r="E10" s="90">
        <f>'1'!C31</f>
        <v>2025</v>
      </c>
      <c r="F10" s="94">
        <f>IF(J9&gt;0,J9,0)</f>
        <v>222833281.84938163</v>
      </c>
      <c r="G10" s="94">
        <f>F10*$F$4</f>
        <v>33424992.277407244</v>
      </c>
      <c r="H10" s="94">
        <f>IF(J9&lt;1,0,(I10-G10))</f>
        <v>44625785.535711139</v>
      </c>
      <c r="I10" s="94">
        <f>IF(J9&lt;1,0,(I9*(1+$K$7)))</f>
        <v>78050777.813118383</v>
      </c>
      <c r="J10" s="95">
        <f>F10-H10</f>
        <v>178207496.31367049</v>
      </c>
    </row>
    <row r="11" spans="2:12">
      <c r="B11" s="45" t="s">
        <v>90</v>
      </c>
      <c r="C11" s="51">
        <v>1</v>
      </c>
      <c r="D11" s="25">
        <f>('2'!F31/12)*C11</f>
        <v>3471666.6666666665</v>
      </c>
      <c r="E11" s="90">
        <f>'1'!D31</f>
        <v>2026</v>
      </c>
      <c r="F11" s="94">
        <f>IF(J10&gt;0,J10,0)</f>
        <v>178207496.31367049</v>
      </c>
      <c r="G11" s="94">
        <f>F11*$F$4</f>
        <v>26731124.447050571</v>
      </c>
      <c r="H11" s="94">
        <f>IF(J10&lt;1,0,(I11-G11))</f>
        <v>51319653.366067812</v>
      </c>
      <c r="I11" s="94">
        <f>IF(J10&lt;1,0,(I10*(1+$K$7)))</f>
        <v>78050777.813118383</v>
      </c>
      <c r="J11" s="95">
        <f>F11-H11</f>
        <v>126887842.94760267</v>
      </c>
    </row>
    <row r="12" spans="2:12" ht="15.75">
      <c r="B12" s="76" t="s">
        <v>32</v>
      </c>
      <c r="C12" s="54"/>
      <c r="D12" s="77">
        <f>SUM(D8:D11)</f>
        <v>40730177.75</v>
      </c>
      <c r="E12" s="90">
        <f>'1'!E31</f>
        <v>2027</v>
      </c>
      <c r="F12" s="94">
        <f>IF(J11&gt;0,J11,0)</f>
        <v>126887842.94760267</v>
      </c>
      <c r="G12" s="94">
        <f>F12*$F$4</f>
        <v>19033176.4421404</v>
      </c>
      <c r="H12" s="94">
        <f>IF(J11&lt;1,0,(I12-G12))</f>
        <v>59017601.370977983</v>
      </c>
      <c r="I12" s="94">
        <f>IF(J11&lt;1,0,(I11*(1+$K$7)))</f>
        <v>78050777.813118383</v>
      </c>
      <c r="J12" s="95">
        <f>F12-H12</f>
        <v>67870241.576624691</v>
      </c>
    </row>
    <row r="13" spans="2:12" ht="15.75" thickBot="1">
      <c r="E13" s="93">
        <f>'1'!F31</f>
        <v>2028</v>
      </c>
      <c r="F13" s="96">
        <f>IF(J12&gt;0,J12,0)</f>
        <v>67870241.576624691</v>
      </c>
      <c r="G13" s="96">
        <f>F13*$F$4</f>
        <v>10180536.236493703</v>
      </c>
      <c r="H13" s="96">
        <f>IF(J12&lt;1,0,(I13-G13))</f>
        <v>67870241.576624677</v>
      </c>
      <c r="I13" s="96">
        <f>IF(J12&lt;1,0,(I12*(1+$K$7)))</f>
        <v>78050777.813118383</v>
      </c>
      <c r="J13" s="97">
        <f>F13-H13</f>
        <v>0</v>
      </c>
    </row>
    <row r="14" spans="2:12" ht="15.75">
      <c r="B14" s="45" t="s">
        <v>91</v>
      </c>
      <c r="D14" s="70">
        <f>C4+D12</f>
        <v>381638312.75</v>
      </c>
    </row>
    <row r="15" spans="2:12">
      <c r="B15" s="45" t="s">
        <v>92</v>
      </c>
      <c r="D15" s="52">
        <v>120000000</v>
      </c>
    </row>
    <row r="16" spans="2:12" ht="15.75">
      <c r="B16" s="45" t="s">
        <v>93</v>
      </c>
      <c r="D16" s="78">
        <f>D14-D15</f>
        <v>261638312.75</v>
      </c>
    </row>
  </sheetData>
  <sheetProtection algorithmName="SHA-512" hashValue="O5NYs4kU2RDla5avmpVbUFwAlgQnRS+KAG4TJgbbrgnJXEeDhXLMDa8jnpKU5surrkI0IePw0cFHGExGZUnU7Q==" saltValue="jxQ+EQVom5MMBdWqfY22EA=="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80" zoomScaleNormal="80" workbookViewId="0">
      <pane xSplit="7" ySplit="1" topLeftCell="H18" activePane="bottomRight" state="frozenSplit"/>
      <selection pane="topRight" activeCell="E1" sqref="E1"/>
      <selection pane="bottomLeft" activeCell="A12" sqref="A12"/>
      <selection pane="bottomRight" activeCell="G44" sqref="G44"/>
    </sheetView>
  </sheetViews>
  <sheetFormatPr baseColWidth="10" defaultColWidth="11.42578125" defaultRowHeight="15"/>
  <cols>
    <col min="1" max="1" width="26.7109375" style="8" customWidth="1"/>
    <col min="2" max="2" width="25.85546875" style="8" bestFit="1" customWidth="1"/>
    <col min="3" max="3" width="21.7109375" style="8" bestFit="1" customWidth="1"/>
    <col min="4" max="7" width="18.42578125" style="8" bestFit="1" customWidth="1"/>
    <col min="8" max="16384" width="11.42578125" style="8"/>
  </cols>
  <sheetData>
    <row r="1" spans="1:7" ht="34.5" customHeight="1">
      <c r="A1" s="155" t="s">
        <v>94</v>
      </c>
      <c r="B1" s="155"/>
      <c r="C1" s="155"/>
      <c r="D1" s="155"/>
      <c r="E1" s="155"/>
      <c r="F1" s="155"/>
      <c r="G1" s="155"/>
    </row>
    <row r="2" spans="1:7" ht="23.25">
      <c r="A2" s="156" t="s">
        <v>95</v>
      </c>
      <c r="B2" s="156"/>
      <c r="C2" s="156"/>
      <c r="D2" s="156"/>
      <c r="E2" s="156"/>
      <c r="F2" s="156"/>
      <c r="G2" s="156"/>
    </row>
    <row r="3" spans="1:7" ht="8.25" customHeight="1">
      <c r="A3" s="141"/>
      <c r="B3" s="141"/>
      <c r="C3" s="141"/>
      <c r="D3" s="141"/>
      <c r="E3" s="141"/>
      <c r="F3" s="141"/>
      <c r="G3" s="141"/>
    </row>
    <row r="4" spans="1:7" ht="15.75">
      <c r="A4" s="157" t="s">
        <v>96</v>
      </c>
      <c r="B4" s="157"/>
      <c r="C4" s="157"/>
      <c r="D4" s="157"/>
      <c r="E4" s="157"/>
      <c r="F4" s="157"/>
      <c r="G4" s="157"/>
    </row>
    <row r="5" spans="1:7" ht="23.25">
      <c r="C5" s="56">
        <f>'1'!B31</f>
        <v>2024</v>
      </c>
      <c r="D5" s="56">
        <f>'1'!C31</f>
        <v>2025</v>
      </c>
      <c r="E5" s="56">
        <f>'1'!D31</f>
        <v>2026</v>
      </c>
      <c r="F5" s="56">
        <f>'1'!E31</f>
        <v>2027</v>
      </c>
      <c r="G5" s="56">
        <f>'1'!F31</f>
        <v>2028</v>
      </c>
    </row>
    <row r="6" spans="1:7">
      <c r="B6" s="8" t="s">
        <v>97</v>
      </c>
      <c r="C6" s="57">
        <f>'1'!B32</f>
        <v>667305940</v>
      </c>
      <c r="D6" s="57">
        <f>'1'!C32</f>
        <v>761195885.75799978</v>
      </c>
      <c r="E6" s="57">
        <f>'1'!D32</f>
        <v>883230810.16272259</v>
      </c>
      <c r="F6" s="57">
        <f>'1'!E32</f>
        <v>1025363513.7785139</v>
      </c>
      <c r="G6" s="57">
        <f>'1'!F32</f>
        <v>1227483169.6145349</v>
      </c>
    </row>
    <row r="7" spans="1:7">
      <c r="B7" s="8" t="s">
        <v>98</v>
      </c>
      <c r="C7" s="57">
        <f>'1'!B33</f>
        <v>326614700</v>
      </c>
      <c r="D7" s="57">
        <f>'1'!C33</f>
        <v>363946760.20999998</v>
      </c>
      <c r="E7" s="57">
        <f>'1'!D33</f>
        <v>412919436.26385754</v>
      </c>
      <c r="F7" s="57">
        <f>'1'!E33</f>
        <v>468866078.20673341</v>
      </c>
      <c r="G7" s="57">
        <f>'1'!F33</f>
        <v>550955151.17916822</v>
      </c>
    </row>
    <row r="8" spans="1:7" ht="15.75" thickBot="1">
      <c r="B8" s="58" t="s">
        <v>99</v>
      </c>
      <c r="C8" s="59">
        <f>C6-C7</f>
        <v>340691240</v>
      </c>
      <c r="D8" s="59">
        <f>D6-D7</f>
        <v>397249125.5479998</v>
      </c>
      <c r="E8" s="59">
        <f>E6-E7</f>
        <v>470311373.89886504</v>
      </c>
      <c r="F8" s="59">
        <f>F6-F7</f>
        <v>556497435.57178044</v>
      </c>
      <c r="G8" s="59">
        <f>G6-G7</f>
        <v>676528018.43536663</v>
      </c>
    </row>
    <row r="9" spans="1:7" ht="15.75" thickTop="1">
      <c r="B9" s="8" t="s">
        <v>100</v>
      </c>
      <c r="C9" s="103">
        <f>'2'!C23</f>
        <v>117287433</v>
      </c>
      <c r="D9" s="103">
        <f>C9*(1+'1'!Z4)</f>
        <v>121627068.021</v>
      </c>
      <c r="E9" s="103">
        <f>D9*(1+'1'!AA4)</f>
        <v>126005642.46975601</v>
      </c>
      <c r="F9" s="103">
        <f>E9*(1+'1'!AB4)</f>
        <v>130415839.95619746</v>
      </c>
      <c r="G9" s="103">
        <f>F9*(1+'1'!AC4)</f>
        <v>134589146.83479577</v>
      </c>
    </row>
    <row r="10" spans="1:7">
      <c r="B10" s="8" t="s">
        <v>101</v>
      </c>
      <c r="C10" s="103">
        <f>'2'!F31</f>
        <v>41660000</v>
      </c>
      <c r="D10" s="103">
        <f>C10*(1+'1'!Z4)</f>
        <v>43201420</v>
      </c>
      <c r="E10" s="103">
        <f>D10*(1+'1'!AA4)</f>
        <v>44756671.120000005</v>
      </c>
      <c r="F10" s="103">
        <f>E10*(1+'1'!AB4)</f>
        <v>46323154.609200001</v>
      </c>
      <c r="G10" s="103">
        <f>F10*(1+'1'!AC4)</f>
        <v>47805495.556694403</v>
      </c>
    </row>
    <row r="11" spans="1:7">
      <c r="B11" s="8" t="s">
        <v>102</v>
      </c>
      <c r="C11" s="103">
        <f>'2'!C25</f>
        <v>3200000</v>
      </c>
      <c r="D11" s="103">
        <f>'2'!C28</f>
        <v>3700000</v>
      </c>
      <c r="E11" s="103">
        <f>'2'!C29</f>
        <v>4200000</v>
      </c>
      <c r="F11" s="103">
        <f>'2'!C30</f>
        <v>4700000</v>
      </c>
      <c r="G11" s="103">
        <f>'2'!C31</f>
        <v>5200000</v>
      </c>
    </row>
    <row r="12" spans="1:7">
      <c r="B12" s="8" t="s">
        <v>103</v>
      </c>
      <c r="C12" s="103">
        <f>'2'!G12</f>
        <v>36181627</v>
      </c>
      <c r="D12" s="103">
        <f>C12</f>
        <v>36181627</v>
      </c>
      <c r="E12" s="103">
        <f>D12</f>
        <v>36181627</v>
      </c>
      <c r="F12" s="103">
        <f>E12</f>
        <v>36181627</v>
      </c>
      <c r="G12" s="103">
        <f>F12</f>
        <v>36181627</v>
      </c>
    </row>
    <row r="13" spans="1:7" ht="15.75" thickBot="1">
      <c r="B13" s="58" t="s">
        <v>104</v>
      </c>
      <c r="C13" s="60">
        <f>C8-C9-C10-C11-C12</f>
        <v>142362180</v>
      </c>
      <c r="D13" s="60">
        <f>D8-D9-D10-D11-D12</f>
        <v>192539010.52699983</v>
      </c>
      <c r="E13" s="60">
        <f>E8-E9-E10-E11-E12</f>
        <v>259167433.30910903</v>
      </c>
      <c r="F13" s="60">
        <f>F8-F9-F10-F11-F12</f>
        <v>338876814.006383</v>
      </c>
      <c r="G13" s="60">
        <f>G8-G9-G10-G11-G12</f>
        <v>452751749.04387653</v>
      </c>
    </row>
    <row r="14" spans="1:7" ht="15.75" thickTop="1">
      <c r="B14" s="8" t="s">
        <v>105</v>
      </c>
      <c r="C14" s="57">
        <f>'3'!G9</f>
        <v>39245746.912500001</v>
      </c>
      <c r="D14" s="57">
        <f>'3'!G10</f>
        <v>33424992.277407244</v>
      </c>
      <c r="E14" s="57">
        <f>'3'!G11</f>
        <v>26731124.447050571</v>
      </c>
      <c r="F14" s="57">
        <f>'3'!G12</f>
        <v>19033176.4421404</v>
      </c>
      <c r="G14" s="57">
        <f>'3'!G13</f>
        <v>10180536.236493703</v>
      </c>
    </row>
    <row r="15" spans="1:7" ht="15.75" thickBot="1">
      <c r="B15" s="58" t="s">
        <v>106</v>
      </c>
      <c r="C15" s="60">
        <f>C13-C14</f>
        <v>103116433.08750001</v>
      </c>
      <c r="D15" s="60">
        <f>D13-D14</f>
        <v>159114018.2495926</v>
      </c>
      <c r="E15" s="60">
        <f>E13-E14</f>
        <v>232436308.86205846</v>
      </c>
      <c r="F15" s="60">
        <f>F13-F14</f>
        <v>319843637.5642426</v>
      </c>
      <c r="G15" s="60">
        <f>G13-G14</f>
        <v>442571212.80738282</v>
      </c>
    </row>
    <row r="16" spans="1:7" ht="15.75" thickTop="1">
      <c r="B16" s="8" t="s">
        <v>107</v>
      </c>
      <c r="C16" s="61">
        <f>IF(C15*'1'!$AB$7&lt;0,0,C15*'1'!$AB$7)</f>
        <v>36090751.580624998</v>
      </c>
      <c r="D16" s="61">
        <f>IF(D15*'1'!$AB$7&lt;0,0,D15*'1'!$AB$7)</f>
        <v>55689906.387357406</v>
      </c>
      <c r="E16" s="61">
        <f>IF(E15*'1'!$AB$7&lt;0,0,E15*'1'!$AB$7)</f>
        <v>81352708.101720452</v>
      </c>
      <c r="F16" s="61">
        <f>IF(F15*'1'!$AB$7&lt;0,0,F15*'1'!$AB$7)</f>
        <v>111945273.1474849</v>
      </c>
      <c r="G16" s="61">
        <f>IF(G15*'1'!$AB$7&lt;0,0,G15*'1'!$AB$7)</f>
        <v>154899924.48258397</v>
      </c>
    </row>
    <row r="17" spans="1:8" ht="15.75" thickBot="1">
      <c r="B17" s="62" t="s">
        <v>108</v>
      </c>
      <c r="C17" s="63">
        <f>C15-C16</f>
        <v>67025681.506875008</v>
      </c>
      <c r="D17" s="63">
        <f>D15-D16</f>
        <v>103424111.86223519</v>
      </c>
      <c r="E17" s="63">
        <f>E15-E16</f>
        <v>151083600.76033801</v>
      </c>
      <c r="F17" s="63">
        <f>F15-F16</f>
        <v>207898364.4167577</v>
      </c>
      <c r="G17" s="63">
        <f>G15-G16</f>
        <v>287671288.32479882</v>
      </c>
    </row>
    <row r="19" spans="1:8" ht="15.75">
      <c r="A19" s="157" t="s">
        <v>109</v>
      </c>
      <c r="B19" s="157"/>
      <c r="C19" s="157"/>
      <c r="D19" s="157"/>
      <c r="E19" s="157"/>
      <c r="F19" s="157"/>
      <c r="G19" s="157"/>
    </row>
    <row r="20" spans="1:8" ht="23.25">
      <c r="B20" s="64" t="s">
        <v>87</v>
      </c>
      <c r="C20" s="56">
        <f>C5</f>
        <v>2024</v>
      </c>
      <c r="D20" s="56">
        <f>D5</f>
        <v>2025</v>
      </c>
      <c r="E20" s="56">
        <f>E5</f>
        <v>2026</v>
      </c>
      <c r="F20" s="56">
        <f>F5</f>
        <v>2027</v>
      </c>
      <c r="G20" s="56">
        <f>G5</f>
        <v>2028</v>
      </c>
    </row>
    <row r="21" spans="1:8">
      <c r="A21" s="158" t="s">
        <v>110</v>
      </c>
      <c r="B21" s="158"/>
      <c r="C21" s="158"/>
      <c r="D21" s="158"/>
      <c r="E21" s="158"/>
      <c r="F21" s="158"/>
      <c r="G21" s="158"/>
    </row>
    <row r="22" spans="1:8">
      <c r="A22" s="8" t="s">
        <v>111</v>
      </c>
      <c r="B22" s="26">
        <f t="shared" ref="B22:G22" si="0">B38-B26</f>
        <v>40730177.75</v>
      </c>
      <c r="C22" s="26">
        <f t="shared" si="0"/>
        <v>141223206.93688166</v>
      </c>
      <c r="D22" s="26">
        <f t="shared" si="0"/>
        <v>188776633.56326306</v>
      </c>
      <c r="E22" s="26">
        <f t="shared" si="0"/>
        <v>246960897.80966115</v>
      </c>
      <c r="F22" s="26">
        <f t="shared" si="0"/>
        <v>311532252.14086729</v>
      </c>
      <c r="G22" s="26">
        <f t="shared" si="0"/>
        <v>402571212.80738282</v>
      </c>
    </row>
    <row r="23" spans="1:8">
      <c r="A23" s="8" t="s">
        <v>112</v>
      </c>
      <c r="B23" s="26">
        <f>'2'!C4</f>
        <v>0</v>
      </c>
      <c r="C23" s="26">
        <f t="shared" ref="C23:G24" si="1">B23</f>
        <v>0</v>
      </c>
      <c r="D23" s="26">
        <f t="shared" si="1"/>
        <v>0</v>
      </c>
      <c r="E23" s="26">
        <f t="shared" si="1"/>
        <v>0</v>
      </c>
      <c r="F23" s="26">
        <f t="shared" si="1"/>
        <v>0</v>
      </c>
      <c r="G23" s="26">
        <f t="shared" si="1"/>
        <v>0</v>
      </c>
      <c r="H23" s="26"/>
    </row>
    <row r="24" spans="1:8">
      <c r="A24" s="8" t="s">
        <v>113</v>
      </c>
      <c r="B24" s="26">
        <f>'2'!C12-'2'!C4</f>
        <v>340908135</v>
      </c>
      <c r="C24" s="26">
        <f t="shared" si="1"/>
        <v>340908135</v>
      </c>
      <c r="D24" s="26">
        <f t="shared" si="1"/>
        <v>340908135</v>
      </c>
      <c r="E24" s="26">
        <f t="shared" si="1"/>
        <v>340908135</v>
      </c>
      <c r="F24" s="26">
        <f t="shared" si="1"/>
        <v>340908135</v>
      </c>
      <c r="G24" s="26">
        <f t="shared" si="1"/>
        <v>340908135</v>
      </c>
      <c r="H24" s="26"/>
    </row>
    <row r="25" spans="1:8">
      <c r="A25" s="8" t="s">
        <v>114</v>
      </c>
      <c r="B25" s="26">
        <v>0</v>
      </c>
      <c r="C25" s="26">
        <f>C12</f>
        <v>36181627</v>
      </c>
      <c r="D25" s="26">
        <f>D12+C12</f>
        <v>72363254</v>
      </c>
      <c r="E25" s="26">
        <f>E12+D12+C12</f>
        <v>108544881</v>
      </c>
      <c r="F25" s="26">
        <f>F12+E12+D12+C12</f>
        <v>144726508</v>
      </c>
      <c r="G25" s="26">
        <f>F25+G12</f>
        <v>180908135</v>
      </c>
      <c r="H25" s="26"/>
    </row>
    <row r="26" spans="1:8">
      <c r="A26" s="8" t="s">
        <v>115</v>
      </c>
      <c r="B26" s="26">
        <f t="shared" ref="B26:G26" si="2">B23+(B24-B25)</f>
        <v>340908135</v>
      </c>
      <c r="C26" s="26">
        <f t="shared" si="2"/>
        <v>304726508</v>
      </c>
      <c r="D26" s="26">
        <f t="shared" si="2"/>
        <v>268544881</v>
      </c>
      <c r="E26" s="26">
        <f t="shared" si="2"/>
        <v>232363254</v>
      </c>
      <c r="F26" s="26">
        <f t="shared" si="2"/>
        <v>196181627</v>
      </c>
      <c r="G26" s="26">
        <f t="shared" si="2"/>
        <v>160000000</v>
      </c>
      <c r="H26" s="26"/>
    </row>
    <row r="27" spans="1:8" ht="15.75" thickBot="1">
      <c r="A27" s="58" t="s">
        <v>116</v>
      </c>
      <c r="B27" s="65">
        <f t="shared" ref="B27:G27" si="3">B22+B26</f>
        <v>381638312.75</v>
      </c>
      <c r="C27" s="65">
        <f t="shared" si="3"/>
        <v>445949714.93688166</v>
      </c>
      <c r="D27" s="65">
        <f t="shared" si="3"/>
        <v>457321514.56326306</v>
      </c>
      <c r="E27" s="65">
        <f t="shared" si="3"/>
        <v>479324151.80966115</v>
      </c>
      <c r="F27" s="65">
        <f t="shared" si="3"/>
        <v>507713879.14086729</v>
      </c>
      <c r="G27" s="65">
        <f t="shared" si="3"/>
        <v>562571212.80738282</v>
      </c>
      <c r="H27" s="26"/>
    </row>
    <row r="28" spans="1:8" ht="15.75" thickTop="1">
      <c r="A28" s="158" t="s">
        <v>117</v>
      </c>
      <c r="B28" s="158"/>
      <c r="C28" s="158"/>
      <c r="D28" s="158"/>
      <c r="E28" s="158"/>
      <c r="F28" s="158"/>
      <c r="G28" s="158"/>
    </row>
    <row r="29" spans="1:8">
      <c r="A29" s="8" t="s">
        <v>118</v>
      </c>
      <c r="B29" s="8">
        <v>0</v>
      </c>
      <c r="C29" s="61">
        <f>C16</f>
        <v>36090751.580624998</v>
      </c>
      <c r="D29" s="61">
        <f>D16</f>
        <v>55689906.387357406</v>
      </c>
      <c r="E29" s="61">
        <f>E16</f>
        <v>81352708.101720452</v>
      </c>
      <c r="F29" s="61">
        <f>F16</f>
        <v>111945273.1474849</v>
      </c>
      <c r="G29" s="61">
        <f>G16</f>
        <v>154899924.48258397</v>
      </c>
    </row>
    <row r="30" spans="1:8">
      <c r="A30" s="8" t="s">
        <v>119</v>
      </c>
      <c r="B30" s="61">
        <f t="shared" ref="B30:G30" si="4">B29</f>
        <v>0</v>
      </c>
      <c r="C30" s="61">
        <f t="shared" si="4"/>
        <v>36090751.580624998</v>
      </c>
      <c r="D30" s="61">
        <f t="shared" si="4"/>
        <v>55689906.387357406</v>
      </c>
      <c r="E30" s="61">
        <f t="shared" si="4"/>
        <v>81352708.101720452</v>
      </c>
      <c r="F30" s="61">
        <f t="shared" si="4"/>
        <v>111945273.1474849</v>
      </c>
      <c r="G30" s="61">
        <f t="shared" si="4"/>
        <v>154899924.48258397</v>
      </c>
    </row>
    <row r="31" spans="1:8">
      <c r="A31" s="8" t="s">
        <v>120</v>
      </c>
      <c r="B31" s="25">
        <f>'3'!J8</f>
        <v>261638312.75</v>
      </c>
      <c r="C31" s="25">
        <f>'3'!J9</f>
        <v>222833281.84938163</v>
      </c>
      <c r="D31" s="25">
        <f>'3'!J10</f>
        <v>178207496.31367049</v>
      </c>
      <c r="E31" s="25">
        <f>'3'!J11</f>
        <v>126887842.94760267</v>
      </c>
      <c r="F31" s="25">
        <f>'3'!J12</f>
        <v>67870241.576624691</v>
      </c>
      <c r="G31" s="25">
        <f>'3'!J13</f>
        <v>0</v>
      </c>
    </row>
    <row r="32" spans="1:8" ht="15.75" thickBot="1">
      <c r="A32" s="58" t="s">
        <v>117</v>
      </c>
      <c r="B32" s="65">
        <f t="shared" ref="B32:G32" si="5">B30+B31</f>
        <v>261638312.75</v>
      </c>
      <c r="C32" s="65">
        <f t="shared" si="5"/>
        <v>258924033.43000662</v>
      </c>
      <c r="D32" s="65">
        <f t="shared" si="5"/>
        <v>233897402.7010279</v>
      </c>
      <c r="E32" s="65">
        <f t="shared" si="5"/>
        <v>208240551.04932314</v>
      </c>
      <c r="F32" s="65">
        <f t="shared" si="5"/>
        <v>179815514.72410959</v>
      </c>
      <c r="G32" s="65">
        <f t="shared" si="5"/>
        <v>154899924.48258397</v>
      </c>
    </row>
    <row r="33" spans="1:7" ht="15.75" thickTop="1">
      <c r="A33" s="158" t="s">
        <v>121</v>
      </c>
      <c r="B33" s="158"/>
      <c r="C33" s="158"/>
      <c r="D33" s="158"/>
      <c r="E33" s="158"/>
      <c r="F33" s="158"/>
      <c r="G33" s="158"/>
    </row>
    <row r="34" spans="1:7">
      <c r="A34" s="8" t="s">
        <v>122</v>
      </c>
      <c r="B34" s="26">
        <f>'3'!D15</f>
        <v>120000000</v>
      </c>
      <c r="C34" s="26">
        <f>B34</f>
        <v>120000000</v>
      </c>
      <c r="D34" s="26">
        <f>C34</f>
        <v>120000000</v>
      </c>
      <c r="E34" s="26">
        <f>D34</f>
        <v>120000000</v>
      </c>
      <c r="F34" s="26">
        <f>E34</f>
        <v>120000000</v>
      </c>
      <c r="G34" s="26">
        <f>F34</f>
        <v>120000000</v>
      </c>
    </row>
    <row r="35" spans="1:7">
      <c r="A35" s="8" t="s">
        <v>123</v>
      </c>
      <c r="B35" s="8">
        <v>0</v>
      </c>
      <c r="C35" s="61">
        <f>C17</f>
        <v>67025681.506875008</v>
      </c>
      <c r="D35" s="61">
        <f>D17</f>
        <v>103424111.86223519</v>
      </c>
      <c r="E35" s="61">
        <f>E17</f>
        <v>151083600.76033801</v>
      </c>
      <c r="F35" s="61">
        <f>F17</f>
        <v>207898364.4167577</v>
      </c>
      <c r="G35" s="61">
        <f>G17</f>
        <v>287671288.32479882</v>
      </c>
    </row>
    <row r="36" spans="1:7" ht="15.75" thickBot="1">
      <c r="A36" s="58" t="s">
        <v>124</v>
      </c>
      <c r="B36" s="65">
        <f t="shared" ref="B36:G36" si="6">B34+B35</f>
        <v>120000000</v>
      </c>
      <c r="C36" s="65">
        <f t="shared" si="6"/>
        <v>187025681.50687501</v>
      </c>
      <c r="D36" s="65">
        <f t="shared" si="6"/>
        <v>223424111.86223519</v>
      </c>
      <c r="E36" s="65">
        <f t="shared" si="6"/>
        <v>271083600.76033801</v>
      </c>
      <c r="F36" s="65">
        <f t="shared" si="6"/>
        <v>327898364.4167577</v>
      </c>
      <c r="G36" s="65">
        <f t="shared" si="6"/>
        <v>407671288.32479882</v>
      </c>
    </row>
    <row r="37" spans="1:7" ht="15.75" thickTop="1"/>
    <row r="38" spans="1:7" ht="15.75" thickBot="1">
      <c r="A38" s="58" t="s">
        <v>125</v>
      </c>
      <c r="B38" s="65">
        <f t="shared" ref="B38:G38" si="7">B32+B36</f>
        <v>381638312.75</v>
      </c>
      <c r="C38" s="65">
        <f t="shared" si="7"/>
        <v>445949714.93688166</v>
      </c>
      <c r="D38" s="65">
        <f t="shared" si="7"/>
        <v>457321514.56326306</v>
      </c>
      <c r="E38" s="65">
        <f t="shared" si="7"/>
        <v>479324151.80966115</v>
      </c>
      <c r="F38" s="65">
        <f t="shared" si="7"/>
        <v>507713879.14086729</v>
      </c>
      <c r="G38" s="65">
        <f t="shared" si="7"/>
        <v>562571212.80738282</v>
      </c>
    </row>
    <row r="39" spans="1:7" ht="15.75" thickTop="1">
      <c r="A39" s="54" t="s">
        <v>126</v>
      </c>
      <c r="B39" s="66">
        <f t="shared" ref="B39:G39" si="8">B27-B38</f>
        <v>0</v>
      </c>
      <c r="C39" s="66">
        <f t="shared" si="8"/>
        <v>0</v>
      </c>
      <c r="D39" s="66">
        <f t="shared" si="8"/>
        <v>0</v>
      </c>
      <c r="E39" s="66">
        <f t="shared" si="8"/>
        <v>0</v>
      </c>
      <c r="F39" s="66">
        <f t="shared" si="8"/>
        <v>0</v>
      </c>
      <c r="G39" s="66">
        <f t="shared" si="8"/>
        <v>0</v>
      </c>
    </row>
    <row r="41" spans="1:7" ht="15.75">
      <c r="A41" s="157" t="s">
        <v>127</v>
      </c>
      <c r="B41" s="157"/>
      <c r="C41" s="157"/>
      <c r="D41" s="157"/>
      <c r="E41" s="157"/>
      <c r="F41" s="157"/>
      <c r="G41" s="157"/>
    </row>
    <row r="42" spans="1:7">
      <c r="A42" s="158" t="s">
        <v>128</v>
      </c>
      <c r="B42" s="158"/>
      <c r="C42" s="158"/>
      <c r="D42" s="158"/>
      <c r="E42" s="158"/>
      <c r="F42" s="158"/>
      <c r="G42" s="158"/>
    </row>
    <row r="43" spans="1:7" ht="23.25">
      <c r="A43" s="11"/>
      <c r="B43" s="64" t="s">
        <v>87</v>
      </c>
      <c r="C43" s="56">
        <f>C20</f>
        <v>2024</v>
      </c>
      <c r="D43" s="56">
        <f>D20</f>
        <v>2025</v>
      </c>
      <c r="E43" s="56">
        <f>E20</f>
        <v>2026</v>
      </c>
      <c r="F43" s="56">
        <f>F20</f>
        <v>2027</v>
      </c>
      <c r="G43" s="56">
        <f>G20</f>
        <v>2028</v>
      </c>
    </row>
    <row r="44" spans="1:7">
      <c r="A44" s="1" t="s">
        <v>129</v>
      </c>
      <c r="B44" s="2">
        <f t="shared" ref="B44:G44" si="9">B22</f>
        <v>40730177.75</v>
      </c>
      <c r="C44" s="2">
        <f t="shared" si="9"/>
        <v>141223206.93688166</v>
      </c>
      <c r="D44" s="2">
        <f t="shared" si="9"/>
        <v>188776633.56326306</v>
      </c>
      <c r="E44" s="2">
        <f t="shared" si="9"/>
        <v>246960897.80966115</v>
      </c>
      <c r="F44" s="2">
        <f t="shared" si="9"/>
        <v>311532252.14086729</v>
      </c>
      <c r="G44" s="2">
        <f t="shared" si="9"/>
        <v>402571212.80738282</v>
      </c>
    </row>
    <row r="45" spans="1:7" ht="15.75" thickBot="1">
      <c r="A45" s="1" t="s">
        <v>130</v>
      </c>
      <c r="B45" s="3">
        <f t="shared" ref="B45:G45" si="10">B29</f>
        <v>0</v>
      </c>
      <c r="C45" s="3">
        <f t="shared" si="10"/>
        <v>36090751.580624998</v>
      </c>
      <c r="D45" s="3">
        <f t="shared" si="10"/>
        <v>55689906.387357406</v>
      </c>
      <c r="E45" s="3">
        <f t="shared" si="10"/>
        <v>81352708.101720452</v>
      </c>
      <c r="F45" s="3">
        <f t="shared" si="10"/>
        <v>111945273.1474849</v>
      </c>
      <c r="G45" s="3">
        <f t="shared" si="10"/>
        <v>154899924.48258397</v>
      </c>
    </row>
    <row r="46" spans="1:7" ht="15.75" thickTop="1">
      <c r="A46" s="4" t="s">
        <v>131</v>
      </c>
      <c r="B46" s="5">
        <f t="shared" ref="B46:G46" si="11">B44-B45</f>
        <v>40730177.75</v>
      </c>
      <c r="C46" s="5">
        <f t="shared" si="11"/>
        <v>105132455.35625666</v>
      </c>
      <c r="D46" s="5">
        <f t="shared" si="11"/>
        <v>133086727.17590564</v>
      </c>
      <c r="E46" s="5">
        <f t="shared" si="11"/>
        <v>165608189.7079407</v>
      </c>
      <c r="F46" s="5">
        <f t="shared" si="11"/>
        <v>199586978.99338239</v>
      </c>
      <c r="G46" s="5">
        <f t="shared" si="11"/>
        <v>247671288.32479885</v>
      </c>
    </row>
    <row r="47" spans="1:7">
      <c r="A47" s="1"/>
      <c r="B47" s="2"/>
      <c r="C47" s="2"/>
      <c r="D47" s="2"/>
      <c r="E47" s="2"/>
      <c r="F47" s="2"/>
      <c r="G47" s="2"/>
    </row>
    <row r="48" spans="1:7">
      <c r="A48" s="4" t="s">
        <v>132</v>
      </c>
      <c r="B48" s="2">
        <f t="shared" ref="B48:G48" si="12">B26</f>
        <v>340908135</v>
      </c>
      <c r="C48" s="2">
        <f t="shared" si="12"/>
        <v>304726508</v>
      </c>
      <c r="D48" s="2">
        <f t="shared" si="12"/>
        <v>268544881</v>
      </c>
      <c r="E48" s="2">
        <f t="shared" si="12"/>
        <v>232363254</v>
      </c>
      <c r="F48" s="2">
        <f t="shared" si="12"/>
        <v>196181627</v>
      </c>
      <c r="G48" s="2">
        <f t="shared" si="12"/>
        <v>160000000</v>
      </c>
    </row>
    <row r="49" spans="1:7" ht="15.75" thickBot="1">
      <c r="A49" s="1" t="s">
        <v>133</v>
      </c>
      <c r="B49" s="3">
        <f t="shared" ref="B49:G49" si="13">B25</f>
        <v>0</v>
      </c>
      <c r="C49" s="3">
        <f t="shared" si="13"/>
        <v>36181627</v>
      </c>
      <c r="D49" s="3">
        <f t="shared" si="13"/>
        <v>72363254</v>
      </c>
      <c r="E49" s="3">
        <f t="shared" si="13"/>
        <v>108544881</v>
      </c>
      <c r="F49" s="3">
        <f t="shared" si="13"/>
        <v>144726508</v>
      </c>
      <c r="G49" s="3">
        <f t="shared" si="13"/>
        <v>180908135</v>
      </c>
    </row>
    <row r="50" spans="1:7" ht="15.75" thickTop="1">
      <c r="A50" s="4" t="s">
        <v>134</v>
      </c>
      <c r="B50" s="5">
        <f t="shared" ref="B50:G50" si="14">B48+B49</f>
        <v>340908135</v>
      </c>
      <c r="C50" s="5">
        <f t="shared" si="14"/>
        <v>340908135</v>
      </c>
      <c r="D50" s="5">
        <f t="shared" si="14"/>
        <v>340908135</v>
      </c>
      <c r="E50" s="5">
        <f t="shared" si="14"/>
        <v>340908135</v>
      </c>
      <c r="F50" s="5">
        <f t="shared" si="14"/>
        <v>340908135</v>
      </c>
      <c r="G50" s="5">
        <f t="shared" si="14"/>
        <v>340908135</v>
      </c>
    </row>
    <row r="51" spans="1:7">
      <c r="A51" s="1"/>
      <c r="B51" s="2"/>
      <c r="C51" s="2"/>
      <c r="D51" s="2"/>
      <c r="E51" s="2"/>
      <c r="F51" s="2"/>
      <c r="G51" s="2"/>
    </row>
    <row r="52" spans="1:7" ht="15.75" thickBot="1">
      <c r="A52" s="12" t="s">
        <v>135</v>
      </c>
      <c r="B52" s="6">
        <f t="shared" ref="B52:G52" si="15">B46+B48</f>
        <v>381638312.75</v>
      </c>
      <c r="C52" s="6">
        <f t="shared" si="15"/>
        <v>409858963.35625666</v>
      </c>
      <c r="D52" s="6">
        <f t="shared" si="15"/>
        <v>401631608.17590564</v>
      </c>
      <c r="E52" s="6">
        <f t="shared" si="15"/>
        <v>397971443.7079407</v>
      </c>
      <c r="F52" s="6">
        <f t="shared" si="15"/>
        <v>395768605.99338239</v>
      </c>
      <c r="G52" s="6">
        <f t="shared" si="15"/>
        <v>407671288.32479882</v>
      </c>
    </row>
    <row r="53" spans="1:7" ht="15.75" thickTop="1">
      <c r="A53" s="7"/>
      <c r="B53" s="2"/>
      <c r="C53" s="2"/>
      <c r="D53" s="2"/>
      <c r="E53" s="2"/>
      <c r="F53" s="2"/>
      <c r="G53" s="2"/>
    </row>
    <row r="54" spans="1:7">
      <c r="A54" s="159" t="s">
        <v>136</v>
      </c>
      <c r="B54" s="159"/>
      <c r="C54" s="159"/>
      <c r="D54" s="159"/>
      <c r="E54" s="159"/>
      <c r="F54" s="159"/>
      <c r="G54" s="159"/>
    </row>
    <row r="55" spans="1:7">
      <c r="A55" s="1" t="s">
        <v>137</v>
      </c>
      <c r="C55" s="9">
        <f>C13</f>
        <v>142362180</v>
      </c>
      <c r="D55" s="9">
        <f>D13</f>
        <v>192539010.52699983</v>
      </c>
      <c r="E55" s="9">
        <f>E13</f>
        <v>259167433.30910903</v>
      </c>
      <c r="F55" s="9">
        <f>F13</f>
        <v>338876814.006383</v>
      </c>
      <c r="G55" s="9">
        <f>G13</f>
        <v>452751749.04387653</v>
      </c>
    </row>
    <row r="56" spans="1:7" ht="15.75" thickBot="1">
      <c r="A56" s="1" t="s">
        <v>138</v>
      </c>
      <c r="C56" s="10">
        <f>C55*'1'!$AB$7</f>
        <v>49826763</v>
      </c>
      <c r="D56" s="10">
        <f>D55*'1'!$AB$7</f>
        <v>67388653.684449941</v>
      </c>
      <c r="E56" s="10">
        <f>E55*'1'!$AB$7</f>
        <v>90708601.658188149</v>
      </c>
      <c r="F56" s="10">
        <f>F55*'1'!$AB$7</f>
        <v>118606884.90223405</v>
      </c>
      <c r="G56" s="10">
        <f>G55*'1'!$AB$7</f>
        <v>158463112.16535679</v>
      </c>
    </row>
    <row r="57" spans="1:7" ht="15.75" thickTop="1">
      <c r="A57" s="4" t="s">
        <v>139</v>
      </c>
      <c r="C57" s="9">
        <f>C55-C56</f>
        <v>92535417</v>
      </c>
      <c r="D57" s="9">
        <f>D55-D56</f>
        <v>125150356.84254989</v>
      </c>
      <c r="E57" s="9">
        <f>E55-E56</f>
        <v>168458831.65092087</v>
      </c>
      <c r="F57" s="9">
        <f>F55-F56</f>
        <v>220269929.10414895</v>
      </c>
      <c r="G57" s="9">
        <f>G55-G56</f>
        <v>294288636.87851977</v>
      </c>
    </row>
    <row r="58" spans="1:7" ht="15.75" thickBot="1">
      <c r="A58" s="1" t="s">
        <v>140</v>
      </c>
      <c r="C58" s="10">
        <f>-(C52-B52)</f>
        <v>-28220650.606256664</v>
      </c>
      <c r="D58" s="10">
        <f>-(D52-C52)</f>
        <v>8227355.1803510189</v>
      </c>
      <c r="E58" s="10">
        <f>-(E52-D52)</f>
        <v>3660164.4679649472</v>
      </c>
      <c r="F58" s="10">
        <f>-(F52-E52)</f>
        <v>2202837.7145583034</v>
      </c>
      <c r="G58" s="10">
        <f>-(G52-F52)</f>
        <v>-11902682.331416428</v>
      </c>
    </row>
    <row r="59" spans="1:7" ht="16.5" thickTop="1" thickBot="1">
      <c r="A59" s="53" t="s">
        <v>141</v>
      </c>
      <c r="B59" s="54"/>
      <c r="C59" s="55">
        <f>SUM(C57:C58)</f>
        <v>64314766.393743336</v>
      </c>
      <c r="D59" s="55">
        <f>SUM(D57:D58)</f>
        <v>133377712.02290091</v>
      </c>
      <c r="E59" s="55">
        <f>SUM(E57:E58)</f>
        <v>172118996.11888582</v>
      </c>
      <c r="F59" s="55">
        <f>SUM(F57:F58)</f>
        <v>222472766.81870726</v>
      </c>
      <c r="G59" s="55">
        <f>SUM(G57:G58)</f>
        <v>282385954.54710335</v>
      </c>
    </row>
    <row r="60" spans="1:7" ht="15.75" thickTop="1"/>
  </sheetData>
  <sheetProtection algorithmName="SHA-512" hashValue="TYHGZqyfeKPksQ+YyU56HAa+uc4V6QC8USGqZy1r1EQCOq1fg2lL/+R8R91CNJr1ktaR53KOgDtZE1jjCJMdxg==" saltValue="UO6NieQnziBRyJGZGrguBQ=="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70" zoomScaleNormal="70" workbookViewId="0">
      <selection activeCell="V27" sqref="V27"/>
    </sheetView>
  </sheetViews>
  <sheetFormatPr baseColWidth="10" defaultColWidth="11.42578125" defaultRowHeight="15"/>
  <cols>
    <col min="1" max="1" width="11.42578125" style="100"/>
    <col min="2" max="2" width="32.5703125" style="100" customWidth="1"/>
    <col min="3" max="3" width="24.42578125" style="100" bestFit="1" customWidth="1"/>
    <col min="4" max="4" width="36.42578125" style="100" bestFit="1" customWidth="1"/>
    <col min="5" max="5" width="28.5703125" style="100" customWidth="1"/>
    <col min="6" max="6" width="26" style="100" customWidth="1"/>
    <col min="7" max="8" width="20.85546875" style="100" bestFit="1" customWidth="1"/>
    <col min="9" max="9" width="13" style="100" bestFit="1" customWidth="1"/>
    <col min="10" max="10" width="16.42578125" style="100" bestFit="1" customWidth="1"/>
    <col min="11" max="14" width="11.42578125" style="100"/>
    <col min="15" max="15" width="15.28515625" style="100" bestFit="1" customWidth="1"/>
    <col min="16" max="16" width="21.5703125" style="100" bestFit="1" customWidth="1"/>
    <col min="17" max="16384" width="11.42578125" style="100"/>
  </cols>
  <sheetData>
    <row r="2" spans="2:16" ht="38.25" customHeight="1">
      <c r="B2" s="160" t="s">
        <v>142</v>
      </c>
      <c r="C2" s="160"/>
      <c r="D2" s="160"/>
      <c r="E2" s="160"/>
      <c r="F2" s="160"/>
      <c r="G2" s="160"/>
      <c r="H2" s="160"/>
    </row>
    <row r="3" spans="2:16" ht="15.75" customHeight="1">
      <c r="B3" s="161" t="s">
        <v>143</v>
      </c>
      <c r="C3" s="161"/>
      <c r="D3" s="161"/>
      <c r="E3" s="162">
        <v>0.10349999999999999</v>
      </c>
      <c r="F3" s="162"/>
    </row>
    <row r="4" spans="2:16" ht="16.5" customHeight="1">
      <c r="B4" s="161"/>
      <c r="C4" s="161"/>
      <c r="D4" s="161"/>
      <c r="E4" s="162"/>
      <c r="F4" s="162"/>
      <c r="O4" s="116"/>
    </row>
    <row r="5" spans="2:16" ht="16.5" customHeight="1">
      <c r="B5" s="165"/>
      <c r="C5" s="165"/>
      <c r="D5" s="165"/>
      <c r="E5" s="107"/>
      <c r="F5" s="107"/>
      <c r="O5" s="116"/>
    </row>
    <row r="6" spans="2:16" ht="15.75" thickBot="1">
      <c r="O6" s="116"/>
      <c r="P6" s="108"/>
    </row>
    <row r="7" spans="2:16" ht="31.5">
      <c r="B7" s="139" t="s">
        <v>144</v>
      </c>
      <c r="C7" s="117" t="s">
        <v>145</v>
      </c>
      <c r="D7" s="117">
        <f>'4'!C20</f>
        <v>2024</v>
      </c>
      <c r="E7" s="117">
        <f>'4'!D20</f>
        <v>2025</v>
      </c>
      <c r="F7" s="117">
        <f>'4'!E20</f>
        <v>2026</v>
      </c>
      <c r="G7" s="117">
        <f>'4'!F20</f>
        <v>2027</v>
      </c>
      <c r="H7" s="118">
        <f>'4'!G20</f>
        <v>2028</v>
      </c>
      <c r="O7" s="116"/>
      <c r="P7" s="109"/>
    </row>
    <row r="8" spans="2:16" ht="15.75" thickBot="1">
      <c r="B8" s="138"/>
      <c r="C8" s="119">
        <f>-'3'!D14</f>
        <v>-381638312.75</v>
      </c>
      <c r="D8" s="119">
        <f>'4'!C59</f>
        <v>64314766.393743336</v>
      </c>
      <c r="E8" s="119">
        <f>'4'!D59</f>
        <v>133377712.02290091</v>
      </c>
      <c r="F8" s="119">
        <f>'4'!E59</f>
        <v>172118996.11888582</v>
      </c>
      <c r="G8" s="119">
        <f>'4'!F59</f>
        <v>222472766.81870726</v>
      </c>
      <c r="H8" s="120">
        <f>'4'!G59</f>
        <v>282385954.54710335</v>
      </c>
      <c r="O8" s="116"/>
      <c r="P8" s="109"/>
    </row>
    <row r="9" spans="2:16" ht="15.75" thickBot="1">
      <c r="C9" s="121">
        <f>C8/(1+$E$3)^0</f>
        <v>-381638312.75</v>
      </c>
      <c r="D9" s="121">
        <f>D8/(1+$E$3)^1</f>
        <v>58282525.05096814</v>
      </c>
      <c r="E9" s="121">
        <f>E8/(1+$E$3)^2</f>
        <v>109531387.25745833</v>
      </c>
      <c r="F9" s="121">
        <f>F8/(1+$E$3)^3</f>
        <v>128088987.26265097</v>
      </c>
      <c r="G9" s="121">
        <f>G8/(1+$E$3)^4</f>
        <v>150033246.20981872</v>
      </c>
      <c r="H9" s="121">
        <f>H8/(1+$E$3)^5</f>
        <v>172576399.62281856</v>
      </c>
      <c r="O9" s="116"/>
      <c r="P9" s="109"/>
    </row>
    <row r="10" spans="2:16" ht="16.5" thickBot="1">
      <c r="B10" s="122" t="s">
        <v>146</v>
      </c>
      <c r="C10" s="123"/>
      <c r="D10" s="124">
        <f>NPV(E3,D8:H8)+$C$8</f>
        <v>236874232.65371478</v>
      </c>
      <c r="O10" s="116"/>
      <c r="P10" s="109"/>
    </row>
    <row r="11" spans="2:16" ht="16.5" thickBot="1">
      <c r="B11" s="122" t="s">
        <v>147</v>
      </c>
      <c r="C11" s="123"/>
      <c r="D11" s="115">
        <f>IF(ISERROR(IRR(C8:H8)),"NO_APLICA",(IRR(C8:H8)))</f>
        <v>0.27698162962856121</v>
      </c>
      <c r="F11" s="122" t="s">
        <v>148</v>
      </c>
      <c r="G11" s="123"/>
      <c r="H11" s="125">
        <f>IF(ISERROR(-C9/AVERAGE(D9:H9)),"NO_APLICA",(-C9/AVERAGE(D9:H9)))</f>
        <v>3.0851299265150516</v>
      </c>
      <c r="I11" s="126" t="s">
        <v>149</v>
      </c>
      <c r="P11" s="110"/>
    </row>
    <row r="13" spans="2:16" ht="15.75">
      <c r="B13" s="163" t="s">
        <v>150</v>
      </c>
      <c r="C13" s="163"/>
      <c r="D13" s="163"/>
      <c r="E13" s="163"/>
      <c r="F13" s="163"/>
      <c r="G13" s="163"/>
      <c r="H13" s="163"/>
    </row>
    <row r="14" spans="2:16" ht="45">
      <c r="B14" s="127" t="str">
        <f>'1'!B2</f>
        <v>NOMBRE DEL PRODUCTO O SERVICIO</v>
      </c>
      <c r="C14" s="127" t="s">
        <v>151</v>
      </c>
      <c r="D14" s="127" t="s">
        <v>152</v>
      </c>
      <c r="E14" s="127" t="s">
        <v>153</v>
      </c>
      <c r="F14" s="127" t="s">
        <v>154</v>
      </c>
      <c r="H14" s="121"/>
      <c r="I14" s="121"/>
      <c r="J14" s="121" t="s">
        <v>155</v>
      </c>
    </row>
    <row r="15" spans="2:16">
      <c r="B15" s="111" t="str">
        <f>'1'!B3</f>
        <v>Viajes de 10000 mt  Automovil</v>
      </c>
      <c r="C15" s="112">
        <f>'1'!D3-'1'!D17</f>
        <v>2704.3</v>
      </c>
      <c r="D15" s="113">
        <f>'1'!F3</f>
        <v>8.3266904532574668E-2</v>
      </c>
      <c r="E15" s="112">
        <f>C15*D15</f>
        <v>225.1786899274417</v>
      </c>
      <c r="F15" s="114">
        <f t="shared" ref="F15:F24" si="0">$E$28*D15</f>
        <v>581.38958777304629</v>
      </c>
      <c r="G15" s="100" t="s">
        <v>156</v>
      </c>
      <c r="H15" s="128">
        <f>'1'!D3</f>
        <v>3704.3</v>
      </c>
      <c r="I15" s="129">
        <f t="shared" ref="I15:I24" si="1">$B$35*D15</f>
        <v>1162.7791755460923</v>
      </c>
      <c r="J15" s="128">
        <f>'1'!D17</f>
        <v>1000</v>
      </c>
    </row>
    <row r="16" spans="2:16">
      <c r="B16" s="111" t="str">
        <f>'1'!B4</f>
        <v xml:space="preserve">Viajes de 20000 mt  Automovil </v>
      </c>
      <c r="C16" s="112">
        <f>'1'!D4-'1'!D18</f>
        <v>5001</v>
      </c>
      <c r="D16" s="113">
        <f>'1'!F4</f>
        <v>0.15734911635883236</v>
      </c>
      <c r="E16" s="112">
        <f t="shared" ref="E16:E24" si="2">C16*D16</f>
        <v>786.90293091052069</v>
      </c>
      <c r="F16" s="114">
        <f t="shared" si="0"/>
        <v>1098.6494383314862</v>
      </c>
      <c r="G16" s="100" t="str">
        <f>G15</f>
        <v>UNIDADES</v>
      </c>
      <c r="H16" s="128">
        <f>'1'!D4</f>
        <v>7500</v>
      </c>
      <c r="I16" s="129">
        <f t="shared" si="1"/>
        <v>2197.2988766629719</v>
      </c>
      <c r="J16" s="128">
        <f>'1'!D18</f>
        <v>2499</v>
      </c>
    </row>
    <row r="17" spans="2:10">
      <c r="B17" s="111" t="str">
        <f>'1'!B5</f>
        <v xml:space="preserve">Viajes de 30000 mt  Automovil </v>
      </c>
      <c r="C17" s="112">
        <f>'1'!D5-'1'!D19</f>
        <v>5135.2999999999993</v>
      </c>
      <c r="D17" s="113">
        <f>'1'!F5</f>
        <v>0.10087307180271765</v>
      </c>
      <c r="E17" s="112">
        <f t="shared" si="2"/>
        <v>518.01348562849591</v>
      </c>
      <c r="F17" s="114">
        <f t="shared" si="0"/>
        <v>704.32008925995217</v>
      </c>
      <c r="G17" s="100" t="str">
        <f t="shared" ref="G17:G24" si="3">G16</f>
        <v>UNIDADES</v>
      </c>
      <c r="H17" s="128">
        <f>'1'!D5</f>
        <v>16828.3</v>
      </c>
      <c r="I17" s="129">
        <f t="shared" si="1"/>
        <v>1408.6401785199043</v>
      </c>
      <c r="J17" s="128">
        <f>'1'!D19</f>
        <v>11693</v>
      </c>
    </row>
    <row r="18" spans="2:10">
      <c r="B18" s="111" t="str">
        <f>'1'!B6</f>
        <v xml:space="preserve">Viajes de 40000 mt  Automovil </v>
      </c>
      <c r="C18" s="112">
        <f>'1'!D6-'1'!D20</f>
        <v>43073.399999999994</v>
      </c>
      <c r="D18" s="113">
        <f>'1'!F6</f>
        <v>0.12057689760711555</v>
      </c>
      <c r="E18" s="112">
        <f t="shared" si="2"/>
        <v>5193.6569413903308</v>
      </c>
      <c r="F18" s="114">
        <f t="shared" si="0"/>
        <v>841.8969479924549</v>
      </c>
      <c r="G18" s="100" t="str">
        <f t="shared" si="3"/>
        <v>UNIDADES</v>
      </c>
      <c r="H18" s="128">
        <f>'1'!D6</f>
        <v>67051.399999999994</v>
      </c>
      <c r="I18" s="129">
        <f t="shared" si="1"/>
        <v>1683.7938959849096</v>
      </c>
      <c r="J18" s="128">
        <f>'1'!D20</f>
        <v>23978</v>
      </c>
    </row>
    <row r="19" spans="2:10">
      <c r="B19" s="111" t="str">
        <f>'1'!B7</f>
        <v>Viajes de 50000 mt Automovil</v>
      </c>
      <c r="C19" s="112">
        <f>'1'!D7-'1'!D21</f>
        <v>54414.899999999994</v>
      </c>
      <c r="D19" s="113">
        <f>'1'!F7</f>
        <v>0.10196317149522152</v>
      </c>
      <c r="E19" s="112">
        <f t="shared" si="2"/>
        <v>5548.3157805953288</v>
      </c>
      <c r="F19" s="114">
        <f t="shared" si="0"/>
        <v>711.93142793543302</v>
      </c>
      <c r="G19" s="100" t="str">
        <f t="shared" si="3"/>
        <v>UNIDADES</v>
      </c>
      <c r="H19" s="128">
        <f>'1'!D7</f>
        <v>97200.9</v>
      </c>
      <c r="I19" s="129">
        <f t="shared" si="1"/>
        <v>1423.8628558708658</v>
      </c>
      <c r="J19" s="128">
        <f>'1'!D21</f>
        <v>42786</v>
      </c>
    </row>
    <row r="20" spans="2:10">
      <c r="B20" s="111" t="str">
        <f>'1'!B8</f>
        <v xml:space="preserve">Viajes de 10000 mt  Van </v>
      </c>
      <c r="C20" s="112">
        <f>'1'!D8-'1'!D22</f>
        <v>6164.2000000000007</v>
      </c>
      <c r="D20" s="113">
        <f>'1'!F8</f>
        <v>0.16825341012249945</v>
      </c>
      <c r="E20" s="112">
        <f t="shared" si="2"/>
        <v>1037.1476706771111</v>
      </c>
      <c r="F20" s="114">
        <f t="shared" si="0"/>
        <v>1174.7858444078581</v>
      </c>
      <c r="G20" s="100" t="str">
        <f t="shared" si="3"/>
        <v>UNIDADES</v>
      </c>
      <c r="H20" s="128">
        <f>'1'!D8</f>
        <v>14970.2</v>
      </c>
      <c r="I20" s="129">
        <f t="shared" si="1"/>
        <v>2349.5716888157158</v>
      </c>
      <c r="J20" s="128">
        <f>'1'!D22</f>
        <v>8806</v>
      </c>
    </row>
    <row r="21" spans="2:10">
      <c r="B21" s="111" t="str">
        <f>'1'!B9</f>
        <v xml:space="preserve">Viajes de 20000 mt  Van </v>
      </c>
      <c r="C21" s="112">
        <f>'1'!D9-'1'!D23</f>
        <v>10973.900000000001</v>
      </c>
      <c r="D21" s="113">
        <f>'1'!F9</f>
        <v>3.5944247701436616E-2</v>
      </c>
      <c r="E21" s="112">
        <f t="shared" si="2"/>
        <v>394.44857985079534</v>
      </c>
      <c r="F21" s="114">
        <f t="shared" si="0"/>
        <v>250.97139699453086</v>
      </c>
      <c r="G21" s="100" t="str">
        <f t="shared" si="3"/>
        <v>UNIDADES</v>
      </c>
      <c r="H21" s="128">
        <f>'1'!D9</f>
        <v>26650.9</v>
      </c>
      <c r="I21" s="129">
        <f t="shared" si="1"/>
        <v>501.94279398906167</v>
      </c>
      <c r="J21" s="128">
        <f>'1'!D23</f>
        <v>15677</v>
      </c>
    </row>
    <row r="22" spans="2:10">
      <c r="B22" s="111" t="str">
        <f>'1'!B10</f>
        <v xml:space="preserve">Viajes de 30000 mt  Van </v>
      </c>
      <c r="C22" s="112">
        <f>'1'!D10-'1'!D24</f>
        <v>22243.899999999994</v>
      </c>
      <c r="D22" s="113">
        <f>'1'!F10</f>
        <v>6.4762978132638815E-2</v>
      </c>
      <c r="E22" s="112">
        <f t="shared" si="2"/>
        <v>1440.5812092846043</v>
      </c>
      <c r="F22" s="114">
        <f t="shared" si="0"/>
        <v>452.19071575741987</v>
      </c>
      <c r="G22" s="100" t="str">
        <f t="shared" si="3"/>
        <v>UNIDADES</v>
      </c>
      <c r="H22" s="128">
        <f>'1'!D10</f>
        <v>54020.899999999994</v>
      </c>
      <c r="I22" s="129">
        <f t="shared" si="1"/>
        <v>904.38143151483962</v>
      </c>
      <c r="J22" s="128">
        <f>'1'!D24</f>
        <v>31777</v>
      </c>
    </row>
    <row r="23" spans="2:10">
      <c r="B23" s="111" t="str">
        <f>'1'!B11</f>
        <v xml:space="preserve">Viajes de 40000 mt  Van </v>
      </c>
      <c r="C23" s="112">
        <f>'1'!D11-'1'!D25</f>
        <v>35217.699999999997</v>
      </c>
      <c r="D23" s="113">
        <f>'1'!F11</f>
        <v>6.4085073182474597E-2</v>
      </c>
      <c r="E23" s="112">
        <f t="shared" si="2"/>
        <v>2256.9288818184355</v>
      </c>
      <c r="F23" s="114">
        <f t="shared" si="0"/>
        <v>447.45742007724846</v>
      </c>
      <c r="G23" s="100" t="str">
        <f t="shared" si="3"/>
        <v>UNIDADES</v>
      </c>
      <c r="H23" s="128">
        <f>'1'!D11</f>
        <v>85528.7</v>
      </c>
      <c r="I23" s="129">
        <f t="shared" si="1"/>
        <v>894.9148401544968</v>
      </c>
      <c r="J23" s="128">
        <f>'1'!D25</f>
        <v>50311</v>
      </c>
    </row>
    <row r="24" spans="2:10">
      <c r="B24" s="111" t="str">
        <f>'1'!B12</f>
        <v xml:space="preserve">Viajes de 50000 mt Van </v>
      </c>
      <c r="C24" s="112">
        <f>'1'!D12-'1'!D26</f>
        <v>56562.100000000006</v>
      </c>
      <c r="D24" s="113">
        <f>'1'!F12</f>
        <v>0.10292512906448877</v>
      </c>
      <c r="E24" s="112">
        <f t="shared" si="2"/>
        <v>5821.6614426585202</v>
      </c>
      <c r="F24" s="114">
        <f t="shared" si="0"/>
        <v>718.64804743499235</v>
      </c>
      <c r="G24" s="100" t="str">
        <f t="shared" si="3"/>
        <v>UNIDADES</v>
      </c>
      <c r="H24" s="128">
        <f>'1'!D12</f>
        <v>137365.1</v>
      </c>
      <c r="I24" s="129">
        <f t="shared" si="1"/>
        <v>1437.2960948699847</v>
      </c>
      <c r="J24" s="128">
        <f>'1'!D26</f>
        <v>80803</v>
      </c>
    </row>
    <row r="25" spans="2:10" ht="15.75">
      <c r="C25" s="112"/>
      <c r="D25" s="113"/>
      <c r="E25" s="112"/>
      <c r="F25" s="130">
        <f>SUM(F15:F24)</f>
        <v>6982.2409159644212</v>
      </c>
      <c r="G25" s="100" t="str">
        <f>G24</f>
        <v>UNIDADES</v>
      </c>
      <c r="H25" s="128"/>
      <c r="I25" s="129"/>
      <c r="J25" s="128"/>
    </row>
    <row r="26" spans="2:10" ht="12.75" customHeight="1">
      <c r="C26" s="112"/>
      <c r="D26" s="113"/>
      <c r="E26" s="112"/>
      <c r="F26" s="130"/>
      <c r="H26" s="128"/>
      <c r="I26" s="129"/>
      <c r="J26" s="128"/>
    </row>
    <row r="27" spans="2:10" ht="21" customHeight="1">
      <c r="B27" s="166" t="s">
        <v>157</v>
      </c>
      <c r="C27" s="166"/>
      <c r="D27" s="166"/>
      <c r="E27" s="131">
        <f>SUM(E15:E24)</f>
        <v>23222.835612741583</v>
      </c>
      <c r="H27" s="121"/>
      <c r="I27" s="121"/>
      <c r="J27" s="121"/>
    </row>
    <row r="28" spans="2:10" ht="19.5" customHeight="1">
      <c r="B28" s="166" t="s">
        <v>158</v>
      </c>
      <c r="C28" s="166"/>
      <c r="D28" s="166"/>
      <c r="E28" s="130">
        <f>IF(E27=0,0,('2'!C23+'2'!F31+'2'!C25)/'5'!E27)</f>
        <v>6982.2409159644221</v>
      </c>
      <c r="F28" s="132" t="s">
        <v>156</v>
      </c>
      <c r="H28" s="130"/>
    </row>
    <row r="29" spans="2:10" ht="15.75">
      <c r="B29" s="166" t="s">
        <v>159</v>
      </c>
      <c r="C29" s="166"/>
      <c r="D29" s="166"/>
      <c r="E29" s="131">
        <f>E49</f>
        <v>333587520.98204714</v>
      </c>
    </row>
    <row r="30" spans="2:10">
      <c r="B30" s="133"/>
      <c r="C30" s="133"/>
      <c r="D30" s="133"/>
      <c r="E30" s="133"/>
      <c r="F30" s="133"/>
      <c r="G30" s="133"/>
    </row>
    <row r="31" spans="2:10" s="121" customFormat="1"/>
    <row r="32" spans="2:10" s="121" customFormat="1">
      <c r="C32" s="121" t="s">
        <v>160</v>
      </c>
      <c r="D32" s="121" t="s">
        <v>161</v>
      </c>
      <c r="E32" s="121" t="s">
        <v>162</v>
      </c>
      <c r="F32" s="121" t="s">
        <v>163</v>
      </c>
    </row>
    <row r="33" spans="2:6" s="121" customFormat="1">
      <c r="B33" s="121">
        <v>0</v>
      </c>
      <c r="C33" s="128">
        <f>'2'!C25+'2'!F31+'2'!C23</f>
        <v>162147433</v>
      </c>
      <c r="D33" s="121">
        <f>0</f>
        <v>0</v>
      </c>
      <c r="E33" s="121">
        <v>0</v>
      </c>
      <c r="F33" s="128">
        <f>C33+E33</f>
        <v>162147433</v>
      </c>
    </row>
    <row r="34" spans="2:6" s="121" customFormat="1">
      <c r="B34" s="129">
        <f>F25</f>
        <v>6982.2409159644212</v>
      </c>
      <c r="C34" s="128">
        <f>C33</f>
        <v>162147433</v>
      </c>
      <c r="D34" s="134">
        <f>SUMPRODUCT(F15:F24,H15:H24)</f>
        <v>333587520.98204714</v>
      </c>
      <c r="E34" s="134">
        <f>SUMPRODUCT(F15:F24,J15:J24)</f>
        <v>171440087.98204711</v>
      </c>
      <c r="F34" s="128">
        <f>C34+E34</f>
        <v>333587520.98204708</v>
      </c>
    </row>
    <row r="35" spans="2:6" s="121" customFormat="1">
      <c r="B35" s="129">
        <f>B34*2</f>
        <v>13964.481831928842</v>
      </c>
      <c r="C35" s="128">
        <f>C34</f>
        <v>162147433</v>
      </c>
      <c r="D35" s="134">
        <f>SUMPRODUCT(H15:H24,I15:I24)</f>
        <v>667175041.96409416</v>
      </c>
      <c r="E35" s="134">
        <f>SUMPRODUCT(I15:I24,J15:J24)</f>
        <v>342880175.96409416</v>
      </c>
      <c r="F35" s="128">
        <f>C35+E35</f>
        <v>505027608.96409416</v>
      </c>
    </row>
    <row r="36" spans="2:6" s="121" customFormat="1">
      <c r="C36" s="128"/>
    </row>
    <row r="37" spans="2:6" s="121" customFormat="1">
      <c r="C37" s="128"/>
    </row>
    <row r="38" spans="2:6" s="121" customFormat="1">
      <c r="C38" s="135" t="s">
        <v>164</v>
      </c>
      <c r="D38" s="121" t="s">
        <v>156</v>
      </c>
      <c r="E38" s="121" t="s">
        <v>165</v>
      </c>
    </row>
    <row r="39" spans="2:6" s="121" customFormat="1">
      <c r="B39" s="121">
        <v>1</v>
      </c>
      <c r="C39" s="128">
        <f>'1'!D3</f>
        <v>3704.3</v>
      </c>
      <c r="D39" s="129">
        <f>F15</f>
        <v>581.38958777304629</v>
      </c>
      <c r="E39" s="121">
        <f>C39*D39</f>
        <v>2153641.4499876956</v>
      </c>
    </row>
    <row r="40" spans="2:6" s="121" customFormat="1">
      <c r="B40" s="121">
        <f>B39+1</f>
        <v>2</v>
      </c>
      <c r="C40" s="128">
        <f>'1'!D4</f>
        <v>7500</v>
      </c>
      <c r="D40" s="129">
        <f t="shared" ref="D40:D48" si="4">F16</f>
        <v>1098.6494383314862</v>
      </c>
      <c r="E40" s="121">
        <f t="shared" ref="E40:E48" si="5">C40*D40</f>
        <v>8239870.7874861462</v>
      </c>
    </row>
    <row r="41" spans="2:6" s="121" customFormat="1">
      <c r="B41" s="121">
        <f t="shared" ref="B41:B48" si="6">B40+1</f>
        <v>3</v>
      </c>
      <c r="C41" s="128">
        <f>'1'!D5</f>
        <v>16828.3</v>
      </c>
      <c r="D41" s="129">
        <f t="shared" si="4"/>
        <v>704.32008925995217</v>
      </c>
      <c r="E41" s="121">
        <f t="shared" si="5"/>
        <v>11852509.758093253</v>
      </c>
    </row>
    <row r="42" spans="2:6" s="121" customFormat="1">
      <c r="B42" s="121">
        <f t="shared" si="6"/>
        <v>4</v>
      </c>
      <c r="C42" s="128">
        <f>'1'!D6</f>
        <v>67051.399999999994</v>
      </c>
      <c r="D42" s="129">
        <f t="shared" si="4"/>
        <v>841.8969479924549</v>
      </c>
      <c r="E42" s="121">
        <f t="shared" si="5"/>
        <v>56450369.018621288</v>
      </c>
    </row>
    <row r="43" spans="2:6" s="121" customFormat="1">
      <c r="B43" s="121">
        <f t="shared" si="6"/>
        <v>5</v>
      </c>
      <c r="C43" s="128">
        <f>'1'!D7</f>
        <v>97200.9</v>
      </c>
      <c r="D43" s="129">
        <f t="shared" si="4"/>
        <v>711.93142793543302</v>
      </c>
      <c r="E43" s="121">
        <f t="shared" si="5"/>
        <v>69200375.533609226</v>
      </c>
    </row>
    <row r="44" spans="2:6" s="121" customFormat="1">
      <c r="B44" s="121">
        <f t="shared" si="6"/>
        <v>6</v>
      </c>
      <c r="C44" s="128">
        <f>'1'!D8</f>
        <v>14970.2</v>
      </c>
      <c r="D44" s="129">
        <f t="shared" si="4"/>
        <v>1174.7858444078581</v>
      </c>
      <c r="E44" s="121">
        <f t="shared" si="5"/>
        <v>17586779.047954518</v>
      </c>
    </row>
    <row r="45" spans="2:6" s="121" customFormat="1">
      <c r="B45" s="121">
        <f t="shared" si="6"/>
        <v>7</v>
      </c>
      <c r="C45" s="128">
        <f>'1'!D9</f>
        <v>26650.9</v>
      </c>
      <c r="D45" s="129">
        <f t="shared" si="4"/>
        <v>250.97139699453086</v>
      </c>
      <c r="E45" s="121">
        <f t="shared" si="5"/>
        <v>6688613.6041615428</v>
      </c>
    </row>
    <row r="46" spans="2:6" s="121" customFormat="1">
      <c r="B46" s="121">
        <f t="shared" si="6"/>
        <v>8</v>
      </c>
      <c r="C46" s="128">
        <f>'1'!D10</f>
        <v>54020.899999999994</v>
      </c>
      <c r="D46" s="129">
        <f t="shared" si="4"/>
        <v>452.19071575741987</v>
      </c>
      <c r="E46" s="121">
        <f t="shared" si="5"/>
        <v>24427749.436859999</v>
      </c>
    </row>
    <row r="47" spans="2:6" s="121" customFormat="1">
      <c r="B47" s="121">
        <f t="shared" si="6"/>
        <v>9</v>
      </c>
      <c r="C47" s="128">
        <f>'1'!D11</f>
        <v>85528.7</v>
      </c>
      <c r="D47" s="129">
        <f t="shared" si="4"/>
        <v>447.45742007724846</v>
      </c>
      <c r="E47" s="121">
        <f t="shared" si="5"/>
        <v>38270451.44456096</v>
      </c>
    </row>
    <row r="48" spans="2:6" s="121" customFormat="1">
      <c r="B48" s="121">
        <f t="shared" si="6"/>
        <v>10</v>
      </c>
      <c r="C48" s="128">
        <f>'1'!D12</f>
        <v>137365.1</v>
      </c>
      <c r="D48" s="129">
        <f t="shared" si="4"/>
        <v>718.64804743499235</v>
      </c>
      <c r="E48" s="121">
        <f t="shared" si="5"/>
        <v>98717160.900712475</v>
      </c>
    </row>
    <row r="49" spans="2:8" s="121" customFormat="1" ht="15.75">
      <c r="C49" s="128"/>
      <c r="E49" s="136">
        <f>SUM(E39:E48)</f>
        <v>333587520.98204714</v>
      </c>
    </row>
    <row r="50" spans="2:8" s="121" customFormat="1"/>
    <row r="51" spans="2:8" s="121" customFormat="1">
      <c r="C51" s="128"/>
    </row>
    <row r="52" spans="2:8" s="121" customFormat="1" ht="15.75">
      <c r="B52" s="164"/>
      <c r="C52" s="164"/>
      <c r="D52" s="164"/>
      <c r="G52" s="121" t="s">
        <v>166</v>
      </c>
      <c r="H52" s="137">
        <f>'4'!B32/'4'!B27</f>
        <v>0.6855661604430987</v>
      </c>
    </row>
    <row r="53" spans="2:8" s="121" customFormat="1">
      <c r="C53" s="128"/>
      <c r="G53" s="121" t="s">
        <v>167</v>
      </c>
      <c r="H53" s="137">
        <f>'4'!B36/'4'!B27</f>
        <v>0.31443383955690124</v>
      </c>
    </row>
    <row r="54" spans="2:8" s="121" customFormat="1">
      <c r="G54" s="121" t="s">
        <v>168</v>
      </c>
      <c r="H54" s="121">
        <f>'1'!AB7</f>
        <v>0.35</v>
      </c>
    </row>
    <row r="55" spans="2:8" s="121" customFormat="1">
      <c r="G55" s="121" t="s">
        <v>169</v>
      </c>
      <c r="H55" s="137">
        <f>'3'!F4</f>
        <v>0.15</v>
      </c>
    </row>
    <row r="56" spans="2:8" s="121" customFormat="1">
      <c r="G56" s="121" t="s">
        <v>170</v>
      </c>
    </row>
    <row r="57" spans="2:8" s="121" customFormat="1"/>
    <row r="58" spans="2:8" s="121" customFormat="1"/>
    <row r="59" spans="2:8" s="121" customFormat="1"/>
    <row r="60" spans="2:8" s="121" customFormat="1"/>
    <row r="61" spans="2:8" s="121" customFormat="1"/>
    <row r="62" spans="2:8">
      <c r="B62" s="133"/>
      <c r="C62" s="133"/>
      <c r="D62" s="133"/>
      <c r="E62" s="133"/>
      <c r="F62" s="133"/>
      <c r="G62" s="133"/>
    </row>
    <row r="63" spans="2:8">
      <c r="B63" s="133"/>
      <c r="C63" s="133"/>
      <c r="D63" s="133"/>
      <c r="E63" s="133"/>
      <c r="F63" s="133"/>
      <c r="G63" s="133"/>
    </row>
    <row r="64" spans="2:8">
      <c r="B64" s="133"/>
      <c r="C64" s="133"/>
      <c r="D64" s="133"/>
      <c r="E64" s="133"/>
      <c r="F64" s="133"/>
      <c r="G64" s="133"/>
    </row>
    <row r="65" spans="2:7">
      <c r="B65" s="133"/>
      <c r="C65" s="133"/>
      <c r="D65" s="133"/>
      <c r="E65" s="133"/>
      <c r="F65" s="133"/>
      <c r="G65" s="133"/>
    </row>
    <row r="66" spans="2:7">
      <c r="B66" s="133"/>
      <c r="C66" s="133"/>
      <c r="D66" s="133"/>
      <c r="E66" s="133"/>
      <c r="F66" s="133"/>
      <c r="G66" s="133"/>
    </row>
  </sheetData>
  <sheetProtection algorithmName="SHA-512" hashValue="moE6vkfzJ2/plS6QaAdzkQxb14QdB460QBAc3HmrFG0ryFmW05kTv+aMYJ1d6g/Yc3JKYjmDdomYwTZ9tQpztw==" saltValue="SIKXKXO1TjOxERs8DMAPeg=="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DFA85-A3E4-4CC1-8CB2-431140200BEB}">
  <dimension ref="A1"/>
  <sheetViews>
    <sheetView workbookViewId="0">
      <selection activeCell="M15" sqref="M15"/>
    </sheetView>
  </sheetViews>
  <sheetFormatPr baseColWidth="10" defaultColWidth="11.42578125" defaultRowHeight="1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4EB4D5DA25D8459D6C847E8344B31B" ma:contentTypeVersion="18" ma:contentTypeDescription="Create a new document." ma:contentTypeScope="" ma:versionID="efdff0bd808aa58c4f8d3fbc3252d60e">
  <xsd:schema xmlns:xsd="http://www.w3.org/2001/XMLSchema" xmlns:xs="http://www.w3.org/2001/XMLSchema" xmlns:p="http://schemas.microsoft.com/office/2006/metadata/properties" xmlns:ns3="a8a15e8f-959a-46ac-bf07-07e9ecb67acc" xmlns:ns4="2efcd670-d7d8-471e-9748-43fae1ba3285" targetNamespace="http://schemas.microsoft.com/office/2006/metadata/properties" ma:root="true" ma:fieldsID="442aaeccdd3e64e2a69b7e9bad60b435" ns3:_="" ns4:_="">
    <xsd:import namespace="a8a15e8f-959a-46ac-bf07-07e9ecb67acc"/>
    <xsd:import namespace="2efcd670-d7d8-471e-9748-43fae1ba328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Location"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a15e8f-959a-46ac-bf07-07e9ecb67a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activity" ma:index="22" nillable="true" ma:displayName="_activity" ma:hidden="true" ma:internalName="_activity">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fcd670-d7d8-471e-9748-43fae1ba328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8a15e8f-959a-46ac-bf07-07e9ecb67acc" xsi:nil="true"/>
  </documentManagement>
</p:properties>
</file>

<file path=customXml/itemProps1.xml><?xml version="1.0" encoding="utf-8"?>
<ds:datastoreItem xmlns:ds="http://schemas.openxmlformats.org/officeDocument/2006/customXml" ds:itemID="{31A29DB1-C117-484E-8D66-A91B693742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a15e8f-959a-46ac-bf07-07e9ecb67acc"/>
    <ds:schemaRef ds:uri="2efcd670-d7d8-471e-9748-43fae1ba3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A5C771-70A6-41EE-85B7-AEF1B7749310}">
  <ds:schemaRefs>
    <ds:schemaRef ds:uri="http://schemas.microsoft.com/sharepoint/v3/contenttype/forms"/>
  </ds:schemaRefs>
</ds:datastoreItem>
</file>

<file path=customXml/itemProps3.xml><?xml version="1.0" encoding="utf-8"?>
<ds:datastoreItem xmlns:ds="http://schemas.openxmlformats.org/officeDocument/2006/customXml" ds:itemID="{A53CA358-8459-41A7-9B54-712BD064D19C}">
  <ds:schemaRefs>
    <ds:schemaRef ds:uri="http://schemas.microsoft.com/office/2006/metadata/properties"/>
    <ds:schemaRef ds:uri="http://schemas.microsoft.com/office/infopath/2007/PartnerControls"/>
    <ds:schemaRef ds:uri="a8a15e8f-959a-46ac-bf07-07e9ecb67a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Menú</vt:lpstr>
      <vt:lpstr>1</vt:lpstr>
      <vt:lpstr>2</vt:lpstr>
      <vt:lpstr>3</vt:lpstr>
      <vt:lpstr>4</vt:lpstr>
      <vt:lpstr>5</vt:lpstr>
      <vt:lpstr>Hoja1</vt:lpstr>
      <vt:lpstr>Menú!Área_de_impresión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MGuty G</cp:lastModifiedBy>
  <cp:revision/>
  <dcterms:created xsi:type="dcterms:W3CDTF">2013-07-30T17:19:59Z</dcterms:created>
  <dcterms:modified xsi:type="dcterms:W3CDTF">2024-10-05T19:19:57Z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0x010100E14EB4D5DA25D8459D6C847E8344B31B</vt:lpwstr>
  </property>
</Properties>
</file>