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kcantil76481_universidadean_edu_co/Documents/ACADEMICO/Proy_Creaciòn de empresa/PROYECTO/Apendices/"/>
    </mc:Choice>
  </mc:AlternateContent>
  <xr:revisionPtr revIDLastSave="0" documentId="8_{2A628C90-CFB0-4DBF-9C2F-573E6140D796}" xr6:coauthVersionLast="47" xr6:coauthVersionMax="47" xr10:uidLastSave="{00000000-0000-0000-0000-000000000000}"/>
  <bookViews>
    <workbookView xWindow="-96" yWindow="0" windowWidth="11712" windowHeight="1233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31" i="4" l="1"/>
  <c r="C30" i="4"/>
  <c r="C29" i="4"/>
  <c r="C28" i="4"/>
  <c r="F23" i="4"/>
  <c r="F22" i="4"/>
  <c r="F21" i="4"/>
  <c r="F20" i="4"/>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0" i="5" l="1"/>
  <c r="I13" i="3"/>
  <c r="H13" i="3" s="1"/>
  <c r="J13" i="3" s="1"/>
  <c r="G31" i="5" s="1"/>
  <c r="F31" i="5"/>
  <c r="G29" i="5"/>
  <c r="G30" i="5" s="1"/>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<sst xmlns="http://schemas.openxmlformats.org/spreadsheetml/2006/main" count="172" uniqueCount="163">
  <si>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</si>
  <si>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</si>
  <si>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</si>
  <si>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</si>
  <si>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</si>
  <si>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</si>
  <si>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</si>
  <si>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</si>
  <si>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</si>
  <si>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</si>
  <si>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</si>
  <si>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</si>
  <si>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</si>
  <si>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</si>
  <si>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</si>
  <si>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</si>
  <si>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</si>
  <si>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</si>
  <si>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</si>
  <si>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</si>
  <si>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</si>
  <si>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</si>
  <si>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</si>
  <si>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</si>
  <si>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</si>
  <si>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</si>
  <si>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</si>
  <si>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</si>
  <si>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</si>
  <si>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</si>
  <si>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</si>
  <si>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</si>
  <si>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</si>
  <si>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</si>
  <si>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</si>
  <si>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</si>
  <si>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</si>
  <si>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</si>
  <si>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</si>
  <si>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</si>
  <si>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</si>
  <si>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</si>
  <si>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</si>
  <si>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</si>
  <si>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</si>
  <si>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</si>
  <si>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</si>
  <si>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</si>
  <si>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</si>
  <si>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</si>
  <si>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</si>
  <si>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</si>
  <si>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</si>
  <si>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</si>
  <si>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</si>
  <si>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</si>
  <si>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</si>
  <si>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</si>
  <si>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</si>
  <si>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</si>
  <si>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</si>
  <si>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</si>
  <si>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</si>
  <si>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</si>
  <si>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</si>
  <si>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</si>
  <si>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</si>
  <si>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</si>
  <si>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</si>
  <si>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</si>
  <si>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</si>
  <si>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</si>
  <si>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</si>
  <si>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</si>
  <si>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</si>
  <si>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</si>
  <si>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</si>
  <si>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</si>
  <si>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</si>
  <si>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</si>
  <si>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</si>
  <si>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</si>
  <si>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</si>
  <si>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</si>
  <si>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</si>
  <si>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</si>
  <si>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</si>
  <si>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</si>
  <si>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</si>
  <si>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</si>
  <si>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</si>
  <si>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</si>
  <si>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</si>
  <si>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</si>
  <si>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</si>
  <si>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</si>
  <si>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</si>
  <si>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</si>
  <si>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</si>
  <si>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</si>
  <si>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</si>
  <si>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</si>
  <si>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</si>
  <si>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</si>
  <si>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</si>
  <si>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</si>
  <si>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</si>
  <si>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</si>
  <si>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</si>
  <si>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</si>
  <si>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</si>
  <si>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</si>
  <si>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</si>
  <si>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</si>
  <si>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</si>
  <si>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</si>
  <si>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</si>
  <si>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</si>
  <si>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</si>
  <si>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</si>
  <si>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</si>
  <si>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</si>
  <si>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</si>
  <si>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</si>
  <si>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</si>
  <si>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</si>
  <si>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</si>
  <si>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</si>
  <si>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</si>
  <si>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</si>
  <si>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</si>
  <si>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</si>
  <si>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</si>
  <si>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</si>
  <si>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</si>
  <si>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</si>
  <si>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</si>
  <si>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</si>
  <si>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</si>
  <si>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</si>
  <si>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</si>
  <si>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</si>
  <si>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</si>
  <si>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</si>
  <si>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</si>
  <si>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</si>
  <si>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</si>
  <si>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</si>
  <si>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</si>
  <si>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</si>
  <si>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</si>
  <si>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</si>
  <si>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</si>
  <si>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</si>
  <si>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</si>
  <si>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</si>
  <si>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</si>
  <si>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</si>
  <si>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</si>
  <si>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</si>
  <si>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Gestión integral de residuos paneles fotovoltaicos</t>
  </si>
  <si>
    <t>Desplazamiento vehiculos</t>
  </si>
  <si>
    <t>Licencia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</si>
</sst>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15169.490318840581</c:v>
                </c:pt>
                <c:pt idx="2">
                  <c:v>30338.980637681161</c:v>
                </c:pt>
              </c:numCache>
            </c:numRef>
          </c:cat>
          <c:val>
            <c:numRef>
              <c:f>'5'!$C$33:$C$35</c:f>
              <c:numCache>
                <c:formatCode>_("$"\ * #,##0.00_);_("$"\ * \(#,##0.00\);_("$"\ * "-"??_);_(@_)</c:formatCode>
                <c:ptCount val="3"/>
                <c:pt idx="0">
                  <c:v>523347416</c:v>
                </c:pt>
                <c:pt idx="1">
                  <c:v>523347416</c:v>
                </c:pt>
                <c:pt idx="2">
                  <c:v>523347416</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15169.490318840581</c:v>
                </c:pt>
                <c:pt idx="2">
                  <c:v>30338.980637681161</c:v>
                </c:pt>
              </c:numCache>
            </c:numRef>
          </c:cat>
          <c:val>
            <c:numRef>
              <c:f>'5'!$D$33:$D$35</c:f>
              <c:numCache>
                <c:formatCode>_("$"\ * #,##0.00_);_("$"\ * \(#,##0.00\);_("$"\ * "-"??_);_(@_)</c:formatCode>
                <c:ptCount val="3"/>
                <c:pt idx="0" formatCode="General">
                  <c:v>0</c:v>
                </c:pt>
                <c:pt idx="1">
                  <c:v>910169419.13043487</c:v>
                </c:pt>
                <c:pt idx="2">
                  <c:v>1820338838.2608697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15169.490318840581</c:v>
                </c:pt>
                <c:pt idx="2">
                  <c:v>30338.980637681161</c:v>
                </c:pt>
              </c:numCache>
            </c:numRef>
          </c:cat>
          <c:val>
            <c:numRef>
              <c:f>'5'!$F$33:$F$35</c:f>
              <c:numCache>
                <c:formatCode>_("$"\ * #,##0.00_);_("$"\ * \(#,##0.00\);_("$"\ * "-"??_);_(@_)</c:formatCode>
                <c:ptCount val="3"/>
                <c:pt idx="0">
                  <c:v>523347416</c:v>
                </c:pt>
                <c:pt idx="1">
                  <c:v>910169419.13043475</c:v>
                </c:pt>
                <c:pt idx="2">
                  <c:v>1296991422.2608695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0" t="s">
        <v>135</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B1" zoomScale="70" zoomScaleNormal="70" workbookViewId="0">
      <selection activeCell="E3" sqref="E3"/>
    </sheetView>
  </sheetViews>
  <sheetFormatPr baseColWidth="10" defaultColWidth="11.44140625" defaultRowHeight="14.4" x14ac:dyDescent="0.3"/>
  <cols>
    <col min="1" max="1" width="22.5546875" style="8" customWidth="1"/>
    <col min="2" max="2" width="34.5546875" style="8" bestFit="1" customWidth="1"/>
    <col min="3" max="6" width="28.6640625" style="8"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42" t="s">
        <v>5</v>
      </c>
      <c r="B1" s="142"/>
      <c r="C1" s="142"/>
      <c r="D1" s="142"/>
      <c r="E1" s="142"/>
      <c r="G1" s="143" t="s">
        <v>12</v>
      </c>
      <c r="H1" s="143"/>
      <c r="I1" s="143"/>
      <c r="J1" s="143"/>
      <c r="P1" s="8" t="s">
        <v>16</v>
      </c>
      <c r="Y1" s="15" t="s">
        <v>9</v>
      </c>
      <c r="Z1" s="50">
        <v>2029</v>
      </c>
      <c r="AA1" s="16"/>
    </row>
    <row r="2" spans="1:29" ht="32.25" customHeight="1" thickBot="1" x14ac:dyDescent="0.5">
      <c r="B2" s="17" t="s">
        <v>4</v>
      </c>
      <c r="C2" s="18" t="s">
        <v>0</v>
      </c>
      <c r="D2" s="17" t="s">
        <v>7</v>
      </c>
      <c r="E2" s="18" t="s">
        <v>1</v>
      </c>
      <c r="F2" s="19" t="s">
        <v>27</v>
      </c>
      <c r="G2" s="20">
        <f>'1'!Z1+1</f>
        <v>2030</v>
      </c>
      <c r="H2" s="20">
        <f>G2+1</f>
        <v>2031</v>
      </c>
      <c r="I2" s="20">
        <f t="shared" ref="I2:J2" si="0">H2+1</f>
        <v>2032</v>
      </c>
      <c r="J2" s="20">
        <f t="shared" si="0"/>
        <v>2033</v>
      </c>
      <c r="L2" s="8">
        <f>G2</f>
        <v>2030</v>
      </c>
      <c r="M2" s="8">
        <f>H2</f>
        <v>2031</v>
      </c>
      <c r="N2" s="8">
        <f>M2+1</f>
        <v>2032</v>
      </c>
      <c r="O2" s="8">
        <f>N2+1</f>
        <v>2033</v>
      </c>
      <c r="P2" s="8" t="s">
        <v>13</v>
      </c>
      <c r="Q2" s="8" t="s">
        <v>11</v>
      </c>
      <c r="R2" s="8" t="s">
        <v>23</v>
      </c>
      <c r="S2" s="8" t="s">
        <v>24</v>
      </c>
      <c r="T2" s="8" t="s">
        <v>17</v>
      </c>
      <c r="U2" s="8" t="s">
        <v>18</v>
      </c>
      <c r="V2" s="8" t="s">
        <v>25</v>
      </c>
      <c r="W2" s="8" t="s">
        <v>26</v>
      </c>
      <c r="Y2" s="16"/>
      <c r="Z2" s="16"/>
      <c r="AA2" s="16"/>
    </row>
    <row r="3" spans="1:29" ht="24" thickBot="1" x14ac:dyDescent="0.5">
      <c r="A3" s="21">
        <v>1</v>
      </c>
      <c r="B3" s="13" t="s">
        <v>160</v>
      </c>
      <c r="C3" s="53">
        <v>64000</v>
      </c>
      <c r="D3" s="14">
        <v>60000</v>
      </c>
      <c r="E3" s="22">
        <f>C3*D3</f>
        <v>3840000000</v>
      </c>
      <c r="F3" s="23">
        <f>IF($E$13=0,0,E3/$E$13)</f>
        <v>1</v>
      </c>
      <c r="G3" s="118">
        <v>0.1</v>
      </c>
      <c r="H3" s="118">
        <v>0.1</v>
      </c>
      <c r="I3" s="118">
        <v>0.1</v>
      </c>
      <c r="J3" s="118">
        <v>0.1</v>
      </c>
      <c r="K3" s="24"/>
      <c r="L3" s="8">
        <f t="shared" ref="L3:L12" si="1">C3*(1+G3)</f>
        <v>70400</v>
      </c>
      <c r="M3" s="8">
        <f>L3*(1+H3)</f>
        <v>77440</v>
      </c>
      <c r="N3" s="8">
        <f t="shared" ref="N3:O3" si="2">M3*(1+I3)</f>
        <v>85184</v>
      </c>
      <c r="O3" s="8">
        <f t="shared" si="2"/>
        <v>93702.400000000009</v>
      </c>
      <c r="P3" s="25">
        <f>D3*(1+'1'!$Z$4)</f>
        <v>63486</v>
      </c>
      <c r="Q3" s="25">
        <f>P3*(1+'1'!$AA$4)</f>
        <v>67168.188000000009</v>
      </c>
      <c r="R3" s="25">
        <f>Q3*(1+'1'!$AB$4)</f>
        <v>71070.659722800017</v>
      </c>
      <c r="S3" s="25">
        <f>R3*(1+'1'!$AC$4)</f>
        <v>75199.865052694702</v>
      </c>
      <c r="T3" s="26">
        <f>L3*P3</f>
        <v>4469414400</v>
      </c>
      <c r="U3" s="26">
        <f>M3*Q3</f>
        <v>5201504478.7200003</v>
      </c>
      <c r="V3" s="26">
        <f>N3*R3</f>
        <v>6054083077.8269968</v>
      </c>
      <c r="W3" s="26">
        <f>O3*S3</f>
        <v>7046407835.1136208</v>
      </c>
      <c r="X3" s="26"/>
      <c r="Y3" s="27" t="s">
        <v>10</v>
      </c>
      <c r="Z3" s="28">
        <f>G2</f>
        <v>2030</v>
      </c>
      <c r="AA3" s="28">
        <f>Z3+1</f>
        <v>2031</v>
      </c>
      <c r="AB3" s="28">
        <f t="shared" ref="AB3:AC3" si="3">AA3+1</f>
        <v>2032</v>
      </c>
      <c r="AC3" s="29">
        <f t="shared" si="3"/>
        <v>2033</v>
      </c>
    </row>
    <row r="4" spans="1:29" ht="23.4" x14ac:dyDescent="0.45">
      <c r="A4" s="21">
        <f>A3+1</f>
        <v>2</v>
      </c>
      <c r="B4" s="13"/>
      <c r="C4" s="53">
        <v>0</v>
      </c>
      <c r="D4" s="14">
        <v>0</v>
      </c>
      <c r="E4" s="22">
        <f t="shared" ref="E4:E12" si="4">C4*D4</f>
        <v>0</v>
      </c>
      <c r="F4" s="23">
        <f t="shared" ref="F4:F12" si="5">IF($E$13=0,0,E4/$E$13)</f>
        <v>0</v>
      </c>
      <c r="G4" s="118">
        <v>0</v>
      </c>
      <c r="H4" s="118">
        <v>0</v>
      </c>
      <c r="I4" s="118">
        <v>0</v>
      </c>
      <c r="J4" s="118">
        <v>0</v>
      </c>
      <c r="K4" s="24"/>
      <c r="L4" s="8">
        <f t="shared" si="1"/>
        <v>0</v>
      </c>
      <c r="M4" s="8">
        <f t="shared" ref="M4:M12" si="6">L4*(1+H4)</f>
        <v>0</v>
      </c>
      <c r="N4" s="8">
        <f t="shared" ref="N4:N12" si="7">M4*(1+I4)</f>
        <v>0</v>
      </c>
      <c r="O4" s="8">
        <f t="shared" ref="O4:O12" si="8">N4*(1+J4)</f>
        <v>0</v>
      </c>
      <c r="P4" s="25">
        <f>D4*(1+'1'!$Z$4)</f>
        <v>0</v>
      </c>
      <c r="Q4" s="25">
        <f>P4*(1+'1'!$AA$4)</f>
        <v>0</v>
      </c>
      <c r="R4" s="25">
        <f>Q4*(1+'1'!$AB$4)</f>
        <v>0</v>
      </c>
      <c r="S4" s="25">
        <f>R4*(1+'1'!$AC$4)</f>
        <v>0</v>
      </c>
      <c r="T4" s="26">
        <f t="shared" ref="T4:T12" si="9">L4*P4</f>
        <v>0</v>
      </c>
      <c r="U4" s="26">
        <f t="shared" ref="U4:U12" si="10">M4*Q4</f>
        <v>0</v>
      </c>
      <c r="V4" s="26">
        <f t="shared" ref="V4:V12" si="11">N4*R4</f>
        <v>0</v>
      </c>
      <c r="W4" s="26">
        <f t="shared" ref="W4:W12" si="12">O4*S4</f>
        <v>0</v>
      </c>
      <c r="X4" s="26"/>
      <c r="Y4" s="120" t="s">
        <v>14</v>
      </c>
      <c r="Z4" s="51">
        <v>5.8099999999999999E-2</v>
      </c>
      <c r="AA4" s="51">
        <v>5.8000000000000003E-2</v>
      </c>
      <c r="AB4" s="51">
        <v>5.8099999999999999E-2</v>
      </c>
      <c r="AC4" s="51">
        <v>5.8099999999999999E-2</v>
      </c>
    </row>
    <row r="5" spans="1:29" ht="24" thickBot="1" x14ac:dyDescent="0.5">
      <c r="A5" s="21">
        <f t="shared" ref="A5:A12" si="13">A4+1</f>
        <v>3</v>
      </c>
      <c r="B5" s="13"/>
      <c r="C5" s="53"/>
      <c r="D5" s="14">
        <v>0</v>
      </c>
      <c r="E5" s="22">
        <f t="shared" si="4"/>
        <v>0</v>
      </c>
      <c r="F5" s="23">
        <f t="shared" si="5"/>
        <v>0</v>
      </c>
      <c r="G5" s="49">
        <v>0</v>
      </c>
      <c r="H5" s="49">
        <v>0</v>
      </c>
      <c r="I5" s="49">
        <v>0</v>
      </c>
      <c r="J5" s="49">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21" t="s">
        <v>15</v>
      </c>
      <c r="Z5" s="51">
        <v>1.41E-2</v>
      </c>
      <c r="AA5" s="51">
        <v>2.1100000000000001E-2</v>
      </c>
      <c r="AB5" s="51">
        <v>2.81E-2</v>
      </c>
      <c r="AC5" s="51">
        <v>3.5099999999999999E-2</v>
      </c>
    </row>
    <row r="6" spans="1:29" ht="15" thickBot="1" x14ac:dyDescent="0.35">
      <c r="A6" s="21">
        <f t="shared" si="13"/>
        <v>4</v>
      </c>
      <c r="B6" s="13"/>
      <c r="C6" s="53">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x14ac:dyDescent="0.5">
      <c r="A7" s="21">
        <f t="shared" si="13"/>
        <v>5</v>
      </c>
      <c r="B7" s="13"/>
      <c r="C7" s="53">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2">
        <v>0.35</v>
      </c>
      <c r="AC7" s="32"/>
    </row>
    <row r="8" spans="1:29" x14ac:dyDescent="0.3">
      <c r="A8" s="21">
        <f t="shared" si="13"/>
        <v>6</v>
      </c>
      <c r="B8" s="13"/>
      <c r="C8" s="53">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3">
      <c r="A9" s="21">
        <f t="shared" si="13"/>
        <v>7</v>
      </c>
      <c r="B9" s="13"/>
      <c r="C9" s="53">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3">
      <c r="A10" s="21">
        <f t="shared" si="13"/>
        <v>8</v>
      </c>
      <c r="B10" s="13"/>
      <c r="C10" s="53">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3">
      <c r="A11" s="21">
        <f t="shared" si="13"/>
        <v>9</v>
      </c>
      <c r="B11" s="13"/>
      <c r="C11" s="53">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3">
      <c r="A12" s="21">
        <f t="shared" si="13"/>
        <v>10</v>
      </c>
      <c r="B12" s="13"/>
      <c r="C12" s="53">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8</v>
      </c>
      <c r="E13" s="33">
        <f>SUM(E3:E12)</f>
        <v>3840000000</v>
      </c>
      <c r="F13" s="34">
        <f>SUM(F3:F12)</f>
        <v>1</v>
      </c>
      <c r="T13" s="35">
        <f>SUM(T3:T12)</f>
        <v>4469414400</v>
      </c>
      <c r="U13" s="35">
        <f>SUM(U3:U12)</f>
        <v>5201504478.7200003</v>
      </c>
      <c r="V13" s="35">
        <f>SUM(V3:V12)</f>
        <v>6054083077.8269968</v>
      </c>
      <c r="W13" s="35">
        <f>SUM(W3:W12)</f>
        <v>7046407835.1136208</v>
      </c>
      <c r="X13" s="26"/>
    </row>
    <row r="15" spans="1:29" ht="23.25" customHeight="1" x14ac:dyDescent="0.3">
      <c r="A15" s="142" t="s">
        <v>6</v>
      </c>
      <c r="B15" s="142"/>
      <c r="C15" s="142"/>
      <c r="D15" s="142"/>
      <c r="E15" s="142"/>
      <c r="G15" s="36"/>
    </row>
    <row r="16" spans="1:29" ht="25.5" customHeight="1" x14ac:dyDescent="0.3">
      <c r="B16" s="17" t="s">
        <v>3</v>
      </c>
      <c r="C16" s="37" t="s">
        <v>0</v>
      </c>
      <c r="D16" s="112" t="s">
        <v>137</v>
      </c>
      <c r="E16" s="18" t="s">
        <v>2</v>
      </c>
      <c r="L16" s="8">
        <f>L2</f>
        <v>2030</v>
      </c>
      <c r="M16" s="8">
        <f t="shared" ref="M16:W16" si="14">M2</f>
        <v>2031</v>
      </c>
      <c r="N16" s="8">
        <f t="shared" si="14"/>
        <v>2032</v>
      </c>
      <c r="O16" s="8">
        <f t="shared" si="14"/>
        <v>2033</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92" t="str">
        <f>B3</f>
        <v>Gestión integral de residuos paneles fotovoltaicos</v>
      </c>
      <c r="C17" s="39">
        <f>C3</f>
        <v>64000</v>
      </c>
      <c r="D17" s="14">
        <v>25500</v>
      </c>
      <c r="E17" s="22">
        <f>C17*D17</f>
        <v>1632000000</v>
      </c>
      <c r="F17" s="23">
        <f>IF($E$27=0,0,E17/$E$27)</f>
        <v>1</v>
      </c>
      <c r="L17" s="8">
        <f t="shared" ref="L17:L26" si="15">C17*(1+G3)</f>
        <v>70400</v>
      </c>
      <c r="M17" s="8">
        <f>L17*(1+H3)</f>
        <v>77440</v>
      </c>
      <c r="N17" s="8">
        <f t="shared" ref="N17:O17" si="16">M17*(1+I3)</f>
        <v>85184</v>
      </c>
      <c r="O17" s="8">
        <f t="shared" si="16"/>
        <v>93702.400000000009</v>
      </c>
      <c r="P17" s="40">
        <f>D17*(1+'1'!$Z$5)</f>
        <v>25859.55</v>
      </c>
      <c r="Q17" s="25">
        <f>P17*(1+'1'!$AA$5)</f>
        <v>26405.186504999998</v>
      </c>
      <c r="R17" s="25">
        <f>Q17*(1+'1'!$AB$5)</f>
        <v>27147.172245790498</v>
      </c>
      <c r="S17" s="25">
        <f>R17*(1+'1'!$AC$5)</f>
        <v>28100.037991617741</v>
      </c>
      <c r="T17" s="40">
        <f t="shared" ref="T17:U19" si="17">L17*P17</f>
        <v>1820512320</v>
      </c>
      <c r="U17" s="26">
        <f t="shared" si="17"/>
        <v>2044817642.9471998</v>
      </c>
      <c r="V17" s="26">
        <f t="shared" ref="V17:W17" si="18">N17*R17</f>
        <v>2312504720.5854177</v>
      </c>
      <c r="W17" s="26">
        <f t="shared" si="18"/>
        <v>2633040999.9057627</v>
      </c>
      <c r="X17" s="26"/>
    </row>
    <row r="18" spans="1:24" x14ac:dyDescent="0.3">
      <c r="A18" s="21">
        <f t="shared" ref="A18:B25" si="19">A4</f>
        <v>2</v>
      </c>
      <c r="B18" s="41">
        <f t="shared" si="19"/>
        <v>0</v>
      </c>
      <c r="C18" s="39">
        <f t="shared" ref="C18:C26" si="20">C4</f>
        <v>0</v>
      </c>
      <c r="D18" s="14">
        <v>0</v>
      </c>
      <c r="E18" s="22">
        <f t="shared" ref="E18:E26" si="21">C18*D18</f>
        <v>0</v>
      </c>
      <c r="F18" s="23">
        <f t="shared" ref="F18:F26" si="22">IF($E$27=0,0,E18/$E$27)</f>
        <v>0</v>
      </c>
      <c r="L18" s="8">
        <f t="shared" si="15"/>
        <v>0</v>
      </c>
      <c r="M18" s="8">
        <f t="shared" ref="M18:M26" si="23">L18*(1+H4)</f>
        <v>0</v>
      </c>
      <c r="N18" s="8">
        <f t="shared" ref="N18:N26" si="24">M18*(1+I4)</f>
        <v>0</v>
      </c>
      <c r="O18" s="8">
        <f t="shared" ref="O18:O26" si="25">N18*(1+J4)</f>
        <v>0</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x14ac:dyDescent="0.3">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3">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3">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3">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3">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3">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3">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1632000000</v>
      </c>
      <c r="F27" s="34">
        <f>SUM(F17:F26)</f>
        <v>1</v>
      </c>
      <c r="T27" s="35">
        <f>SUM(T17:T26)</f>
        <v>1820512320</v>
      </c>
      <c r="U27" s="35">
        <f>SUM(U17:U26)</f>
        <v>2044817642.9471998</v>
      </c>
      <c r="V27" s="35">
        <f t="shared" ref="V27:W27" si="31">SUM(V17:V26)</f>
        <v>2312504720.5854177</v>
      </c>
      <c r="W27" s="35">
        <f t="shared" si="31"/>
        <v>2633040999.9057627</v>
      </c>
      <c r="X27" s="26"/>
    </row>
    <row r="30" spans="1:24" x14ac:dyDescent="0.3">
      <c r="A30" s="141" t="s">
        <v>19</v>
      </c>
      <c r="B30" s="141"/>
      <c r="C30" s="141"/>
      <c r="D30" s="141"/>
      <c r="E30" s="141"/>
      <c r="F30" s="141"/>
    </row>
    <row r="31" spans="1:24" ht="25.2" x14ac:dyDescent="0.45">
      <c r="A31" s="42" t="s">
        <v>10</v>
      </c>
      <c r="B31" s="43">
        <f>'1'!Z1</f>
        <v>2029</v>
      </c>
      <c r="C31" s="43">
        <f>B31+1</f>
        <v>2030</v>
      </c>
      <c r="D31" s="43">
        <f>C31+1</f>
        <v>2031</v>
      </c>
      <c r="E31" s="43">
        <f>D31+1</f>
        <v>2032</v>
      </c>
      <c r="F31" s="43">
        <f>E31+1</f>
        <v>2033</v>
      </c>
      <c r="H31" s="44"/>
      <c r="I31" s="44"/>
      <c r="J31" s="44"/>
      <c r="K31" s="44"/>
      <c r="L31" s="44"/>
      <c r="M31" s="44"/>
      <c r="N31" s="44"/>
      <c r="O31" s="44"/>
      <c r="P31" s="44"/>
      <c r="Q31" s="44"/>
      <c r="R31" s="44"/>
      <c r="S31" s="44"/>
      <c r="T31" s="44"/>
      <c r="U31" s="44"/>
      <c r="V31" s="44"/>
    </row>
    <row r="32" spans="1:24" x14ac:dyDescent="0.3">
      <c r="A32" s="45" t="s">
        <v>20</v>
      </c>
      <c r="B32" s="46">
        <f>'1'!E13</f>
        <v>3840000000</v>
      </c>
      <c r="C32" s="47">
        <f>'1'!T13</f>
        <v>4469414400</v>
      </c>
      <c r="D32" s="47">
        <f>'1'!U13</f>
        <v>5201504478.7200003</v>
      </c>
      <c r="E32" s="47">
        <f>'1'!V13</f>
        <v>6054083077.8269968</v>
      </c>
      <c r="F32" s="47">
        <f>'1'!W13</f>
        <v>7046407835.1136208</v>
      </c>
    </row>
    <row r="33" spans="1:6" x14ac:dyDescent="0.3">
      <c r="A33" s="45" t="s">
        <v>21</v>
      </c>
      <c r="B33" s="46">
        <f>'1'!E27</f>
        <v>1632000000</v>
      </c>
      <c r="C33" s="46">
        <f>'1'!T27</f>
        <v>1820512320</v>
      </c>
      <c r="D33" s="46">
        <f>'1'!U27</f>
        <v>2044817642.9471998</v>
      </c>
      <c r="E33" s="46">
        <f>'1'!V27</f>
        <v>2312504720.5854177</v>
      </c>
      <c r="F33" s="46">
        <f>'1'!W27</f>
        <v>2633040999.9057627</v>
      </c>
    </row>
    <row r="34" spans="1:6" ht="21.6" thickBot="1" x14ac:dyDescent="0.45">
      <c r="A34" s="48" t="s">
        <v>22</v>
      </c>
      <c r="B34" s="119">
        <f>B32-B33</f>
        <v>2208000000</v>
      </c>
      <c r="C34" s="119">
        <f t="shared" ref="C34:D34" si="32">C32-C33</f>
        <v>2648902080</v>
      </c>
      <c r="D34" s="119">
        <f t="shared" si="32"/>
        <v>3156686835.7728004</v>
      </c>
      <c r="E34" s="119">
        <f t="shared" ref="E34" si="33">E32-E33</f>
        <v>3741578357.2415791</v>
      </c>
      <c r="F34" s="119">
        <f t="shared" ref="F34" si="34">F32-F33</f>
        <v>4413366835.2078581</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5" zoomScaleNormal="85" workbookViewId="0">
      <pane ySplit="14" topLeftCell="A15" activePane="bottomLeft" state="frozenSplit"/>
      <selection activeCell="B40" sqref="B40"/>
      <selection pane="bottomLeft" activeCell="C5" sqref="C5"/>
    </sheetView>
  </sheetViews>
  <sheetFormatPr baseColWidth="10" defaultColWidth="11.44140625" defaultRowHeight="14.4" x14ac:dyDescent="0.3"/>
  <cols>
    <col min="1" max="1" width="5.44140625" style="8" customWidth="1"/>
    <col min="2" max="2" width="29.44140625" style="8" bestFit="1" customWidth="1"/>
    <col min="3" max="3" width="26" style="8" customWidth="1"/>
    <col min="4" max="4" width="11.44140625" style="8"/>
    <col min="5" max="5" width="23.33203125" style="8" customWidth="1"/>
    <col min="6" max="6" width="17.6640625" style="8" bestFit="1" customWidth="1"/>
    <col min="7" max="7" width="15.5546875" style="8" bestFit="1" customWidth="1"/>
    <col min="8" max="16384" width="11.44140625" style="8"/>
  </cols>
  <sheetData>
    <row r="1" spans="2:8" x14ac:dyDescent="0.3">
      <c r="B1" s="144" t="s">
        <v>133</v>
      </c>
      <c r="C1" s="144"/>
      <c r="D1" s="144"/>
      <c r="E1" s="144"/>
      <c r="F1" s="144"/>
      <c r="G1" s="144"/>
      <c r="H1" s="144"/>
    </row>
    <row r="2" spans="2:8" ht="3.75" customHeight="1" x14ac:dyDescent="0.3">
      <c r="B2" s="144"/>
      <c r="C2" s="144"/>
      <c r="D2" s="144"/>
      <c r="E2" s="144"/>
      <c r="F2" s="144"/>
      <c r="G2" s="144"/>
      <c r="H2" s="144"/>
    </row>
    <row r="3" spans="2:8" x14ac:dyDescent="0.3">
      <c r="C3" s="21" t="s">
        <v>51</v>
      </c>
      <c r="F3" s="71" t="s">
        <v>92</v>
      </c>
      <c r="G3" s="71"/>
    </row>
    <row r="4" spans="2:8" x14ac:dyDescent="0.3">
      <c r="B4" s="48" t="s">
        <v>43</v>
      </c>
      <c r="C4" s="14">
        <v>300000000</v>
      </c>
      <c r="F4" s="71"/>
      <c r="G4" s="71"/>
    </row>
    <row r="5" spans="2:8" x14ac:dyDescent="0.3">
      <c r="B5" s="48" t="s">
        <v>46</v>
      </c>
      <c r="C5" s="14">
        <v>2742000000</v>
      </c>
      <c r="F5" s="71">
        <v>10</v>
      </c>
      <c r="G5" s="72">
        <f t="shared" ref="G5:G11" si="0">C5/F5</f>
        <v>274200000</v>
      </c>
    </row>
    <row r="6" spans="2:8" x14ac:dyDescent="0.3">
      <c r="B6" s="48" t="s">
        <v>44</v>
      </c>
      <c r="C6" s="14">
        <v>100000000</v>
      </c>
      <c r="F6" s="71">
        <v>5</v>
      </c>
      <c r="G6" s="72">
        <f t="shared" si="0"/>
        <v>20000000</v>
      </c>
    </row>
    <row r="7" spans="2:8" x14ac:dyDescent="0.3">
      <c r="B7" s="48" t="s">
        <v>45</v>
      </c>
      <c r="C7" s="14">
        <f>80000000+60000000+30000000+120000000</f>
        <v>290000000</v>
      </c>
      <c r="F7" s="71">
        <v>5</v>
      </c>
      <c r="G7" s="72">
        <f t="shared" si="0"/>
        <v>58000000</v>
      </c>
    </row>
    <row r="8" spans="2:8" x14ac:dyDescent="0.3">
      <c r="B8" s="48" t="s">
        <v>47</v>
      </c>
      <c r="C8" s="14">
        <v>150000000</v>
      </c>
      <c r="F8" s="71">
        <v>5</v>
      </c>
      <c r="G8" s="72">
        <f t="shared" si="0"/>
        <v>30000000</v>
      </c>
    </row>
    <row r="9" spans="2:8" x14ac:dyDescent="0.3">
      <c r="B9" s="48" t="s">
        <v>48</v>
      </c>
      <c r="C9" s="14">
        <v>0</v>
      </c>
      <c r="F9" s="71">
        <v>5</v>
      </c>
      <c r="G9" s="72">
        <f t="shared" si="0"/>
        <v>0</v>
      </c>
    </row>
    <row r="10" spans="2:8" x14ac:dyDescent="0.3">
      <c r="B10" s="117" t="s">
        <v>142</v>
      </c>
      <c r="C10" s="14">
        <v>0</v>
      </c>
      <c r="F10" s="71">
        <v>5</v>
      </c>
      <c r="G10" s="72">
        <f t="shared" si="0"/>
        <v>0</v>
      </c>
    </row>
    <row r="11" spans="2:8" x14ac:dyDescent="0.3">
      <c r="B11" s="48" t="s">
        <v>49</v>
      </c>
      <c r="C11" s="14">
        <v>80000000</v>
      </c>
      <c r="F11" s="71">
        <v>5</v>
      </c>
      <c r="G11" s="72">
        <f t="shared" si="0"/>
        <v>16000000</v>
      </c>
    </row>
    <row r="12" spans="2:8" ht="16.2" thickBot="1" x14ac:dyDescent="0.35">
      <c r="B12" s="73" t="s">
        <v>50</v>
      </c>
      <c r="C12" s="74">
        <f>SUM(C4:C11)</f>
        <v>3662000000</v>
      </c>
      <c r="F12" s="71"/>
      <c r="G12" s="72">
        <f>SUM(G5:G11)</f>
        <v>398200000</v>
      </c>
    </row>
    <row r="13" spans="2:8" x14ac:dyDescent="0.3">
      <c r="B13" s="145" t="s">
        <v>42</v>
      </c>
      <c r="C13" s="146"/>
      <c r="D13" s="146"/>
      <c r="E13" s="146"/>
      <c r="F13" s="146"/>
      <c r="G13" s="146"/>
      <c r="H13" s="147"/>
    </row>
    <row r="14" spans="2:8" ht="15" thickBot="1" x14ac:dyDescent="0.35">
      <c r="B14" s="148"/>
      <c r="C14" s="149"/>
      <c r="D14" s="149"/>
      <c r="E14" s="149"/>
      <c r="F14" s="149"/>
      <c r="G14" s="149"/>
      <c r="H14" s="150"/>
    </row>
    <row r="15" spans="2:8" x14ac:dyDescent="0.3">
      <c r="B15" s="75"/>
      <c r="C15" s="75"/>
      <c r="D15" s="75"/>
      <c r="E15" s="75"/>
      <c r="F15" s="75"/>
      <c r="G15" s="75"/>
      <c r="H15" s="75"/>
    </row>
    <row r="16" spans="2:8" x14ac:dyDescent="0.3">
      <c r="B16" s="73" t="s">
        <v>28</v>
      </c>
      <c r="E16" s="73" t="s">
        <v>34</v>
      </c>
      <c r="F16" s="38"/>
    </row>
    <row r="17" spans="2:6" x14ac:dyDescent="0.3">
      <c r="C17" s="73" t="s">
        <v>30</v>
      </c>
      <c r="F17" s="73" t="str">
        <f>C17</f>
        <v>VALOR AÑO 1</v>
      </c>
    </row>
    <row r="18" spans="2:6" x14ac:dyDescent="0.3">
      <c r="B18" s="76" t="s">
        <v>29</v>
      </c>
      <c r="C18" s="14">
        <v>77760000</v>
      </c>
      <c r="E18" s="114" t="s">
        <v>139</v>
      </c>
      <c r="F18" s="14"/>
    </row>
    <row r="19" spans="2:6" x14ac:dyDescent="0.3">
      <c r="C19" s="78"/>
      <c r="E19" s="77" t="s">
        <v>35</v>
      </c>
      <c r="F19" s="14">
        <v>4000000</v>
      </c>
    </row>
    <row r="20" spans="2:6" x14ac:dyDescent="0.3">
      <c r="B20" s="76" t="s">
        <v>32</v>
      </c>
      <c r="C20" s="14">
        <v>116640000</v>
      </c>
      <c r="E20" s="77" t="s">
        <v>36</v>
      </c>
      <c r="F20" s="14">
        <f>200000*2*12</f>
        <v>4800000</v>
      </c>
    </row>
    <row r="21" spans="2:6" x14ac:dyDescent="0.3">
      <c r="C21" s="78"/>
      <c r="E21" s="77" t="s">
        <v>37</v>
      </c>
      <c r="F21" s="14">
        <f>150000*12</f>
        <v>1800000</v>
      </c>
    </row>
    <row r="22" spans="2:6" x14ac:dyDescent="0.3">
      <c r="B22" s="113" t="s">
        <v>138</v>
      </c>
      <c r="C22" s="14">
        <v>257947416</v>
      </c>
      <c r="E22" s="77" t="s">
        <v>38</v>
      </c>
      <c r="F22" s="14">
        <f>200000*12</f>
        <v>2400000</v>
      </c>
    </row>
    <row r="23" spans="2:6" ht="15.6" x14ac:dyDescent="0.3">
      <c r="B23" s="8" t="s">
        <v>56</v>
      </c>
      <c r="C23" s="74">
        <f>C18+C20+C22</f>
        <v>452347416</v>
      </c>
      <c r="E23" s="77" t="s">
        <v>39</v>
      </c>
      <c r="F23" s="14">
        <f>2000000*12</f>
        <v>24000000</v>
      </c>
    </row>
    <row r="24" spans="2:6" x14ac:dyDescent="0.3">
      <c r="E24" s="77" t="s">
        <v>40</v>
      </c>
      <c r="F24" s="14">
        <v>20000000</v>
      </c>
    </row>
    <row r="25" spans="2:6" ht="24.6" x14ac:dyDescent="0.3">
      <c r="B25" s="77" t="s">
        <v>143</v>
      </c>
      <c r="C25" s="14">
        <v>10000000</v>
      </c>
      <c r="E25" s="116" t="s">
        <v>140</v>
      </c>
      <c r="F25" s="14">
        <v>0</v>
      </c>
    </row>
    <row r="26" spans="2:6" x14ac:dyDescent="0.3">
      <c r="E26" s="116" t="s">
        <v>141</v>
      </c>
      <c r="F26" s="14">
        <v>0</v>
      </c>
    </row>
    <row r="27" spans="2:6" x14ac:dyDescent="0.3">
      <c r="B27" s="96" t="s">
        <v>144</v>
      </c>
      <c r="C27" s="96"/>
      <c r="E27" s="98" t="s">
        <v>161</v>
      </c>
      <c r="F27" s="14">
        <v>4000000</v>
      </c>
    </row>
    <row r="28" spans="2:6" x14ac:dyDescent="0.3">
      <c r="B28" s="115">
        <f>'1'!G2</f>
        <v>2030</v>
      </c>
      <c r="C28" s="14">
        <f>+C25*1.05</f>
        <v>10500000</v>
      </c>
      <c r="E28" s="98" t="s">
        <v>162</v>
      </c>
      <c r="F28" s="14"/>
    </row>
    <row r="29" spans="2:6" x14ac:dyDescent="0.3">
      <c r="B29" s="115">
        <f>'1'!H2</f>
        <v>2031</v>
      </c>
      <c r="C29" s="14">
        <f>+C28*1.05</f>
        <v>11025000</v>
      </c>
      <c r="E29" s="98"/>
      <c r="F29" s="14">
        <v>0</v>
      </c>
    </row>
    <row r="30" spans="2:6" x14ac:dyDescent="0.3">
      <c r="B30" s="115">
        <f>'1'!I2</f>
        <v>2032</v>
      </c>
      <c r="C30" s="14">
        <f>+C29*1.05</f>
        <v>11576250</v>
      </c>
      <c r="E30" s="98"/>
      <c r="F30" s="14">
        <v>0</v>
      </c>
    </row>
    <row r="31" spans="2:6" ht="15.6" x14ac:dyDescent="0.3">
      <c r="B31" s="115">
        <f>'1'!J2</f>
        <v>2033</v>
      </c>
      <c r="C31" s="14">
        <f>+C30*1.05</f>
        <v>12155062.5</v>
      </c>
      <c r="E31" s="77" t="s">
        <v>41</v>
      </c>
      <c r="F31" s="74">
        <f>SUM(F18:F30)</f>
        <v>61000000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B2" sqref="B2:J16"/>
    </sheetView>
  </sheetViews>
  <sheetFormatPr baseColWidth="10" defaultColWidth="11.44140625" defaultRowHeight="14.4" x14ac:dyDescent="0.3"/>
  <cols>
    <col min="1" max="1" width="11.44140625" style="8"/>
    <col min="2" max="2" width="39" style="8" bestFit="1" customWidth="1"/>
    <col min="3" max="4" width="22.21875" style="8" customWidth="1"/>
    <col min="5" max="5" width="12.88671875" style="8" customWidth="1"/>
    <col min="6" max="10" width="18.6640625" style="8" customWidth="1"/>
    <col min="11" max="16384" width="11.44140625" style="8"/>
  </cols>
  <sheetData>
    <row r="2" spans="2:12" ht="29.25" customHeight="1" x14ac:dyDescent="0.3">
      <c r="B2" s="142" t="s">
        <v>115</v>
      </c>
      <c r="C2" s="142"/>
      <c r="D2" s="142"/>
      <c r="E2" s="142"/>
      <c r="F2" s="142"/>
      <c r="G2" s="142"/>
      <c r="H2" s="142"/>
      <c r="I2" s="142"/>
      <c r="J2" s="142"/>
    </row>
    <row r="3" spans="2:12" x14ac:dyDescent="0.3">
      <c r="F3" s="151" t="s">
        <v>62</v>
      </c>
      <c r="G3" s="151"/>
    </row>
    <row r="4" spans="2:12" ht="15.6" x14ac:dyDescent="0.3">
      <c r="B4" s="16" t="s">
        <v>50</v>
      </c>
      <c r="C4" s="74">
        <f>'2'!C12</f>
        <v>3662000000</v>
      </c>
      <c r="F4" s="152">
        <v>0.23</v>
      </c>
      <c r="G4" s="152"/>
      <c r="I4" s="8" t="s">
        <v>150</v>
      </c>
      <c r="J4" s="133">
        <v>5</v>
      </c>
      <c r="L4" s="71">
        <v>1</v>
      </c>
    </row>
    <row r="5" spans="2:12" x14ac:dyDescent="0.3">
      <c r="L5" s="71">
        <v>2</v>
      </c>
    </row>
    <row r="6" spans="2:12" ht="15" thickBot="1" x14ac:dyDescent="0.35">
      <c r="B6" s="16" t="s">
        <v>52</v>
      </c>
      <c r="F6" s="141" t="s">
        <v>116</v>
      </c>
      <c r="G6" s="141"/>
      <c r="H6" s="141"/>
      <c r="I6" s="141"/>
      <c r="J6" s="141"/>
      <c r="L6" s="71">
        <v>3</v>
      </c>
    </row>
    <row r="7" spans="2:12" x14ac:dyDescent="0.3">
      <c r="C7" s="79" t="s">
        <v>54</v>
      </c>
      <c r="D7" s="79" t="s">
        <v>55</v>
      </c>
      <c r="E7" s="122"/>
      <c r="F7" s="123" t="s">
        <v>145</v>
      </c>
      <c r="G7" s="123" t="s">
        <v>146</v>
      </c>
      <c r="H7" s="123" t="s">
        <v>147</v>
      </c>
      <c r="I7" s="123" t="s">
        <v>148</v>
      </c>
      <c r="J7" s="124" t="s">
        <v>149</v>
      </c>
      <c r="L7" s="71">
        <v>4</v>
      </c>
    </row>
    <row r="8" spans="2:12" x14ac:dyDescent="0.3">
      <c r="B8" s="48" t="s">
        <v>53</v>
      </c>
      <c r="C8" s="54">
        <v>5</v>
      </c>
      <c r="D8" s="25">
        <f>('1'!B33/12)*C8</f>
        <v>680000000</v>
      </c>
      <c r="E8" s="125" t="s">
        <v>84</v>
      </c>
      <c r="F8" s="126"/>
      <c r="G8" s="126"/>
      <c r="H8" s="126"/>
      <c r="I8" s="126"/>
      <c r="J8" s="127">
        <f>D16</f>
        <v>4560061423.333333</v>
      </c>
      <c r="L8" s="71">
        <v>5</v>
      </c>
    </row>
    <row r="9" spans="2:12" x14ac:dyDescent="0.3">
      <c r="B9" s="48" t="s">
        <v>57</v>
      </c>
      <c r="C9" s="54">
        <v>5</v>
      </c>
      <c r="D9" s="25">
        <f>('2'!C23/12)*C9</f>
        <v>188478090</v>
      </c>
      <c r="E9" s="125">
        <f>'1'!B31</f>
        <v>2029</v>
      </c>
      <c r="F9" s="129">
        <f t="shared" ref="F9:F13" si="0">IF(J8&gt;0,J8,0)</f>
        <v>4560061423.333333</v>
      </c>
      <c r="G9" s="129">
        <f>F9*$F$4</f>
        <v>1048814127.3666667</v>
      </c>
      <c r="H9" s="129">
        <f>IF(J8&lt;1,0,(I9-G9))</f>
        <v>577761716.07764208</v>
      </c>
      <c r="I9" s="129">
        <f>PMT(F4,J4,J8)*-1</f>
        <v>1626575843.4443088</v>
      </c>
      <c r="J9" s="130">
        <f>F9-H9</f>
        <v>3982299707.2556911</v>
      </c>
    </row>
    <row r="10" spans="2:12" x14ac:dyDescent="0.3">
      <c r="B10" s="48" t="s">
        <v>58</v>
      </c>
      <c r="C10" s="54">
        <v>5</v>
      </c>
      <c r="D10" s="25">
        <f>('2'!C25/12)*C10</f>
        <v>4166666.666666667</v>
      </c>
      <c r="E10" s="125">
        <f>'1'!C31</f>
        <v>2030</v>
      </c>
      <c r="F10" s="129">
        <f t="shared" si="0"/>
        <v>3982299707.2556911</v>
      </c>
      <c r="G10" s="129">
        <f t="shared" ref="G10:G13" si="1">F10*$F$4</f>
        <v>915928932.66880894</v>
      </c>
      <c r="H10" s="129">
        <f t="shared" ref="H10:H13" si="2">IF(J9&lt;1,0,(I10-G10))</f>
        <v>710646910.77549982</v>
      </c>
      <c r="I10" s="129">
        <f>IF(J9&lt;1,0,(I9*(1+$K$7)))</f>
        <v>1626575843.4443088</v>
      </c>
      <c r="J10" s="130">
        <f t="shared" ref="J10:J13" si="3">F10-H10</f>
        <v>3271652796.4801912</v>
      </c>
    </row>
    <row r="11" spans="2:12" x14ac:dyDescent="0.3">
      <c r="B11" s="48" t="s">
        <v>33</v>
      </c>
      <c r="C11" s="54">
        <v>5</v>
      </c>
      <c r="D11" s="25">
        <f>('2'!F31/12)*C11</f>
        <v>25416666.666666664</v>
      </c>
      <c r="E11" s="125">
        <f>'1'!D31</f>
        <v>2031</v>
      </c>
      <c r="F11" s="129">
        <f t="shared" si="0"/>
        <v>3271652796.4801912</v>
      </c>
      <c r="G11" s="129">
        <f t="shared" si="1"/>
        <v>752480143.19044399</v>
      </c>
      <c r="H11" s="129">
        <f t="shared" si="2"/>
        <v>874095700.25386477</v>
      </c>
      <c r="I11" s="129">
        <f t="shared" ref="I11:I13" si="4">IF(J10&lt;1,0,(I10*(1+$K$7)))</f>
        <v>1626575843.4443088</v>
      </c>
      <c r="J11" s="130">
        <f t="shared" si="3"/>
        <v>2397557096.2263265</v>
      </c>
    </row>
    <row r="12" spans="2:12" ht="15.6" x14ac:dyDescent="0.3">
      <c r="B12" s="80" t="s">
        <v>8</v>
      </c>
      <c r="C12" s="58"/>
      <c r="D12" s="81">
        <f>SUM(D8:D11)</f>
        <v>898061423.33333325</v>
      </c>
      <c r="E12" s="125">
        <f>'1'!E31</f>
        <v>2032</v>
      </c>
      <c r="F12" s="129">
        <f t="shared" si="0"/>
        <v>2397557096.2263265</v>
      </c>
      <c r="G12" s="129">
        <f t="shared" si="1"/>
        <v>551438132.13205516</v>
      </c>
      <c r="H12" s="129">
        <f t="shared" si="2"/>
        <v>1075137711.3122535</v>
      </c>
      <c r="I12" s="129">
        <f t="shared" si="4"/>
        <v>1626575843.4443088</v>
      </c>
      <c r="J12" s="130">
        <f t="shared" si="3"/>
        <v>1322419384.914073</v>
      </c>
    </row>
    <row r="13" spans="2:12" ht="15" thickBot="1" x14ac:dyDescent="0.35">
      <c r="E13" s="128">
        <f>'1'!F31</f>
        <v>2033</v>
      </c>
      <c r="F13" s="131">
        <f t="shared" si="0"/>
        <v>1322419384.914073</v>
      </c>
      <c r="G13" s="131">
        <f t="shared" si="1"/>
        <v>304156458.53023678</v>
      </c>
      <c r="H13" s="131">
        <f t="shared" si="2"/>
        <v>1322419384.914072</v>
      </c>
      <c r="I13" s="131">
        <f t="shared" si="4"/>
        <v>1626575843.4443088</v>
      </c>
      <c r="J13" s="132">
        <f t="shared" si="3"/>
        <v>0</v>
      </c>
    </row>
    <row r="14" spans="2:12" ht="15.6" x14ac:dyDescent="0.3">
      <c r="B14" s="48" t="s">
        <v>59</v>
      </c>
      <c r="D14" s="74">
        <f>C4+D12</f>
        <v>4560061423.333333</v>
      </c>
    </row>
    <row r="15" spans="2:12" x14ac:dyDescent="0.3">
      <c r="B15" s="48" t="s">
        <v>60</v>
      </c>
      <c r="D15" s="55">
        <v>0</v>
      </c>
    </row>
    <row r="16" spans="2:12" ht="15.6" x14ac:dyDescent="0.3">
      <c r="B16" s="48" t="s">
        <v>61</v>
      </c>
      <c r="D16" s="82">
        <f>D14-D15</f>
        <v>4560061423.333333</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55" zoomScaleNormal="55" workbookViewId="0">
      <pane xSplit="7" ySplit="1" topLeftCell="M2" activePane="bottomRight" state="frozenSplit"/>
      <selection pane="topRight" activeCell="E1" sqref="E1"/>
      <selection pane="bottomLeft" activeCell="A12" sqref="A12"/>
      <selection pane="bottomRight" activeCell="A4" sqref="A4:G59"/>
    </sheetView>
  </sheetViews>
  <sheetFormatPr baseColWidth="10" defaultColWidth="11.44140625" defaultRowHeight="14.4" x14ac:dyDescent="0.3"/>
  <cols>
    <col min="1" max="1" width="26.6640625" style="8" customWidth="1"/>
    <col min="2" max="2" width="25.88671875" style="8" bestFit="1" customWidth="1"/>
    <col min="3" max="3" width="26.77734375" style="8" customWidth="1"/>
    <col min="4" max="4" width="25.33203125" style="8" customWidth="1"/>
    <col min="5" max="5" width="28.21875" style="8" customWidth="1"/>
    <col min="6" max="6" width="25.33203125" style="8" customWidth="1"/>
    <col min="7" max="7" width="24.77734375" style="8" customWidth="1"/>
    <col min="8" max="16384" width="11.44140625" style="8"/>
  </cols>
  <sheetData>
    <row r="1" spans="1:7" ht="34.5" customHeight="1" x14ac:dyDescent="0.3">
      <c r="A1" s="153" t="s">
        <v>117</v>
      </c>
      <c r="B1" s="153"/>
      <c r="C1" s="153"/>
      <c r="D1" s="153"/>
      <c r="E1" s="153"/>
      <c r="F1" s="153"/>
      <c r="G1" s="153"/>
    </row>
    <row r="2" spans="1:7" ht="23.4" x14ac:dyDescent="0.3">
      <c r="A2" s="154" t="s">
        <v>132</v>
      </c>
      <c r="B2" s="154"/>
      <c r="C2" s="154"/>
      <c r="D2" s="154"/>
      <c r="E2" s="154"/>
      <c r="F2" s="154"/>
      <c r="G2" s="154"/>
    </row>
    <row r="3" spans="1:7" ht="8.25" customHeight="1" x14ac:dyDescent="0.3">
      <c r="A3" s="56"/>
      <c r="B3" s="56"/>
      <c r="C3" s="56"/>
      <c r="D3" s="56"/>
      <c r="E3" s="56"/>
      <c r="F3" s="56"/>
      <c r="G3" s="56"/>
    </row>
    <row r="4" spans="1:7" ht="15.6" x14ac:dyDescent="0.3">
      <c r="A4" s="155" t="s">
        <v>89</v>
      </c>
      <c r="B4" s="155"/>
      <c r="C4" s="155"/>
      <c r="D4" s="155"/>
      <c r="E4" s="155"/>
      <c r="F4" s="155"/>
      <c r="G4" s="155"/>
    </row>
    <row r="5" spans="1:7" ht="23.4" x14ac:dyDescent="0.3">
      <c r="C5" s="60">
        <f>'1'!B31</f>
        <v>2029</v>
      </c>
      <c r="D5" s="60">
        <f>'1'!C31</f>
        <v>2030</v>
      </c>
      <c r="E5" s="60">
        <f>'1'!D31</f>
        <v>2031</v>
      </c>
      <c r="F5" s="60">
        <f>'1'!E31</f>
        <v>2032</v>
      </c>
      <c r="G5" s="60">
        <f>'1'!F31</f>
        <v>2033</v>
      </c>
    </row>
    <row r="6" spans="1:7" x14ac:dyDescent="0.3">
      <c r="B6" s="8" t="s">
        <v>31</v>
      </c>
      <c r="C6" s="61">
        <f>'1'!B32</f>
        <v>3840000000</v>
      </c>
      <c r="D6" s="61">
        <f>'1'!C32</f>
        <v>4469414400</v>
      </c>
      <c r="E6" s="61">
        <f>'1'!D32</f>
        <v>5201504478.7200003</v>
      </c>
      <c r="F6" s="61">
        <f>'1'!E32</f>
        <v>6054083077.8269968</v>
      </c>
      <c r="G6" s="61">
        <f>'1'!F32</f>
        <v>7046407835.1136208</v>
      </c>
    </row>
    <row r="7" spans="1:7" x14ac:dyDescent="0.3">
      <c r="B7" s="8" t="s">
        <v>66</v>
      </c>
      <c r="C7" s="61">
        <f>'1'!B33</f>
        <v>1632000000</v>
      </c>
      <c r="D7" s="61">
        <f>'1'!C33</f>
        <v>1820512320</v>
      </c>
      <c r="E7" s="61">
        <f>'1'!D33</f>
        <v>2044817642.9471998</v>
      </c>
      <c r="F7" s="61">
        <f>'1'!E33</f>
        <v>2312504720.5854177</v>
      </c>
      <c r="G7" s="61">
        <f>'1'!F33</f>
        <v>2633040999.9057627</v>
      </c>
    </row>
    <row r="8" spans="1:7" ht="15" thickBot="1" x14ac:dyDescent="0.35">
      <c r="B8" s="62" t="s">
        <v>67</v>
      </c>
      <c r="C8" s="63">
        <f>C6-C7</f>
        <v>2208000000</v>
      </c>
      <c r="D8" s="63">
        <f t="shared" ref="D8:G8" si="0">D6-D7</f>
        <v>2648902080</v>
      </c>
      <c r="E8" s="63">
        <f t="shared" si="0"/>
        <v>3156686835.7728004</v>
      </c>
      <c r="F8" s="63">
        <f t="shared" si="0"/>
        <v>3741578357.2415791</v>
      </c>
      <c r="G8" s="63">
        <f t="shared" si="0"/>
        <v>4413366835.2078581</v>
      </c>
    </row>
    <row r="9" spans="1:7" ht="15" thickTop="1" x14ac:dyDescent="0.3">
      <c r="B9" s="8" t="s">
        <v>68</v>
      </c>
      <c r="C9" s="61">
        <f>'2'!C23</f>
        <v>452347416</v>
      </c>
      <c r="D9" s="61">
        <f>C9*(1+'1'!Z4)</f>
        <v>478628800.8696</v>
      </c>
      <c r="E9" s="61">
        <f>D9*(1+'1'!AA4)</f>
        <v>506389271.32003683</v>
      </c>
      <c r="F9" s="61">
        <f>E9*(1+'1'!AB4)</f>
        <v>535810487.98373097</v>
      </c>
      <c r="G9" s="61">
        <f>F9*(1+'1'!AC4)</f>
        <v>566941077.33558571</v>
      </c>
    </row>
    <row r="10" spans="1:7" x14ac:dyDescent="0.3">
      <c r="B10" s="8" t="s">
        <v>134</v>
      </c>
      <c r="C10" s="61">
        <f>'2'!F31</f>
        <v>61000000</v>
      </c>
      <c r="D10" s="61">
        <f>C10*(1+'1'!Z4)</f>
        <v>64544100</v>
      </c>
      <c r="E10" s="61">
        <f>D10*(1+'1'!AA4)</f>
        <v>68287657.799999997</v>
      </c>
      <c r="F10" s="61">
        <f>E10*(1+'1'!AB4)</f>
        <v>72255170.718180001</v>
      </c>
      <c r="G10" s="61">
        <f>F10*(1+'1'!AC4)</f>
        <v>76453196.136906266</v>
      </c>
    </row>
    <row r="11" spans="1:7" x14ac:dyDescent="0.3">
      <c r="B11" s="8" t="s">
        <v>69</v>
      </c>
      <c r="C11" s="61">
        <f>'2'!C25</f>
        <v>10000000</v>
      </c>
      <c r="D11" s="61">
        <f>'2'!C28</f>
        <v>10500000</v>
      </c>
      <c r="E11" s="61">
        <f>'2'!C29</f>
        <v>11025000</v>
      </c>
      <c r="F11" s="61">
        <f>'2'!C30</f>
        <v>11576250</v>
      </c>
      <c r="G11" s="61">
        <f>'2'!C31</f>
        <v>12155062.5</v>
      </c>
    </row>
    <row r="12" spans="1:7" x14ac:dyDescent="0.3">
      <c r="B12" s="8" t="s">
        <v>86</v>
      </c>
      <c r="C12" s="61">
        <f>'2'!G12</f>
        <v>398200000</v>
      </c>
      <c r="D12" s="61">
        <f>C12</f>
        <v>398200000</v>
      </c>
      <c r="E12" s="61">
        <f t="shared" ref="E12:G12" si="1">D12</f>
        <v>398200000</v>
      </c>
      <c r="F12" s="61">
        <f t="shared" si="1"/>
        <v>398200000</v>
      </c>
      <c r="G12" s="61">
        <f t="shared" si="1"/>
        <v>398200000</v>
      </c>
    </row>
    <row r="13" spans="1:7" ht="15" thickBot="1" x14ac:dyDescent="0.35">
      <c r="B13" s="62" t="s">
        <v>70</v>
      </c>
      <c r="C13" s="64">
        <f>C8-C9-C10-C11-C12</f>
        <v>1286452584</v>
      </c>
      <c r="D13" s="64">
        <f t="shared" ref="D13:G13" si="2">D8-D9-D10-D11-D12</f>
        <v>1697029179.1304002</v>
      </c>
      <c r="E13" s="64">
        <f t="shared" si="2"/>
        <v>2172784906.6527634</v>
      </c>
      <c r="F13" s="64">
        <f t="shared" si="2"/>
        <v>2723736448.5396681</v>
      </c>
      <c r="G13" s="64">
        <f t="shared" si="2"/>
        <v>3359617499.2353663</v>
      </c>
    </row>
    <row r="14" spans="1:7" ht="15" thickTop="1" x14ac:dyDescent="0.3">
      <c r="B14" s="8" t="s">
        <v>71</v>
      </c>
      <c r="C14" s="61">
        <f>'3'!G9</f>
        <v>1048814127.3666667</v>
      </c>
      <c r="D14" s="61">
        <f>'3'!G10</f>
        <v>915928932.66880894</v>
      </c>
      <c r="E14" s="61">
        <f>'3'!G11</f>
        <v>752480143.19044399</v>
      </c>
      <c r="F14" s="61">
        <f>'3'!G12</f>
        <v>551438132.13205516</v>
      </c>
      <c r="G14" s="61">
        <f>'3'!G13</f>
        <v>304156458.53023678</v>
      </c>
    </row>
    <row r="15" spans="1:7" ht="15" thickBot="1" x14ac:dyDescent="0.35">
      <c r="B15" s="62" t="s">
        <v>72</v>
      </c>
      <c r="C15" s="64">
        <f>C13-C14</f>
        <v>237638456.63333333</v>
      </c>
      <c r="D15" s="64">
        <f t="shared" ref="D15:G15" si="3">D13-D14</f>
        <v>781100246.46159124</v>
      </c>
      <c r="E15" s="64">
        <f t="shared" si="3"/>
        <v>1420304763.4623194</v>
      </c>
      <c r="F15" s="64">
        <f t="shared" si="3"/>
        <v>2172298316.4076128</v>
      </c>
      <c r="G15" s="64">
        <f t="shared" si="3"/>
        <v>3055461040.7051296</v>
      </c>
    </row>
    <row r="16" spans="1:7" ht="15" thickTop="1" x14ac:dyDescent="0.3">
      <c r="B16" s="8" t="s">
        <v>73</v>
      </c>
      <c r="C16" s="65">
        <f>IF(C15*'1'!$AB$7&lt;0,0,C15*'1'!$AB$7)</f>
        <v>83173459.821666658</v>
      </c>
      <c r="D16" s="65">
        <f>IF(D15*'1'!$AB$7&lt;0,0,D15*'1'!$AB$7)</f>
        <v>273385086.26155692</v>
      </c>
      <c r="E16" s="65">
        <f>IF(E15*'1'!$AB$7&lt;0,0,E15*'1'!$AB$7)</f>
        <v>497106667.21181172</v>
      </c>
      <c r="F16" s="65">
        <f>IF(F15*'1'!$AB$7&lt;0,0,F15*'1'!$AB$7)</f>
        <v>760304410.74266446</v>
      </c>
      <c r="G16" s="65">
        <f>IF(G15*'1'!$AB$7&lt;0,0,G15*'1'!$AB$7)</f>
        <v>1069411364.2467953</v>
      </c>
    </row>
    <row r="17" spans="1:8" ht="15" thickBot="1" x14ac:dyDescent="0.35">
      <c r="B17" s="66" t="s">
        <v>74</v>
      </c>
      <c r="C17" s="67">
        <f>C15-C16</f>
        <v>154464996.81166667</v>
      </c>
      <c r="D17" s="67">
        <f t="shared" ref="D17:G17" si="4">D15-D16</f>
        <v>507715160.20003432</v>
      </c>
      <c r="E17" s="67">
        <f t="shared" si="4"/>
        <v>923198096.25050759</v>
      </c>
      <c r="F17" s="67">
        <f t="shared" si="4"/>
        <v>1411993905.6649485</v>
      </c>
      <c r="G17" s="67">
        <f t="shared" si="4"/>
        <v>1986049676.4583344</v>
      </c>
    </row>
    <row r="19" spans="1:8" ht="15.6" x14ac:dyDescent="0.3">
      <c r="A19" s="155" t="s">
        <v>64</v>
      </c>
      <c r="B19" s="155"/>
      <c r="C19" s="155"/>
      <c r="D19" s="155"/>
      <c r="E19" s="155"/>
      <c r="F19" s="155"/>
      <c r="G19" s="155"/>
    </row>
    <row r="20" spans="1:8" ht="23.4" x14ac:dyDescent="0.3">
      <c r="B20" s="68" t="s">
        <v>84</v>
      </c>
      <c r="C20" s="60">
        <f>C5</f>
        <v>2029</v>
      </c>
      <c r="D20" s="60">
        <f>D5</f>
        <v>2030</v>
      </c>
      <c r="E20" s="60">
        <f>E5</f>
        <v>2031</v>
      </c>
      <c r="F20" s="60">
        <f>F5</f>
        <v>2032</v>
      </c>
      <c r="G20" s="60">
        <f>G5</f>
        <v>2033</v>
      </c>
    </row>
    <row r="21" spans="1:8" x14ac:dyDescent="0.3">
      <c r="A21" s="156" t="s">
        <v>65</v>
      </c>
      <c r="B21" s="156"/>
      <c r="C21" s="156"/>
      <c r="D21" s="156"/>
      <c r="E21" s="156"/>
      <c r="F21" s="156"/>
      <c r="G21" s="156"/>
    </row>
    <row r="22" spans="1:8" x14ac:dyDescent="0.3">
      <c r="A22" s="8" t="s">
        <v>95</v>
      </c>
      <c r="B22" s="26">
        <f>B38-B26</f>
        <v>898061423.33333302</v>
      </c>
      <c r="C22" s="26">
        <f t="shared" ref="C22:G22" si="5">C38-C26</f>
        <v>956138163.88902426</v>
      </c>
      <c r="D22" s="26">
        <f t="shared" si="5"/>
        <v>1187153042.9417825</v>
      </c>
      <c r="E22" s="26">
        <f t="shared" si="5"/>
        <v>1350461859.6886454</v>
      </c>
      <c r="F22" s="26">
        <f t="shared" si="5"/>
        <v>1425517701.3216858</v>
      </c>
      <c r="G22" s="26">
        <f t="shared" si="5"/>
        <v>1384461040.7051296</v>
      </c>
    </row>
    <row r="23" spans="1:8" x14ac:dyDescent="0.3">
      <c r="A23" s="8" t="s">
        <v>93</v>
      </c>
      <c r="B23" s="26">
        <f>'2'!C4</f>
        <v>300000000</v>
      </c>
      <c r="C23" s="26">
        <f>B23</f>
        <v>300000000</v>
      </c>
      <c r="D23" s="26">
        <f t="shared" ref="D23:G23" si="6">C23</f>
        <v>300000000</v>
      </c>
      <c r="E23" s="26">
        <f t="shared" si="6"/>
        <v>300000000</v>
      </c>
      <c r="F23" s="26">
        <f t="shared" si="6"/>
        <v>300000000</v>
      </c>
      <c r="G23" s="26">
        <f t="shared" si="6"/>
        <v>300000000</v>
      </c>
      <c r="H23" s="26"/>
    </row>
    <row r="24" spans="1:8" x14ac:dyDescent="0.3">
      <c r="A24" s="8" t="s">
        <v>94</v>
      </c>
      <c r="B24" s="26">
        <f>'2'!C12-'2'!C4</f>
        <v>3362000000</v>
      </c>
      <c r="C24" s="26">
        <f>B24</f>
        <v>3362000000</v>
      </c>
      <c r="D24" s="26">
        <f t="shared" ref="D24:G24" si="7">C24</f>
        <v>3362000000</v>
      </c>
      <c r="E24" s="26">
        <f t="shared" si="7"/>
        <v>3362000000</v>
      </c>
      <c r="F24" s="26">
        <f t="shared" si="7"/>
        <v>3362000000</v>
      </c>
      <c r="G24" s="26">
        <f t="shared" si="7"/>
        <v>3362000000</v>
      </c>
      <c r="H24" s="26"/>
    </row>
    <row r="25" spans="1:8" x14ac:dyDescent="0.3">
      <c r="A25" s="8" t="s">
        <v>87</v>
      </c>
      <c r="B25" s="26">
        <v>0</v>
      </c>
      <c r="C25" s="26">
        <f>C12</f>
        <v>398200000</v>
      </c>
      <c r="D25" s="26">
        <f>D12+C12</f>
        <v>796400000</v>
      </c>
      <c r="E25" s="26">
        <f>E12+D12+C12</f>
        <v>1194600000</v>
      </c>
      <c r="F25" s="26">
        <f>F12+E12+D12+C12</f>
        <v>1592800000</v>
      </c>
      <c r="G25" s="26">
        <f>F25+G12</f>
        <v>1991000000</v>
      </c>
      <c r="H25" s="26"/>
    </row>
    <row r="26" spans="1:8" x14ac:dyDescent="0.3">
      <c r="A26" s="8" t="s">
        <v>88</v>
      </c>
      <c r="B26" s="26">
        <f>B23+(B24-B25)</f>
        <v>3662000000</v>
      </c>
      <c r="C26" s="26">
        <f>C23+(C24-C25)</f>
        <v>3263800000</v>
      </c>
      <c r="D26" s="26">
        <f t="shared" ref="D26:G26" si="8">D23+(D24-D25)</f>
        <v>2865600000</v>
      </c>
      <c r="E26" s="26">
        <f t="shared" si="8"/>
        <v>2467400000</v>
      </c>
      <c r="F26" s="26">
        <f t="shared" si="8"/>
        <v>2069200000</v>
      </c>
      <c r="G26" s="26">
        <f t="shared" si="8"/>
        <v>1671000000</v>
      </c>
      <c r="H26" s="26"/>
    </row>
    <row r="27" spans="1:8" ht="15" thickBot="1" x14ac:dyDescent="0.35">
      <c r="A27" s="62" t="s">
        <v>85</v>
      </c>
      <c r="B27" s="69">
        <f>B22+B26</f>
        <v>4560061423.333333</v>
      </c>
      <c r="C27" s="69">
        <f t="shared" ref="C27:G27" si="9">C22+C26</f>
        <v>4219938163.8890243</v>
      </c>
      <c r="D27" s="69">
        <f t="shared" si="9"/>
        <v>4052753042.9417825</v>
      </c>
      <c r="E27" s="69">
        <f t="shared" si="9"/>
        <v>3817861859.6886454</v>
      </c>
      <c r="F27" s="69">
        <f t="shared" si="9"/>
        <v>3494717701.3216858</v>
      </c>
      <c r="G27" s="69">
        <f t="shared" si="9"/>
        <v>3055461040.7051296</v>
      </c>
      <c r="H27" s="26"/>
    </row>
    <row r="28" spans="1:8" ht="15" thickTop="1" x14ac:dyDescent="0.3">
      <c r="A28" s="156" t="s">
        <v>75</v>
      </c>
      <c r="B28" s="156"/>
      <c r="C28" s="156"/>
      <c r="D28" s="156"/>
      <c r="E28" s="156"/>
      <c r="F28" s="156"/>
      <c r="G28" s="156"/>
    </row>
    <row r="29" spans="1:8" x14ac:dyDescent="0.3">
      <c r="A29" s="8" t="s">
        <v>76</v>
      </c>
      <c r="B29" s="8">
        <v>0</v>
      </c>
      <c r="C29" s="65">
        <f>C16</f>
        <v>83173459.821666658</v>
      </c>
      <c r="D29" s="65">
        <f>D16</f>
        <v>273385086.26155692</v>
      </c>
      <c r="E29" s="65">
        <f>E16</f>
        <v>497106667.21181172</v>
      </c>
      <c r="F29" s="65">
        <f>F16</f>
        <v>760304410.74266446</v>
      </c>
      <c r="G29" s="65">
        <f>G16</f>
        <v>1069411364.2467953</v>
      </c>
    </row>
    <row r="30" spans="1:8" x14ac:dyDescent="0.3">
      <c r="A30" s="8" t="s">
        <v>77</v>
      </c>
      <c r="B30" s="65">
        <f>B29</f>
        <v>0</v>
      </c>
      <c r="C30" s="65">
        <f t="shared" ref="C30:G30" si="10">C29</f>
        <v>83173459.821666658</v>
      </c>
      <c r="D30" s="65">
        <f t="shared" si="10"/>
        <v>273385086.26155692</v>
      </c>
      <c r="E30" s="65">
        <f t="shared" si="10"/>
        <v>497106667.21181172</v>
      </c>
      <c r="F30" s="65">
        <f t="shared" si="10"/>
        <v>760304410.74266446</v>
      </c>
      <c r="G30" s="65">
        <f t="shared" si="10"/>
        <v>1069411364.2467953</v>
      </c>
    </row>
    <row r="31" spans="1:8" x14ac:dyDescent="0.3">
      <c r="A31" s="8" t="s">
        <v>78</v>
      </c>
      <c r="B31" s="25">
        <f>'3'!J8</f>
        <v>4560061423.333333</v>
      </c>
      <c r="C31" s="25">
        <f>'3'!J9</f>
        <v>3982299707.2556911</v>
      </c>
      <c r="D31" s="25">
        <f>'3'!J10</f>
        <v>3271652796.4801912</v>
      </c>
      <c r="E31" s="25">
        <f>'3'!J11</f>
        <v>2397557096.2263265</v>
      </c>
      <c r="F31" s="25">
        <f>'3'!J12</f>
        <v>1322419384.914073</v>
      </c>
      <c r="G31" s="25">
        <f>'3'!J13</f>
        <v>0</v>
      </c>
    </row>
    <row r="32" spans="1:8" ht="15" thickBot="1" x14ac:dyDescent="0.35">
      <c r="A32" s="62" t="s">
        <v>75</v>
      </c>
      <c r="B32" s="69">
        <f>B30+B31</f>
        <v>4560061423.333333</v>
      </c>
      <c r="C32" s="69">
        <f t="shared" ref="C32:G32" si="11">C30+C31</f>
        <v>4065473167.0773578</v>
      </c>
      <c r="D32" s="69">
        <f t="shared" si="11"/>
        <v>3545037882.7417483</v>
      </c>
      <c r="E32" s="69">
        <f t="shared" si="11"/>
        <v>2894663763.438138</v>
      </c>
      <c r="F32" s="69">
        <f t="shared" si="11"/>
        <v>2082723795.6567373</v>
      </c>
      <c r="G32" s="69">
        <f t="shared" si="11"/>
        <v>1069411364.2467953</v>
      </c>
    </row>
    <row r="33" spans="1:7" ht="15" thickTop="1" x14ac:dyDescent="0.3">
      <c r="A33" s="156" t="s">
        <v>79</v>
      </c>
      <c r="B33" s="156"/>
      <c r="C33" s="156"/>
      <c r="D33" s="156"/>
      <c r="E33" s="156"/>
      <c r="F33" s="156"/>
      <c r="G33" s="156"/>
    </row>
    <row r="34" spans="1:7" x14ac:dyDescent="0.3">
      <c r="A34" s="8" t="s">
        <v>80</v>
      </c>
      <c r="B34" s="26">
        <f>'3'!D15</f>
        <v>0</v>
      </c>
      <c r="C34" s="26">
        <f>B34</f>
        <v>0</v>
      </c>
      <c r="D34" s="26">
        <f t="shared" ref="D34:G34" si="12">C34</f>
        <v>0</v>
      </c>
      <c r="E34" s="26">
        <f t="shared" si="12"/>
        <v>0</v>
      </c>
      <c r="F34" s="26">
        <f t="shared" si="12"/>
        <v>0</v>
      </c>
      <c r="G34" s="26">
        <f t="shared" si="12"/>
        <v>0</v>
      </c>
    </row>
    <row r="35" spans="1:7" x14ac:dyDescent="0.3">
      <c r="A35" s="8" t="s">
        <v>81</v>
      </c>
      <c r="B35" s="8">
        <v>0</v>
      </c>
      <c r="C35" s="65">
        <f>C17</f>
        <v>154464996.81166667</v>
      </c>
      <c r="D35" s="65">
        <f>D17</f>
        <v>507715160.20003432</v>
      </c>
      <c r="E35" s="65">
        <f>E17</f>
        <v>923198096.25050759</v>
      </c>
      <c r="F35" s="65">
        <f>F17</f>
        <v>1411993905.6649485</v>
      </c>
      <c r="G35" s="65">
        <f>G17</f>
        <v>1986049676.4583344</v>
      </c>
    </row>
    <row r="36" spans="1:7" ht="15" thickBot="1" x14ac:dyDescent="0.35">
      <c r="A36" s="62" t="s">
        <v>82</v>
      </c>
      <c r="B36" s="69">
        <f>B34+B35</f>
        <v>0</v>
      </c>
      <c r="C36" s="69">
        <f t="shared" ref="C36:G36" si="13">C34+C35</f>
        <v>154464996.81166667</v>
      </c>
      <c r="D36" s="69">
        <f t="shared" si="13"/>
        <v>507715160.20003432</v>
      </c>
      <c r="E36" s="69">
        <f t="shared" si="13"/>
        <v>923198096.25050759</v>
      </c>
      <c r="F36" s="69">
        <f t="shared" si="13"/>
        <v>1411993905.6649485</v>
      </c>
      <c r="G36" s="69">
        <f t="shared" si="13"/>
        <v>1986049676.4583344</v>
      </c>
    </row>
    <row r="37" spans="1:7" ht="15" thickTop="1" x14ac:dyDescent="0.3"/>
    <row r="38" spans="1:7" ht="15" thickBot="1" x14ac:dyDescent="0.35">
      <c r="A38" s="62" t="s">
        <v>83</v>
      </c>
      <c r="B38" s="69">
        <f>B32+B36</f>
        <v>4560061423.333333</v>
      </c>
      <c r="C38" s="69">
        <f t="shared" ref="C38:G38" si="14">C32+C36</f>
        <v>4219938163.8890243</v>
      </c>
      <c r="D38" s="69">
        <f t="shared" si="14"/>
        <v>4052753042.9417825</v>
      </c>
      <c r="E38" s="69">
        <f t="shared" si="14"/>
        <v>3817861859.6886454</v>
      </c>
      <c r="F38" s="69">
        <f t="shared" si="14"/>
        <v>3494717701.3216858</v>
      </c>
      <c r="G38" s="69">
        <f t="shared" si="14"/>
        <v>3055461040.7051296</v>
      </c>
    </row>
    <row r="39" spans="1:7" ht="15" thickTop="1" x14ac:dyDescent="0.3">
      <c r="A39" s="58" t="s">
        <v>90</v>
      </c>
      <c r="B39" s="70">
        <f>B27-B38</f>
        <v>0</v>
      </c>
      <c r="C39" s="70">
        <f t="shared" ref="C39:G39" si="15">C27-C38</f>
        <v>0</v>
      </c>
      <c r="D39" s="70">
        <f t="shared" si="15"/>
        <v>0</v>
      </c>
      <c r="E39" s="70">
        <f t="shared" si="15"/>
        <v>0</v>
      </c>
      <c r="F39" s="70">
        <f t="shared" si="15"/>
        <v>0</v>
      </c>
      <c r="G39" s="70">
        <f t="shared" si="15"/>
        <v>0</v>
      </c>
    </row>
    <row r="41" spans="1:7" ht="15.6" x14ac:dyDescent="0.3">
      <c r="A41" s="155" t="s">
        <v>96</v>
      </c>
      <c r="B41" s="155"/>
      <c r="C41" s="155"/>
      <c r="D41" s="155"/>
      <c r="E41" s="155"/>
      <c r="F41" s="155"/>
      <c r="G41" s="155"/>
    </row>
    <row r="42" spans="1:7" x14ac:dyDescent="0.3">
      <c r="A42" s="156" t="s">
        <v>97</v>
      </c>
      <c r="B42" s="156"/>
      <c r="C42" s="156"/>
      <c r="D42" s="156"/>
      <c r="E42" s="156"/>
      <c r="F42" s="156"/>
      <c r="G42" s="156"/>
    </row>
    <row r="43" spans="1:7" ht="23.4" x14ac:dyDescent="0.3">
      <c r="A43" s="11"/>
      <c r="B43" s="68" t="s">
        <v>84</v>
      </c>
      <c r="C43" s="60">
        <f>C20</f>
        <v>2029</v>
      </c>
      <c r="D43" s="60">
        <f t="shared" ref="D43:G43" si="16">D20</f>
        <v>2030</v>
      </c>
      <c r="E43" s="60">
        <f t="shared" si="16"/>
        <v>2031</v>
      </c>
      <c r="F43" s="60">
        <f t="shared" si="16"/>
        <v>2032</v>
      </c>
      <c r="G43" s="60">
        <f t="shared" si="16"/>
        <v>2033</v>
      </c>
    </row>
    <row r="44" spans="1:7" x14ac:dyDescent="0.3">
      <c r="A44" s="1" t="s">
        <v>98</v>
      </c>
      <c r="B44" s="2">
        <f>B22</f>
        <v>898061423.33333302</v>
      </c>
      <c r="C44" s="2">
        <f t="shared" ref="C44:G44" si="17">C22</f>
        <v>956138163.88902426</v>
      </c>
      <c r="D44" s="2">
        <f t="shared" si="17"/>
        <v>1187153042.9417825</v>
      </c>
      <c r="E44" s="2">
        <f t="shared" si="17"/>
        <v>1350461859.6886454</v>
      </c>
      <c r="F44" s="2">
        <f t="shared" si="17"/>
        <v>1425517701.3216858</v>
      </c>
      <c r="G44" s="2">
        <f t="shared" si="17"/>
        <v>1384461040.7051296</v>
      </c>
    </row>
    <row r="45" spans="1:7" ht="15" thickBot="1" x14ac:dyDescent="0.35">
      <c r="A45" s="1" t="s">
        <v>99</v>
      </c>
      <c r="B45" s="3">
        <f>B29</f>
        <v>0</v>
      </c>
      <c r="C45" s="3">
        <f t="shared" ref="C45:G45" si="18">C29</f>
        <v>83173459.821666658</v>
      </c>
      <c r="D45" s="3">
        <f t="shared" si="18"/>
        <v>273385086.26155692</v>
      </c>
      <c r="E45" s="3">
        <f t="shared" si="18"/>
        <v>497106667.21181172</v>
      </c>
      <c r="F45" s="3">
        <f t="shared" si="18"/>
        <v>760304410.74266446</v>
      </c>
      <c r="G45" s="3">
        <f t="shared" si="18"/>
        <v>1069411364.2467953</v>
      </c>
    </row>
    <row r="46" spans="1:7" ht="15" thickTop="1" x14ac:dyDescent="0.3">
      <c r="A46" s="4" t="s">
        <v>100</v>
      </c>
      <c r="B46" s="5">
        <f t="shared" ref="B46:G46" si="19">B44-B45</f>
        <v>898061423.33333302</v>
      </c>
      <c r="C46" s="5">
        <f t="shared" si="19"/>
        <v>872964704.06735754</v>
      </c>
      <c r="D46" s="5">
        <f t="shared" si="19"/>
        <v>913767956.68022561</v>
      </c>
      <c r="E46" s="5">
        <f t="shared" si="19"/>
        <v>853355192.47683358</v>
      </c>
      <c r="F46" s="5">
        <f t="shared" si="19"/>
        <v>665213290.57902133</v>
      </c>
      <c r="G46" s="5">
        <f t="shared" si="19"/>
        <v>315049676.45833433</v>
      </c>
    </row>
    <row r="47" spans="1:7" x14ac:dyDescent="0.3">
      <c r="A47" s="1"/>
      <c r="B47" s="2"/>
      <c r="C47" s="2"/>
      <c r="D47" s="2"/>
      <c r="E47" s="2"/>
      <c r="F47" s="2"/>
      <c r="G47" s="2"/>
    </row>
    <row r="48" spans="1:7" x14ac:dyDescent="0.3">
      <c r="A48" s="4" t="s">
        <v>101</v>
      </c>
      <c r="B48" s="2">
        <f>B26</f>
        <v>3662000000</v>
      </c>
      <c r="C48" s="2">
        <f t="shared" ref="C48:G48" si="20">C26</f>
        <v>3263800000</v>
      </c>
      <c r="D48" s="2">
        <f t="shared" si="20"/>
        <v>2865600000</v>
      </c>
      <c r="E48" s="2">
        <f t="shared" si="20"/>
        <v>2467400000</v>
      </c>
      <c r="F48" s="2">
        <f t="shared" si="20"/>
        <v>2069200000</v>
      </c>
      <c r="G48" s="2">
        <f t="shared" si="20"/>
        <v>1671000000</v>
      </c>
    </row>
    <row r="49" spans="1:7" ht="15" thickBot="1" x14ac:dyDescent="0.35">
      <c r="A49" s="1" t="s">
        <v>102</v>
      </c>
      <c r="B49" s="3">
        <f>B25</f>
        <v>0</v>
      </c>
      <c r="C49" s="3">
        <f t="shared" ref="C49:G49" si="21">C25</f>
        <v>398200000</v>
      </c>
      <c r="D49" s="3">
        <f t="shared" si="21"/>
        <v>796400000</v>
      </c>
      <c r="E49" s="3">
        <f t="shared" si="21"/>
        <v>1194600000</v>
      </c>
      <c r="F49" s="3">
        <f t="shared" si="21"/>
        <v>1592800000</v>
      </c>
      <c r="G49" s="3">
        <f t="shared" si="21"/>
        <v>1991000000</v>
      </c>
    </row>
    <row r="50" spans="1:7" ht="15" thickTop="1" x14ac:dyDescent="0.3">
      <c r="A50" s="4" t="s">
        <v>103</v>
      </c>
      <c r="B50" s="5">
        <f t="shared" ref="B50:G50" si="22">B48+B49</f>
        <v>3662000000</v>
      </c>
      <c r="C50" s="5">
        <f t="shared" si="22"/>
        <v>3662000000</v>
      </c>
      <c r="D50" s="5">
        <f t="shared" si="22"/>
        <v>3662000000</v>
      </c>
      <c r="E50" s="5">
        <f t="shared" si="22"/>
        <v>3662000000</v>
      </c>
      <c r="F50" s="5">
        <f t="shared" si="22"/>
        <v>3662000000</v>
      </c>
      <c r="G50" s="5">
        <f t="shared" si="22"/>
        <v>3662000000</v>
      </c>
    </row>
    <row r="51" spans="1:7" x14ac:dyDescent="0.3">
      <c r="A51" s="1"/>
      <c r="B51" s="2"/>
      <c r="C51" s="2"/>
      <c r="D51" s="2"/>
      <c r="E51" s="2"/>
      <c r="F51" s="2"/>
      <c r="G51" s="2"/>
    </row>
    <row r="52" spans="1:7" ht="15" thickBot="1" x14ac:dyDescent="0.35">
      <c r="A52" s="12" t="s">
        <v>104</v>
      </c>
      <c r="B52" s="6">
        <f t="shared" ref="B52:G52" si="23">B46+B48</f>
        <v>4560061423.333333</v>
      </c>
      <c r="C52" s="6">
        <f t="shared" si="23"/>
        <v>4136764704.0673575</v>
      </c>
      <c r="D52" s="6">
        <f t="shared" si="23"/>
        <v>3779367956.6802254</v>
      </c>
      <c r="E52" s="6">
        <f t="shared" si="23"/>
        <v>3320755192.4768333</v>
      </c>
      <c r="F52" s="6">
        <f t="shared" si="23"/>
        <v>2734413290.5790215</v>
      </c>
      <c r="G52" s="6">
        <f t="shared" si="23"/>
        <v>1986049676.4583344</v>
      </c>
    </row>
    <row r="53" spans="1:7" ht="15" thickTop="1" x14ac:dyDescent="0.3">
      <c r="A53" s="7"/>
      <c r="B53" s="2"/>
      <c r="C53" s="2"/>
      <c r="D53" s="2"/>
      <c r="E53" s="2"/>
      <c r="F53" s="2"/>
      <c r="G53" s="2"/>
    </row>
    <row r="54" spans="1:7" x14ac:dyDescent="0.3">
      <c r="A54" s="157" t="s">
        <v>105</v>
      </c>
      <c r="B54" s="157"/>
      <c r="C54" s="157"/>
      <c r="D54" s="157"/>
      <c r="E54" s="157"/>
      <c r="F54" s="157"/>
      <c r="G54" s="157"/>
    </row>
    <row r="55" spans="1:7" x14ac:dyDescent="0.3">
      <c r="A55" s="1" t="s">
        <v>106</v>
      </c>
      <c r="C55" s="9">
        <f>C13</f>
        <v>1286452584</v>
      </c>
      <c r="D55" s="9">
        <f t="shared" ref="D55:G55" si="24">D13</f>
        <v>1697029179.1304002</v>
      </c>
      <c r="E55" s="9">
        <f t="shared" si="24"/>
        <v>2172784906.6527634</v>
      </c>
      <c r="F55" s="9">
        <f t="shared" si="24"/>
        <v>2723736448.5396681</v>
      </c>
      <c r="G55" s="9">
        <f t="shared" si="24"/>
        <v>3359617499.2353663</v>
      </c>
    </row>
    <row r="56" spans="1:7" ht="15" thickBot="1" x14ac:dyDescent="0.35">
      <c r="A56" s="1" t="s">
        <v>107</v>
      </c>
      <c r="C56" s="10">
        <f>C55*'1'!$AB$7</f>
        <v>450258404.39999998</v>
      </c>
      <c r="D56" s="10">
        <f>D55*'1'!$AB$7</f>
        <v>593960212.69563997</v>
      </c>
      <c r="E56" s="10">
        <f>E55*'1'!$AB$7</f>
        <v>760474717.32846713</v>
      </c>
      <c r="F56" s="10">
        <f>F55*'1'!$AB$7</f>
        <v>953307756.98888373</v>
      </c>
      <c r="G56" s="10">
        <f>G55*'1'!$AB$7</f>
        <v>1175866124.7323782</v>
      </c>
    </row>
    <row r="57" spans="1:7" ht="15" thickTop="1" x14ac:dyDescent="0.3">
      <c r="A57" s="4" t="s">
        <v>108</v>
      </c>
      <c r="C57" s="9">
        <f>C55-C56</f>
        <v>836194179.60000002</v>
      </c>
      <c r="D57" s="9">
        <f>D55-D56</f>
        <v>1103068966.4347601</v>
      </c>
      <c r="E57" s="9">
        <f>E55-E56</f>
        <v>1412310189.3242962</v>
      </c>
      <c r="F57" s="9">
        <f>F55-F56</f>
        <v>1770428691.5507843</v>
      </c>
      <c r="G57" s="9">
        <f>G55-G56</f>
        <v>2183751374.5029879</v>
      </c>
    </row>
    <row r="58" spans="1:7" ht="15" thickBot="1" x14ac:dyDescent="0.35">
      <c r="A58" s="1" t="s">
        <v>109</v>
      </c>
      <c r="C58" s="10">
        <f>-(C52-B52)</f>
        <v>423296719.26597548</v>
      </c>
      <c r="D58" s="10">
        <f t="shared" ref="D58:G58" si="25">-(D52-C52)</f>
        <v>357396747.38713217</v>
      </c>
      <c r="E58" s="10">
        <f t="shared" si="25"/>
        <v>458612764.20339203</v>
      </c>
      <c r="F58" s="10">
        <f t="shared" si="25"/>
        <v>586341901.89781189</v>
      </c>
      <c r="G58" s="10">
        <f t="shared" si="25"/>
        <v>748363614.12068701</v>
      </c>
    </row>
    <row r="59" spans="1:7" ht="15.6" thickTop="1" thickBot="1" x14ac:dyDescent="0.35">
      <c r="A59" s="57" t="s">
        <v>110</v>
      </c>
      <c r="B59" s="58"/>
      <c r="C59" s="59">
        <f>SUM(C57:C58)</f>
        <v>1259490898.8659754</v>
      </c>
      <c r="D59" s="59">
        <f t="shared" ref="D59:G59" si="26">SUM(D57:D58)</f>
        <v>1460465713.8218923</v>
      </c>
      <c r="E59" s="59">
        <f t="shared" si="26"/>
        <v>1870922953.5276883</v>
      </c>
      <c r="F59" s="59">
        <f t="shared" si="26"/>
        <v>2356770593.448596</v>
      </c>
      <c r="G59" s="59">
        <f t="shared" si="26"/>
        <v>2932114988.6236749</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D1" zoomScale="55" zoomScaleNormal="55" workbookViewId="0">
      <selection activeCell="E29" sqref="E29"/>
    </sheetView>
  </sheetViews>
  <sheetFormatPr baseColWidth="10" defaultColWidth="11.44140625" defaultRowHeight="14.4" x14ac:dyDescent="0.3"/>
  <cols>
    <col min="1" max="1" width="11.44140625" style="8"/>
    <col min="2" max="2" width="32.5546875" style="8" customWidth="1"/>
    <col min="3" max="3" width="24.33203125" style="8" bestFit="1" customWidth="1"/>
    <col min="4" max="4" width="36.33203125" style="8" bestFit="1" customWidth="1"/>
    <col min="5" max="5" width="30" style="8" customWidth="1"/>
    <col min="6" max="6" width="26" style="8" customWidth="1"/>
    <col min="7" max="7" width="22.109375" style="8" customWidth="1"/>
    <col min="8" max="8" width="22.44140625" style="8"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2" t="s">
        <v>131</v>
      </c>
      <c r="C2" s="142"/>
      <c r="D2" s="142"/>
      <c r="E2" s="142"/>
      <c r="F2" s="142"/>
      <c r="G2" s="142"/>
      <c r="H2" s="142"/>
    </row>
    <row r="3" spans="2:16" ht="15.75" customHeight="1" x14ac:dyDescent="0.3">
      <c r="B3" s="158" t="s">
        <v>159</v>
      </c>
      <c r="C3" s="158"/>
      <c r="D3" s="158"/>
      <c r="E3" s="159">
        <v>0.2</v>
      </c>
      <c r="F3" s="159"/>
    </row>
    <row r="4" spans="2:16" ht="16.5" customHeight="1" x14ac:dyDescent="0.3">
      <c r="B4" s="158"/>
      <c r="C4" s="158"/>
      <c r="D4" s="158"/>
      <c r="E4" s="159"/>
      <c r="F4" s="159"/>
      <c r="O4" s="100"/>
    </row>
    <row r="5" spans="2:16" ht="16.5" customHeight="1" x14ac:dyDescent="0.3">
      <c r="B5" s="162"/>
      <c r="C5" s="162"/>
      <c r="D5" s="162"/>
      <c r="E5" s="139"/>
      <c r="F5" s="139"/>
      <c r="O5" s="100"/>
    </row>
    <row r="6" spans="2:16" ht="15" thickBot="1" x14ac:dyDescent="0.35">
      <c r="O6" s="100"/>
      <c r="P6" s="103"/>
    </row>
    <row r="7" spans="2:16" ht="23.4" x14ac:dyDescent="0.3">
      <c r="B7" s="99" t="s">
        <v>111</v>
      </c>
      <c r="C7" s="83" t="s">
        <v>112</v>
      </c>
      <c r="D7" s="84">
        <f>'4'!C20</f>
        <v>2029</v>
      </c>
      <c r="E7" s="84">
        <f>'4'!D20</f>
        <v>2030</v>
      </c>
      <c r="F7" s="84">
        <f>'4'!E20</f>
        <v>2031</v>
      </c>
      <c r="G7" s="84">
        <f>'4'!F20</f>
        <v>2032</v>
      </c>
      <c r="H7" s="85">
        <f>'4'!G20</f>
        <v>2033</v>
      </c>
      <c r="O7" s="100"/>
      <c r="P7" s="102"/>
    </row>
    <row r="8" spans="2:16" ht="18.600000000000001" thickBot="1" x14ac:dyDescent="0.4">
      <c r="B8" s="86"/>
      <c r="C8" s="108">
        <f>-'3'!D14</f>
        <v>-4560061423.333333</v>
      </c>
      <c r="D8" s="108">
        <f>'4'!C59</f>
        <v>1259490898.8659754</v>
      </c>
      <c r="E8" s="108">
        <f>'4'!D59</f>
        <v>1460465713.8218923</v>
      </c>
      <c r="F8" s="108">
        <f>'4'!E59</f>
        <v>1870922953.5276883</v>
      </c>
      <c r="G8" s="108">
        <f>'4'!F59</f>
        <v>2356770593.448596</v>
      </c>
      <c r="H8" s="109">
        <f>'4'!G59</f>
        <v>2932114988.6236749</v>
      </c>
      <c r="O8" s="100"/>
      <c r="P8" s="102"/>
    </row>
    <row r="9" spans="2:16" ht="15" thickBot="1" x14ac:dyDescent="0.35">
      <c r="C9" s="71">
        <f>C8/(1+$E$3)^0</f>
        <v>-4560061423.333333</v>
      </c>
      <c r="D9" s="71">
        <f>D8/(1+$E$3)^1</f>
        <v>1049575749.0549796</v>
      </c>
      <c r="E9" s="71">
        <f>E8/(1+$E$3)^2</f>
        <v>1014212301.265203</v>
      </c>
      <c r="F9" s="71">
        <f>F8/(1+$E$3)^3</f>
        <v>1082710042.5507455</v>
      </c>
      <c r="G9" s="71">
        <f>G8/(1+$E$3)^4</f>
        <v>1136559892.6738987</v>
      </c>
      <c r="H9" s="71">
        <f>H8/(1+$E$3)^5</f>
        <v>1178351252.5011554</v>
      </c>
      <c r="O9" s="100"/>
      <c r="P9" s="102"/>
    </row>
    <row r="10" spans="2:16" ht="24" thickBot="1" x14ac:dyDescent="0.5">
      <c r="B10" s="30" t="s">
        <v>113</v>
      </c>
      <c r="C10" s="31"/>
      <c r="D10" s="110">
        <f>NPV(E3,D8:H8)+$C$8</f>
        <v>901347814.71264935</v>
      </c>
      <c r="O10" s="100"/>
      <c r="P10" s="102"/>
    </row>
    <row r="11" spans="2:16" ht="28.8" thickBot="1" x14ac:dyDescent="0.5">
      <c r="B11" s="107" t="s">
        <v>114</v>
      </c>
      <c r="C11" s="31"/>
      <c r="D11" s="111">
        <f>IF(ISERROR(IRR(C8:H8)),"NO_APLICA",(IRR(C8:H8)))</f>
        <v>0.27413434208916976</v>
      </c>
      <c r="F11" s="104" t="s">
        <v>136</v>
      </c>
      <c r="G11" s="31"/>
      <c r="H11" s="105">
        <f>IF(ISERROR(-C9/AVERAGE(D9:H9)),"NO_APLICA",(-C9/AVERAGE(D9:H9)))</f>
        <v>4.1748028984592818</v>
      </c>
      <c r="I11" s="106" t="s">
        <v>63</v>
      </c>
      <c r="P11" s="101"/>
    </row>
    <row r="13" spans="2:16" ht="18" x14ac:dyDescent="0.35">
      <c r="B13" s="160" t="s">
        <v>118</v>
      </c>
      <c r="C13" s="160"/>
      <c r="D13" s="160"/>
      <c r="E13" s="160"/>
      <c r="F13" s="160"/>
      <c r="G13" s="160"/>
      <c r="H13" s="160"/>
    </row>
    <row r="14" spans="2:16" ht="36.6" x14ac:dyDescent="0.3">
      <c r="B14" s="87" t="str">
        <f>'1'!B2</f>
        <v>NOMBRE DEL PRODUCTO O SERVICIO</v>
      </c>
      <c r="C14" s="87" t="s">
        <v>119</v>
      </c>
      <c r="D14" s="87" t="s">
        <v>120</v>
      </c>
      <c r="E14" s="87" t="s">
        <v>121</v>
      </c>
      <c r="F14" s="87" t="s">
        <v>123</v>
      </c>
      <c r="H14" s="71"/>
      <c r="I14" s="71"/>
      <c r="J14" s="71" t="s">
        <v>127</v>
      </c>
    </row>
    <row r="15" spans="2:16" x14ac:dyDescent="0.3">
      <c r="B15" s="38" t="str">
        <f>'1'!B3</f>
        <v>Gestión integral de residuos paneles fotovoltaicos</v>
      </c>
      <c r="C15" s="88">
        <f>'1'!D3-'1'!D17</f>
        <v>34500</v>
      </c>
      <c r="D15" s="89">
        <f>'1'!F3</f>
        <v>1</v>
      </c>
      <c r="E15" s="88">
        <f>C15*D15</f>
        <v>34500</v>
      </c>
      <c r="F15" s="90">
        <f t="shared" ref="F15:F24" si="0">$E$28*D15</f>
        <v>15169.490318840581</v>
      </c>
      <c r="G15" s="38" t="s">
        <v>122</v>
      </c>
      <c r="H15" s="72">
        <f>'1'!D3</f>
        <v>60000</v>
      </c>
      <c r="I15" s="91">
        <f t="shared" ref="I15:I24" si="1">$B$35*D15</f>
        <v>30338.980637681161</v>
      </c>
      <c r="J15" s="72">
        <f>'1'!D17</f>
        <v>25500</v>
      </c>
    </row>
    <row r="16" spans="2:16" x14ac:dyDescent="0.3">
      <c r="B16" s="92">
        <f>'1'!B4</f>
        <v>0</v>
      </c>
      <c r="C16" s="88">
        <f>'1'!D4-'1'!D18</f>
        <v>0</v>
      </c>
      <c r="D16" s="89">
        <f>'1'!F4</f>
        <v>0</v>
      </c>
      <c r="E16" s="88">
        <f t="shared" ref="E16:E24" si="2">C16*D16</f>
        <v>0</v>
      </c>
      <c r="F16" s="90">
        <f t="shared" si="0"/>
        <v>0</v>
      </c>
      <c r="G16" s="38" t="str">
        <f>G15</f>
        <v>UNIDADES</v>
      </c>
      <c r="H16" s="72">
        <f>'1'!D4</f>
        <v>0</v>
      </c>
      <c r="I16" s="91">
        <f t="shared" si="1"/>
        <v>0</v>
      </c>
      <c r="J16" s="72">
        <f>'1'!D18</f>
        <v>0</v>
      </c>
    </row>
    <row r="17" spans="2:10" x14ac:dyDescent="0.3">
      <c r="B17" s="92">
        <f>'1'!B5</f>
        <v>0</v>
      </c>
      <c r="C17" s="88">
        <f>'1'!D5-'1'!D19</f>
        <v>0</v>
      </c>
      <c r="D17" s="89">
        <f>'1'!F5</f>
        <v>0</v>
      </c>
      <c r="E17" s="88">
        <f t="shared" si="2"/>
        <v>0</v>
      </c>
      <c r="F17" s="90">
        <f t="shared" si="0"/>
        <v>0</v>
      </c>
      <c r="G17" s="38" t="str">
        <f t="shared" ref="G17:G24" si="3">G16</f>
        <v>UNIDADES</v>
      </c>
      <c r="H17" s="72">
        <f>'1'!D5</f>
        <v>0</v>
      </c>
      <c r="I17" s="91">
        <f t="shared" si="1"/>
        <v>0</v>
      </c>
      <c r="J17" s="72">
        <f>'1'!D19</f>
        <v>0</v>
      </c>
    </row>
    <row r="18" spans="2:10" x14ac:dyDescent="0.3">
      <c r="B18" s="92">
        <f>'1'!B6</f>
        <v>0</v>
      </c>
      <c r="C18" s="88">
        <f>'1'!D6-'1'!D20</f>
        <v>0</v>
      </c>
      <c r="D18" s="89">
        <f>'1'!F6</f>
        <v>0</v>
      </c>
      <c r="E18" s="88">
        <f t="shared" si="2"/>
        <v>0</v>
      </c>
      <c r="F18" s="90">
        <f t="shared" si="0"/>
        <v>0</v>
      </c>
      <c r="G18" s="38" t="str">
        <f t="shared" si="3"/>
        <v>UNIDADES</v>
      </c>
      <c r="H18" s="72">
        <f>'1'!D6</f>
        <v>0</v>
      </c>
      <c r="I18" s="91">
        <f t="shared" si="1"/>
        <v>0</v>
      </c>
      <c r="J18" s="72">
        <f>'1'!D20</f>
        <v>0</v>
      </c>
    </row>
    <row r="19" spans="2:10" x14ac:dyDescent="0.3">
      <c r="B19" s="92">
        <f>'1'!B7</f>
        <v>0</v>
      </c>
      <c r="C19" s="88">
        <f>'1'!D7-'1'!D21</f>
        <v>0</v>
      </c>
      <c r="D19" s="89">
        <f>'1'!F7</f>
        <v>0</v>
      </c>
      <c r="E19" s="88">
        <f t="shared" si="2"/>
        <v>0</v>
      </c>
      <c r="F19" s="90">
        <f t="shared" si="0"/>
        <v>0</v>
      </c>
      <c r="G19" s="38" t="str">
        <f t="shared" si="3"/>
        <v>UNIDADES</v>
      </c>
      <c r="H19" s="72">
        <f>'1'!D7</f>
        <v>0</v>
      </c>
      <c r="I19" s="91">
        <f t="shared" si="1"/>
        <v>0</v>
      </c>
      <c r="J19" s="72">
        <f>'1'!D21</f>
        <v>0</v>
      </c>
    </row>
    <row r="20" spans="2:10" x14ac:dyDescent="0.3">
      <c r="B20" s="92">
        <f>'1'!B8</f>
        <v>0</v>
      </c>
      <c r="C20" s="88">
        <f>'1'!D8-'1'!D22</f>
        <v>0</v>
      </c>
      <c r="D20" s="89">
        <f>'1'!F8</f>
        <v>0</v>
      </c>
      <c r="E20" s="88">
        <f t="shared" si="2"/>
        <v>0</v>
      </c>
      <c r="F20" s="90">
        <f t="shared" si="0"/>
        <v>0</v>
      </c>
      <c r="G20" s="38" t="str">
        <f t="shared" si="3"/>
        <v>UNIDADES</v>
      </c>
      <c r="H20" s="72">
        <f>'1'!D8</f>
        <v>0</v>
      </c>
      <c r="I20" s="91">
        <f t="shared" si="1"/>
        <v>0</v>
      </c>
      <c r="J20" s="72">
        <f>'1'!D22</f>
        <v>0</v>
      </c>
    </row>
    <row r="21" spans="2:10" x14ac:dyDescent="0.3">
      <c r="B21" s="92">
        <f>'1'!B9</f>
        <v>0</v>
      </c>
      <c r="C21" s="88">
        <f>'1'!D9-'1'!D23</f>
        <v>0</v>
      </c>
      <c r="D21" s="89">
        <f>'1'!F9</f>
        <v>0</v>
      </c>
      <c r="E21" s="88">
        <f t="shared" si="2"/>
        <v>0</v>
      </c>
      <c r="F21" s="90">
        <f t="shared" si="0"/>
        <v>0</v>
      </c>
      <c r="G21" s="38" t="str">
        <f t="shared" si="3"/>
        <v>UNIDADES</v>
      </c>
      <c r="H21" s="72">
        <f>'1'!D9</f>
        <v>0</v>
      </c>
      <c r="I21" s="91">
        <f t="shared" si="1"/>
        <v>0</v>
      </c>
      <c r="J21" s="72">
        <f>'1'!D23</f>
        <v>0</v>
      </c>
    </row>
    <row r="22" spans="2:10" x14ac:dyDescent="0.3">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x14ac:dyDescent="0.3">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x14ac:dyDescent="0.3">
      <c r="B24" s="38">
        <f>'1'!B12</f>
        <v>0</v>
      </c>
      <c r="C24" s="88">
        <f>'1'!D12-'1'!D26</f>
        <v>0</v>
      </c>
      <c r="D24" s="89">
        <f>'1'!F12</f>
        <v>0</v>
      </c>
      <c r="E24" s="88">
        <f t="shared" si="2"/>
        <v>0</v>
      </c>
      <c r="F24" s="90">
        <f t="shared" si="0"/>
        <v>0</v>
      </c>
      <c r="G24" s="38" t="str">
        <f t="shared" si="3"/>
        <v>UNIDADES</v>
      </c>
      <c r="H24" s="72">
        <f>'1'!D12</f>
        <v>0</v>
      </c>
      <c r="I24" s="91">
        <f t="shared" si="1"/>
        <v>0</v>
      </c>
      <c r="J24" s="72">
        <f>'1'!D26</f>
        <v>0</v>
      </c>
    </row>
    <row r="25" spans="2:10" ht="25.2" x14ac:dyDescent="0.45">
      <c r="C25" s="26"/>
      <c r="D25" s="93"/>
      <c r="E25" s="26"/>
      <c r="F25" s="94">
        <f>SUM(F15:F24)</f>
        <v>15169.490318840581</v>
      </c>
      <c r="G25" s="8" t="str">
        <f>G24</f>
        <v>UNIDADES</v>
      </c>
      <c r="H25" s="72"/>
      <c r="I25" s="91"/>
      <c r="J25" s="72"/>
    </row>
    <row r="26" spans="2:10" ht="12.75" customHeight="1" x14ac:dyDescent="0.45">
      <c r="C26" s="26"/>
      <c r="D26" s="93"/>
      <c r="E26" s="26"/>
      <c r="F26" s="94"/>
      <c r="H26" s="72"/>
      <c r="I26" s="91"/>
      <c r="J26" s="72"/>
    </row>
    <row r="27" spans="2:10" ht="21" customHeight="1" x14ac:dyDescent="0.45">
      <c r="B27" s="163" t="s">
        <v>130</v>
      </c>
      <c r="C27" s="163"/>
      <c r="D27" s="163"/>
      <c r="E27" s="95">
        <f>SUM(E15:E24)</f>
        <v>34500</v>
      </c>
      <c r="H27" s="71"/>
      <c r="I27" s="71"/>
      <c r="J27" s="71"/>
    </row>
    <row r="28" spans="2:10" ht="19.5" customHeight="1" x14ac:dyDescent="0.45">
      <c r="B28" s="163" t="s">
        <v>129</v>
      </c>
      <c r="C28" s="163"/>
      <c r="D28" s="163"/>
      <c r="E28" s="94">
        <f>IF(E27=0,0,('2'!C23+'2'!F31+'2'!C25)/'5'!E27)</f>
        <v>15169.490318840581</v>
      </c>
      <c r="F28" s="96" t="s">
        <v>122</v>
      </c>
      <c r="H28" s="97"/>
    </row>
    <row r="29" spans="2:10" ht="25.2" x14ac:dyDescent="0.45">
      <c r="B29" s="163" t="s">
        <v>153</v>
      </c>
      <c r="C29" s="163"/>
      <c r="D29" s="163"/>
      <c r="E29" s="95">
        <f>E49</f>
        <v>910169419.13043487</v>
      </c>
    </row>
    <row r="30" spans="2:10" x14ac:dyDescent="0.3">
      <c r="B30" s="134"/>
      <c r="C30" s="134"/>
      <c r="D30" s="134"/>
      <c r="E30" s="134"/>
      <c r="F30" s="134"/>
      <c r="G30" s="134"/>
    </row>
    <row r="31" spans="2:10" s="71" customFormat="1" x14ac:dyDescent="0.3"/>
    <row r="32" spans="2:10" s="71" customFormat="1" x14ac:dyDescent="0.3">
      <c r="C32" s="71" t="s">
        <v>124</v>
      </c>
      <c r="D32" s="71" t="s">
        <v>125</v>
      </c>
      <c r="E32" s="71" t="s">
        <v>128</v>
      </c>
      <c r="F32" s="71" t="s">
        <v>126</v>
      </c>
    </row>
    <row r="33" spans="2:6" s="71" customFormat="1" x14ac:dyDescent="0.3">
      <c r="B33" s="71">
        <v>0</v>
      </c>
      <c r="C33" s="72">
        <f>'2'!C25+'2'!F31+'2'!C23</f>
        <v>523347416</v>
      </c>
      <c r="D33" s="71">
        <f>0</f>
        <v>0</v>
      </c>
      <c r="E33" s="71">
        <v>0</v>
      </c>
      <c r="F33" s="72">
        <f>C33+E33</f>
        <v>523347416</v>
      </c>
    </row>
    <row r="34" spans="2:6" s="71" customFormat="1" x14ac:dyDescent="0.3">
      <c r="B34" s="91">
        <f>F25</f>
        <v>15169.490318840581</v>
      </c>
      <c r="C34" s="72">
        <f>C33</f>
        <v>523347416</v>
      </c>
      <c r="D34" s="135">
        <f>SUMPRODUCT(F15:F24,H15:H24)</f>
        <v>910169419.13043487</v>
      </c>
      <c r="E34" s="135">
        <f>SUMPRODUCT(F15:F24,J15:J24)</f>
        <v>386822003.13043481</v>
      </c>
      <c r="F34" s="72">
        <f t="shared" ref="F34:F35" si="4">C34+E34</f>
        <v>910169419.13043475</v>
      </c>
    </row>
    <row r="35" spans="2:6" s="71" customFormat="1" x14ac:dyDescent="0.3">
      <c r="B35" s="91">
        <f>B34*2</f>
        <v>30338.980637681161</v>
      </c>
      <c r="C35" s="72">
        <f>C34</f>
        <v>523347416</v>
      </c>
      <c r="D35" s="135">
        <f>SUMPRODUCT(H15:H24,I15:I24)</f>
        <v>1820338838.2608697</v>
      </c>
      <c r="E35" s="135">
        <f>SUMPRODUCT(I15:I24,J15:J24)</f>
        <v>773644006.26086962</v>
      </c>
      <c r="F35" s="72">
        <f t="shared" si="4"/>
        <v>1296991422.2608695</v>
      </c>
    </row>
    <row r="36" spans="2:6" s="71" customFormat="1" x14ac:dyDescent="0.3">
      <c r="C36" s="72"/>
    </row>
    <row r="37" spans="2:6" s="71" customFormat="1" x14ac:dyDescent="0.3">
      <c r="C37" s="72"/>
    </row>
    <row r="38" spans="2:6" s="71" customFormat="1" x14ac:dyDescent="0.3">
      <c r="C38" s="136" t="s">
        <v>151</v>
      </c>
      <c r="D38" s="71" t="s">
        <v>122</v>
      </c>
      <c r="E38" s="71" t="s">
        <v>152</v>
      </c>
    </row>
    <row r="39" spans="2:6" s="71" customFormat="1" x14ac:dyDescent="0.3">
      <c r="B39" s="71">
        <v>1</v>
      </c>
      <c r="C39" s="72">
        <f>'1'!D3</f>
        <v>60000</v>
      </c>
      <c r="D39" s="91">
        <f>F15</f>
        <v>15169.490318840581</v>
      </c>
      <c r="E39" s="71">
        <f>C39*D39</f>
        <v>910169419.13043487</v>
      </c>
    </row>
    <row r="40" spans="2:6" s="71" customFormat="1" x14ac:dyDescent="0.3">
      <c r="B40" s="71">
        <f>B39+1</f>
        <v>2</v>
      </c>
      <c r="C40" s="72">
        <f>'1'!D4</f>
        <v>0</v>
      </c>
      <c r="D40" s="91">
        <f t="shared" ref="D40:D48" si="5">F16</f>
        <v>0</v>
      </c>
      <c r="E40" s="71">
        <f t="shared" ref="E40:E48" si="6">C40*D40</f>
        <v>0</v>
      </c>
    </row>
    <row r="41" spans="2:6" s="71" customFormat="1" x14ac:dyDescent="0.3">
      <c r="B41" s="71">
        <f t="shared" ref="B41:B48" si="7">B40+1</f>
        <v>3</v>
      </c>
      <c r="C41" s="72">
        <f>'1'!D5</f>
        <v>0</v>
      </c>
      <c r="D41" s="91">
        <f t="shared" si="5"/>
        <v>0</v>
      </c>
      <c r="E41" s="71">
        <f t="shared" si="6"/>
        <v>0</v>
      </c>
    </row>
    <row r="42" spans="2:6" s="71" customFormat="1" x14ac:dyDescent="0.3">
      <c r="B42" s="71">
        <f t="shared" si="7"/>
        <v>4</v>
      </c>
      <c r="C42" s="72">
        <f>'1'!D6</f>
        <v>0</v>
      </c>
      <c r="D42" s="91">
        <f t="shared" si="5"/>
        <v>0</v>
      </c>
      <c r="E42" s="71">
        <f t="shared" si="6"/>
        <v>0</v>
      </c>
    </row>
    <row r="43" spans="2:6" s="71" customFormat="1" x14ac:dyDescent="0.3">
      <c r="B43" s="71">
        <f t="shared" si="7"/>
        <v>5</v>
      </c>
      <c r="C43" s="72">
        <f>'1'!D7</f>
        <v>0</v>
      </c>
      <c r="D43" s="91">
        <f t="shared" si="5"/>
        <v>0</v>
      </c>
      <c r="E43" s="71">
        <f t="shared" si="6"/>
        <v>0</v>
      </c>
    </row>
    <row r="44" spans="2:6" s="71" customFormat="1" x14ac:dyDescent="0.3">
      <c r="B44" s="71">
        <f t="shared" si="7"/>
        <v>6</v>
      </c>
      <c r="C44" s="72">
        <f>'1'!D8</f>
        <v>0</v>
      </c>
      <c r="D44" s="91">
        <f t="shared" si="5"/>
        <v>0</v>
      </c>
      <c r="E44" s="71">
        <f t="shared" si="6"/>
        <v>0</v>
      </c>
    </row>
    <row r="45" spans="2:6" s="71" customFormat="1" x14ac:dyDescent="0.3">
      <c r="B45" s="71">
        <f t="shared" si="7"/>
        <v>7</v>
      </c>
      <c r="C45" s="72">
        <f>'1'!D9</f>
        <v>0</v>
      </c>
      <c r="D45" s="91">
        <f t="shared" si="5"/>
        <v>0</v>
      </c>
      <c r="E45" s="71">
        <f t="shared" si="6"/>
        <v>0</v>
      </c>
    </row>
    <row r="46" spans="2:6" s="71" customFormat="1" x14ac:dyDescent="0.3">
      <c r="B46" s="71">
        <f t="shared" si="7"/>
        <v>8</v>
      </c>
      <c r="C46" s="72">
        <f>'1'!D10</f>
        <v>0</v>
      </c>
      <c r="D46" s="91">
        <f t="shared" si="5"/>
        <v>0</v>
      </c>
      <c r="E46" s="71">
        <f t="shared" si="6"/>
        <v>0</v>
      </c>
    </row>
    <row r="47" spans="2:6" s="71" customFormat="1" x14ac:dyDescent="0.3">
      <c r="B47" s="71">
        <f t="shared" si="7"/>
        <v>9</v>
      </c>
      <c r="C47" s="72">
        <f>'1'!D11</f>
        <v>0</v>
      </c>
      <c r="D47" s="91">
        <f t="shared" si="5"/>
        <v>0</v>
      </c>
      <c r="E47" s="71">
        <f t="shared" si="6"/>
        <v>0</v>
      </c>
    </row>
    <row r="48" spans="2:6" s="71" customFormat="1" x14ac:dyDescent="0.3">
      <c r="B48" s="71">
        <f t="shared" si="7"/>
        <v>10</v>
      </c>
      <c r="C48" s="72">
        <f>'1'!D12</f>
        <v>0</v>
      </c>
      <c r="D48" s="91">
        <f t="shared" si="5"/>
        <v>0</v>
      </c>
      <c r="E48" s="71">
        <f t="shared" si="6"/>
        <v>0</v>
      </c>
    </row>
    <row r="49" spans="2:8" s="71" customFormat="1" x14ac:dyDescent="0.3">
      <c r="C49" s="72"/>
      <c r="E49" s="137">
        <f>SUM(E39:E48)</f>
        <v>910169419.13043487</v>
      </c>
    </row>
    <row r="50" spans="2:8" s="71" customFormat="1" x14ac:dyDescent="0.3"/>
    <row r="51" spans="2:8" s="71" customFormat="1" x14ac:dyDescent="0.3">
      <c r="C51" s="72"/>
    </row>
    <row r="52" spans="2:8" s="71" customFormat="1" x14ac:dyDescent="0.3">
      <c r="B52" s="161"/>
      <c r="C52" s="161"/>
      <c r="D52" s="161"/>
      <c r="G52" s="71" t="s">
        <v>154</v>
      </c>
      <c r="H52" s="138">
        <f>'4'!B32/'4'!B27</f>
        <v>1</v>
      </c>
    </row>
    <row r="53" spans="2:8" s="71" customFormat="1" x14ac:dyDescent="0.3">
      <c r="C53" s="72"/>
      <c r="G53" s="71" t="s">
        <v>155</v>
      </c>
      <c r="H53" s="138">
        <f>'4'!B36/'4'!B27</f>
        <v>0</v>
      </c>
    </row>
    <row r="54" spans="2:8" s="71" customFormat="1" x14ac:dyDescent="0.3">
      <c r="G54" s="71" t="s">
        <v>156</v>
      </c>
      <c r="H54" s="71">
        <f>'1'!AB7</f>
        <v>0.35</v>
      </c>
    </row>
    <row r="55" spans="2:8" s="71" customFormat="1" x14ac:dyDescent="0.3">
      <c r="G55" s="71" t="s">
        <v>157</v>
      </c>
      <c r="H55" s="138">
        <f>'3'!F4</f>
        <v>0.23</v>
      </c>
    </row>
    <row r="56" spans="2:8" s="71" customFormat="1" x14ac:dyDescent="0.3">
      <c r="G56" s="71" t="s">
        <v>158</v>
      </c>
    </row>
    <row r="57" spans="2:8" s="71" customFormat="1" x14ac:dyDescent="0.3"/>
    <row r="58" spans="2:8" s="71" customFormat="1" x14ac:dyDescent="0.3"/>
    <row r="59" spans="2:8" s="71" customFormat="1" x14ac:dyDescent="0.3"/>
    <row r="60" spans="2:8" s="71" customFormat="1" x14ac:dyDescent="0.3"/>
    <row r="61" spans="2:8" s="71" customFormat="1" x14ac:dyDescent="0.3"/>
    <row r="62" spans="2:8" x14ac:dyDescent="0.3">
      <c r="B62" s="134"/>
      <c r="C62" s="134"/>
      <c r="D62" s="134"/>
      <c r="E62" s="134"/>
      <c r="F62" s="134"/>
      <c r="G62" s="134"/>
    </row>
    <row r="63" spans="2:8" x14ac:dyDescent="0.3">
      <c r="B63" s="134"/>
      <c r="C63" s="134"/>
      <c r="D63" s="134"/>
      <c r="E63" s="134"/>
      <c r="F63" s="134"/>
      <c r="G63" s="134"/>
    </row>
    <row r="64" spans="2:8" x14ac:dyDescent="0.3">
      <c r="B64" s="134"/>
      <c r="C64" s="134"/>
      <c r="D64" s="134"/>
      <c r="E64" s="134"/>
      <c r="F64" s="134"/>
      <c r="G64" s="134"/>
    </row>
    <row r="65" spans="2:7" x14ac:dyDescent="0.3">
      <c r="B65" s="134"/>
      <c r="C65" s="134"/>
      <c r="D65" s="134"/>
      <c r="E65" s="134"/>
      <c r="F65" s="134"/>
      <c r="G65" s="134"/>
    </row>
    <row r="66" spans="2:7" x14ac:dyDescent="0.3">
      <c r="B66" s="134"/>
      <c r="C66" s="134"/>
      <c r="D66" s="134"/>
      <c r="E66" s="134"/>
      <c r="F66" s="134"/>
      <c r="G66" s="134"/>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KENDRYS  CANTILLO DIAZ</cp:lastModifiedBy>
  <dcterms:created xsi:type="dcterms:W3CDTF">2013-07-30T17:19:59Z</dcterms:created>
  <dcterms:modified xsi:type="dcterms:W3CDTF">2025-02-22T21:24:48Z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