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0320" windowHeight="8175"/>
  </bookViews>
  <sheets>
    <sheet name="INDICE" sheetId="10" r:id="rId1"/>
    <sheet name="VENCIDA-ANTICIPADA" sheetId="4" r:id="rId2"/>
    <sheet name="DIFERIDA" sheetId="8" r:id="rId3"/>
    <sheet name="PERPETUA" sheetId="9" r:id="rId4"/>
    <sheet name="GRADIENTE ARITMETICO" sheetId="5" r:id="rId5"/>
    <sheet name="GRADIENTE GEOMETRICO" sheetId="6" r:id="rId6"/>
    <sheet name="TASA NOMINAL" sheetId="11" r:id="rId7"/>
    <sheet name="TASA EFECTIVA" sheetId="12" r:id="rId8"/>
    <sheet name="C.FIJA" sheetId="13" r:id="rId9"/>
    <sheet name="C.EXTRAS" sheetId="14" r:id="rId10"/>
    <sheet name="ANUALIDAD DIFERIDA" sheetId="15" r:id="rId11"/>
    <sheet name="GRAD. ARITMETICO " sheetId="16" r:id="rId12"/>
    <sheet name="GRAD. GEOMETRICO " sheetId="17" r:id="rId13"/>
    <sheet name="IND.CONVENIENCIA" sheetId="18" r:id="rId14"/>
  </sheets>
  <externalReferences>
    <externalReference r:id="rId15"/>
    <externalReference r:id="rId16"/>
  </externalReferences>
  <definedNames>
    <definedName name="EQ_1">[1]Parametros!$E$5</definedName>
    <definedName name="mitabla">[2]Ej13!$L$13:$O$22</definedName>
    <definedName name="MULTIPLICA">[1]Parametros!$E$1</definedName>
    <definedName name="TABLA">[1]Parametros!$A$1:$B$5</definedName>
    <definedName name="tablatipos">[2]Ej6!$L$13:$O$22</definedName>
    <definedName name="tablax">[2]Ej10!$L$5:$O$14</definedName>
  </definedNames>
  <calcPr calcId="145621"/>
</workbook>
</file>

<file path=xl/calcChain.xml><?xml version="1.0" encoding="utf-8"?>
<calcChain xmlns="http://schemas.openxmlformats.org/spreadsheetml/2006/main">
  <c r="D34" i="18" l="1"/>
  <c r="D19" i="18"/>
  <c r="E19" i="18" s="1"/>
  <c r="D18" i="18"/>
  <c r="F18" i="18" s="1"/>
  <c r="D17" i="18"/>
  <c r="F17" i="18" s="1"/>
  <c r="D16" i="18"/>
  <c r="F16" i="18" s="1"/>
  <c r="D15" i="18"/>
  <c r="E15" i="18" s="1"/>
  <c r="D14" i="18"/>
  <c r="E14" i="18" s="1"/>
  <c r="D13" i="18"/>
  <c r="F13" i="18" s="1"/>
  <c r="D12" i="18"/>
  <c r="F12" i="18" s="1"/>
  <c r="D11" i="18"/>
  <c r="E11" i="18" s="1"/>
  <c r="F10" i="18"/>
  <c r="E10" i="18"/>
  <c r="D10" i="18"/>
  <c r="D9" i="18"/>
  <c r="F9" i="18" s="1"/>
  <c r="D8" i="18"/>
  <c r="F8" i="18" s="1"/>
  <c r="D7" i="18"/>
  <c r="F14" i="18" l="1"/>
  <c r="D29" i="18"/>
  <c r="I7" i="18" s="1"/>
  <c r="F19" i="18"/>
  <c r="F15" i="18"/>
  <c r="E18" i="18"/>
  <c r="F11" i="18"/>
  <c r="D30" i="18"/>
  <c r="E9" i="18"/>
  <c r="E13" i="18"/>
  <c r="E17" i="18"/>
  <c r="D31" i="18"/>
  <c r="E7" i="18"/>
  <c r="E8" i="18"/>
  <c r="E12" i="18"/>
  <c r="E16" i="18"/>
  <c r="F7" i="18"/>
  <c r="D33" i="18" l="1"/>
  <c r="F20" i="18"/>
  <c r="E20" i="18"/>
  <c r="D32" i="18" l="1"/>
  <c r="D11" i="17" l="1"/>
  <c r="C11" i="17"/>
  <c r="E15" i="17" s="1"/>
  <c r="A11" i="17"/>
  <c r="B5" i="17"/>
  <c r="B11" i="17" s="1"/>
  <c r="D10" i="16"/>
  <c r="C10" i="16"/>
  <c r="E14" i="16" s="1"/>
  <c r="B10" i="16"/>
  <c r="A10" i="16"/>
  <c r="A22" i="15"/>
  <c r="D22" i="15" s="1"/>
  <c r="C29" i="15" s="1"/>
  <c r="D15" i="15"/>
  <c r="E34" i="15" s="1"/>
  <c r="B15" i="15"/>
  <c r="B8" i="15"/>
  <c r="A15" i="15" s="1"/>
  <c r="B4" i="15"/>
  <c r="B6" i="15" s="1"/>
  <c r="H69" i="14"/>
  <c r="B66" i="14"/>
  <c r="B109" i="14" s="1"/>
  <c r="B62" i="14"/>
  <c r="B58" i="14"/>
  <c r="B101" i="14" s="1"/>
  <c r="H57" i="14"/>
  <c r="B57" i="14"/>
  <c r="B100" i="14" s="1"/>
  <c r="B53" i="14"/>
  <c r="B96" i="14" s="1"/>
  <c r="B49" i="14"/>
  <c r="B92" i="14" s="1"/>
  <c r="H45" i="14"/>
  <c r="B42" i="14"/>
  <c r="B85" i="14" s="1"/>
  <c r="B40" i="14"/>
  <c r="B83" i="14" s="1"/>
  <c r="B38" i="14"/>
  <c r="B34" i="14"/>
  <c r="B77" i="14" s="1"/>
  <c r="E33" i="14"/>
  <c r="E28" i="14"/>
  <c r="D28" i="14"/>
  <c r="C14" i="14"/>
  <c r="D14" i="14" s="1"/>
  <c r="B14" i="14"/>
  <c r="B7" i="14"/>
  <c r="A14" i="14" s="1"/>
  <c r="E14" i="14" s="1"/>
  <c r="E9" i="13"/>
  <c r="E4" i="13"/>
  <c r="D4" i="13"/>
  <c r="B21" i="13" s="1"/>
  <c r="B12" i="13" l="1"/>
  <c r="B16" i="13"/>
  <c r="B20" i="13"/>
  <c r="C16" i="17"/>
  <c r="E11" i="17"/>
  <c r="B16" i="17" s="1"/>
  <c r="C15" i="16"/>
  <c r="E10" i="16"/>
  <c r="B15" i="16" s="1"/>
  <c r="C35" i="15"/>
  <c r="E35" i="15" s="1"/>
  <c r="B29" i="15"/>
  <c r="C15" i="15"/>
  <c r="E15" i="15" s="1"/>
  <c r="A29" i="15"/>
  <c r="E29" i="15" s="1"/>
  <c r="K33" i="14"/>
  <c r="K34" i="14" s="1"/>
  <c r="K35" i="14" s="1"/>
  <c r="K36" i="14" s="1"/>
  <c r="K37" i="14" s="1"/>
  <c r="K38" i="14" s="1"/>
  <c r="K39" i="14" s="1"/>
  <c r="K40" i="14" s="1"/>
  <c r="K41" i="14" s="1"/>
  <c r="K42" i="14" s="1"/>
  <c r="K43" i="14" s="1"/>
  <c r="K44" i="14" s="1"/>
  <c r="A21" i="14"/>
  <c r="B69" i="14"/>
  <c r="B65" i="14"/>
  <c r="B61" i="14"/>
  <c r="B56" i="14"/>
  <c r="B52" i="14"/>
  <c r="B48" i="14"/>
  <c r="B43" i="14"/>
  <c r="B39" i="14"/>
  <c r="B35" i="14"/>
  <c r="B67" i="14"/>
  <c r="B63" i="14"/>
  <c r="B59" i="14"/>
  <c r="B54" i="14"/>
  <c r="B50" i="14"/>
  <c r="B46" i="14"/>
  <c r="B45" i="14"/>
  <c r="B41" i="14"/>
  <c r="B37" i="14"/>
  <c r="B36" i="14"/>
  <c r="B44" i="14"/>
  <c r="B51" i="14"/>
  <c r="B60" i="14"/>
  <c r="B68" i="14"/>
  <c r="B81" i="14"/>
  <c r="B105" i="14"/>
  <c r="E76" i="14"/>
  <c r="C77" i="14" s="1"/>
  <c r="C34" i="14"/>
  <c r="D34" i="14" s="1"/>
  <c r="B47" i="14"/>
  <c r="B55" i="14"/>
  <c r="B64" i="14"/>
  <c r="B10" i="13"/>
  <c r="D10" i="13" s="1"/>
  <c r="B14" i="13"/>
  <c r="B18" i="13"/>
  <c r="C10" i="13"/>
  <c r="B11" i="13"/>
  <c r="B15" i="13"/>
  <c r="B19" i="13"/>
  <c r="B13" i="13"/>
  <c r="B17" i="13"/>
  <c r="D16" i="17" l="1"/>
  <c r="E16" i="17" s="1"/>
  <c r="B17" i="17"/>
  <c r="B16" i="16"/>
  <c r="D15" i="16"/>
  <c r="E15" i="16" s="1"/>
  <c r="B70" i="15"/>
  <c r="B66" i="15"/>
  <c r="B64" i="15"/>
  <c r="B62" i="15"/>
  <c r="B60" i="15"/>
  <c r="B58" i="15"/>
  <c r="B56" i="15"/>
  <c r="B54" i="15"/>
  <c r="B52" i="15"/>
  <c r="B50" i="15"/>
  <c r="B48" i="15"/>
  <c r="B69" i="15"/>
  <c r="B68" i="15"/>
  <c r="B67" i="15"/>
  <c r="B65" i="15"/>
  <c r="B63" i="15"/>
  <c r="B61" i="15"/>
  <c r="B59" i="15"/>
  <c r="B57" i="15"/>
  <c r="B55" i="15"/>
  <c r="B53" i="15"/>
  <c r="B51" i="15"/>
  <c r="B49" i="15"/>
  <c r="B47" i="15"/>
  <c r="C36" i="15"/>
  <c r="E36" i="15" s="1"/>
  <c r="D29" i="15"/>
  <c r="D77" i="14"/>
  <c r="E34" i="14"/>
  <c r="B111" i="14"/>
  <c r="B84" i="14"/>
  <c r="B97" i="14"/>
  <c r="B78" i="14"/>
  <c r="B95" i="14"/>
  <c r="B112" i="14"/>
  <c r="B94" i="14"/>
  <c r="B79" i="14"/>
  <c r="B88" i="14"/>
  <c r="B102" i="14"/>
  <c r="B82" i="14"/>
  <c r="B99" i="14"/>
  <c r="I45" i="14"/>
  <c r="J45" i="14" s="1"/>
  <c r="K45" i="14"/>
  <c r="K46" i="14" s="1"/>
  <c r="K47" i="14" s="1"/>
  <c r="K48" i="14" s="1"/>
  <c r="K49" i="14" s="1"/>
  <c r="K50" i="14" s="1"/>
  <c r="K51" i="14" s="1"/>
  <c r="K52" i="14" s="1"/>
  <c r="K53" i="14" s="1"/>
  <c r="K54" i="14" s="1"/>
  <c r="K55" i="14" s="1"/>
  <c r="K56" i="14" s="1"/>
  <c r="B98" i="14"/>
  <c r="B90" i="14"/>
  <c r="B103" i="14"/>
  <c r="B89" i="14"/>
  <c r="B106" i="14"/>
  <c r="B86" i="14"/>
  <c r="B104" i="14"/>
  <c r="B107" i="14"/>
  <c r="B87" i="14"/>
  <c r="B80" i="14"/>
  <c r="B93" i="14"/>
  <c r="B110" i="14"/>
  <c r="B91" i="14"/>
  <c r="B108" i="14"/>
  <c r="E10" i="13"/>
  <c r="B18" i="17" l="1"/>
  <c r="C17" i="17"/>
  <c r="D17" i="17" s="1"/>
  <c r="E17" i="17" s="1"/>
  <c r="C16" i="16"/>
  <c r="D16" i="16"/>
  <c r="E16" i="16" s="1"/>
  <c r="B17" i="16"/>
  <c r="C37" i="15"/>
  <c r="E37" i="15"/>
  <c r="I57" i="14"/>
  <c r="J57" i="14" s="1"/>
  <c r="K57" i="14" s="1"/>
  <c r="K58" i="14" s="1"/>
  <c r="K59" i="14" s="1"/>
  <c r="K60" i="14" s="1"/>
  <c r="K61" i="14" s="1"/>
  <c r="K62" i="14" s="1"/>
  <c r="K63" i="14" s="1"/>
  <c r="K64" i="14" s="1"/>
  <c r="K65" i="14" s="1"/>
  <c r="K66" i="14" s="1"/>
  <c r="K67" i="14" s="1"/>
  <c r="K68" i="14" s="1"/>
  <c r="E77" i="14"/>
  <c r="C35" i="14"/>
  <c r="D35" i="14" s="1"/>
  <c r="D78" i="14" s="1"/>
  <c r="C11" i="13"/>
  <c r="C18" i="17" l="1"/>
  <c r="D18" i="17" s="1"/>
  <c r="E18" i="17" s="1"/>
  <c r="B19" i="17"/>
  <c r="C17" i="16"/>
  <c r="B18" i="16"/>
  <c r="D17" i="16"/>
  <c r="E17" i="16" s="1"/>
  <c r="C38" i="15"/>
  <c r="E38" i="15" s="1"/>
  <c r="I69" i="14"/>
  <c r="J69" i="14" s="1"/>
  <c r="K69" i="14"/>
  <c r="E78" i="14"/>
  <c r="C78" i="14"/>
  <c r="E35" i="14"/>
  <c r="D11" i="13"/>
  <c r="C19" i="17" l="1"/>
  <c r="D19" i="17" s="1"/>
  <c r="E19" i="17" s="1"/>
  <c r="B20" i="17"/>
  <c r="C18" i="16"/>
  <c r="B19" i="16"/>
  <c r="D18" i="16"/>
  <c r="E18" i="16" s="1"/>
  <c r="C39" i="15"/>
  <c r="E39" i="15" s="1"/>
  <c r="C79" i="14"/>
  <c r="E36" i="14"/>
  <c r="C36" i="14"/>
  <c r="D36" i="14" s="1"/>
  <c r="D79" i="14" s="1"/>
  <c r="E79" i="14" s="1"/>
  <c r="E11" i="13"/>
  <c r="C20" i="17" l="1"/>
  <c r="D20" i="17" s="1"/>
  <c r="E20" i="17" s="1"/>
  <c r="B21" i="17"/>
  <c r="C19" i="16"/>
  <c r="D19" i="16"/>
  <c r="E19" i="16" s="1"/>
  <c r="B20" i="16"/>
  <c r="C40" i="15"/>
  <c r="E40" i="15" s="1"/>
  <c r="C80" i="14"/>
  <c r="C37" i="14"/>
  <c r="D37" i="14" s="1"/>
  <c r="D80" i="14" s="1"/>
  <c r="E80" i="14" s="1"/>
  <c r="C12" i="13"/>
  <c r="C21" i="17" l="1"/>
  <c r="D21" i="17"/>
  <c r="E21" i="17" s="1"/>
  <c r="B22" i="17"/>
  <c r="C20" i="16"/>
  <c r="D20" i="16"/>
  <c r="E20" i="16" s="1"/>
  <c r="B21" i="16"/>
  <c r="C41" i="15"/>
  <c r="E41" i="15"/>
  <c r="C81" i="14"/>
  <c r="E37" i="14"/>
  <c r="D12" i="13"/>
  <c r="C22" i="17" l="1"/>
  <c r="D22" i="17" s="1"/>
  <c r="E22" i="17" s="1"/>
  <c r="B23" i="17"/>
  <c r="C21" i="16"/>
  <c r="D21" i="16"/>
  <c r="E21" i="16" s="1"/>
  <c r="B22" i="16"/>
  <c r="C42" i="15"/>
  <c r="E42" i="15" s="1"/>
  <c r="C38" i="14"/>
  <c r="D38" i="14" s="1"/>
  <c r="D81" i="14" s="1"/>
  <c r="E81" i="14" s="1"/>
  <c r="E38" i="14"/>
  <c r="E12" i="13"/>
  <c r="C23" i="17" l="1"/>
  <c r="D23" i="17" s="1"/>
  <c r="E23" i="17" s="1"/>
  <c r="B24" i="17"/>
  <c r="C22" i="16"/>
  <c r="B23" i="16"/>
  <c r="D22" i="16"/>
  <c r="E22" i="16" s="1"/>
  <c r="C43" i="15"/>
  <c r="E43" i="15" s="1"/>
  <c r="C39" i="14"/>
  <c r="D39" i="14" s="1"/>
  <c r="D82" i="14" s="1"/>
  <c r="E82" i="14" s="1"/>
  <c r="C82" i="14"/>
  <c r="C13" i="13"/>
  <c r="C24" i="17" l="1"/>
  <c r="D24" i="17"/>
  <c r="E24" i="17" s="1"/>
  <c r="B25" i="17"/>
  <c r="C23" i="16"/>
  <c r="D23" i="16"/>
  <c r="E23" i="16" s="1"/>
  <c r="B24" i="16"/>
  <c r="C44" i="15"/>
  <c r="E44" i="15" s="1"/>
  <c r="C83" i="14"/>
  <c r="E39" i="14"/>
  <c r="D13" i="13"/>
  <c r="C25" i="17" l="1"/>
  <c r="D25" i="17" s="1"/>
  <c r="E25" i="17" s="1"/>
  <c r="B26" i="17"/>
  <c r="C24" i="16"/>
  <c r="D24" i="16"/>
  <c r="E24" i="16" s="1"/>
  <c r="B25" i="16"/>
  <c r="C45" i="15"/>
  <c r="E45" i="15"/>
  <c r="C40" i="14"/>
  <c r="D40" i="14" s="1"/>
  <c r="D83" i="14" s="1"/>
  <c r="E83" i="14" s="1"/>
  <c r="E13" i="13"/>
  <c r="C26" i="17" l="1"/>
  <c r="D26" i="17" s="1"/>
  <c r="E26" i="17" s="1"/>
  <c r="B27" i="17"/>
  <c r="C25" i="16"/>
  <c r="D25" i="16"/>
  <c r="E25" i="16" s="1"/>
  <c r="B26" i="16"/>
  <c r="C46" i="15"/>
  <c r="E46" i="15" s="1"/>
  <c r="C84" i="14"/>
  <c r="E40" i="14"/>
  <c r="C14" i="13"/>
  <c r="D14" i="13" s="1"/>
  <c r="E14" i="13" s="1"/>
  <c r="C27" i="17" l="1"/>
  <c r="D27" i="17" s="1"/>
  <c r="E27" i="17" s="1"/>
  <c r="B28" i="17"/>
  <c r="C26" i="16"/>
  <c r="B27" i="16"/>
  <c r="D26" i="16"/>
  <c r="E26" i="16" s="1"/>
  <c r="E47" i="15"/>
  <c r="C47" i="15"/>
  <c r="D47" i="15" s="1"/>
  <c r="C41" i="14"/>
  <c r="D41" i="14" s="1"/>
  <c r="D84" i="14" s="1"/>
  <c r="E84" i="14" s="1"/>
  <c r="C15" i="13"/>
  <c r="D15" i="13" s="1"/>
  <c r="E15" i="13" s="1"/>
  <c r="C28" i="17" l="1"/>
  <c r="D28" i="17" s="1"/>
  <c r="E28" i="17" s="1"/>
  <c r="B29" i="17"/>
  <c r="C27" i="16"/>
  <c r="D27" i="16"/>
  <c r="E27" i="16" s="1"/>
  <c r="B28" i="16"/>
  <c r="E48" i="15"/>
  <c r="C48" i="15"/>
  <c r="D48" i="15" s="1"/>
  <c r="C85" i="14"/>
  <c r="E41" i="14"/>
  <c r="C16" i="13"/>
  <c r="D16" i="13" s="1"/>
  <c r="E16" i="13" s="1"/>
  <c r="C29" i="17" l="1"/>
  <c r="D29" i="17" s="1"/>
  <c r="E29" i="17" s="1"/>
  <c r="B30" i="17"/>
  <c r="C28" i="16"/>
  <c r="D28" i="16"/>
  <c r="E28" i="16" s="1"/>
  <c r="B29" i="16"/>
  <c r="C49" i="15"/>
  <c r="D49" i="15" s="1"/>
  <c r="E49" i="15" s="1"/>
  <c r="C42" i="14"/>
  <c r="D42" i="14" s="1"/>
  <c r="D85" i="14" s="1"/>
  <c r="E85" i="14" s="1"/>
  <c r="E42" i="14"/>
  <c r="C17" i="13"/>
  <c r="D17" i="13" s="1"/>
  <c r="C30" i="17" l="1"/>
  <c r="D30" i="17"/>
  <c r="E30" i="17" s="1"/>
  <c r="B31" i="17"/>
  <c r="C29" i="16"/>
  <c r="D29" i="16"/>
  <c r="E29" i="16" s="1"/>
  <c r="B30" i="16"/>
  <c r="C50" i="15"/>
  <c r="D50" i="15" s="1"/>
  <c r="E50" i="15" s="1"/>
  <c r="C43" i="14"/>
  <c r="D43" i="14" s="1"/>
  <c r="D86" i="14" s="1"/>
  <c r="E86" i="14" s="1"/>
  <c r="C86" i="14"/>
  <c r="E17" i="13"/>
  <c r="C31" i="17" l="1"/>
  <c r="D31" i="17"/>
  <c r="E31" i="17" s="1"/>
  <c r="B32" i="17"/>
  <c r="C30" i="16"/>
  <c r="D30" i="16"/>
  <c r="E30" i="16" s="1"/>
  <c r="B31" i="16"/>
  <c r="C51" i="15"/>
  <c r="D51" i="15" s="1"/>
  <c r="E51" i="15" s="1"/>
  <c r="C87" i="14"/>
  <c r="E43" i="14"/>
  <c r="C18" i="13"/>
  <c r="D18" i="13" s="1"/>
  <c r="C32" i="17" l="1"/>
  <c r="D32" i="17" s="1"/>
  <c r="E32" i="17" s="1"/>
  <c r="B33" i="17"/>
  <c r="C31" i="16"/>
  <c r="D31" i="16" s="1"/>
  <c r="E31" i="16" s="1"/>
  <c r="B32" i="16"/>
  <c r="C52" i="15"/>
  <c r="D52" i="15" s="1"/>
  <c r="E52" i="15" s="1"/>
  <c r="C44" i="14"/>
  <c r="D44" i="14" s="1"/>
  <c r="D87" i="14" s="1"/>
  <c r="E87" i="14" s="1"/>
  <c r="E18" i="13"/>
  <c r="C33" i="17" l="1"/>
  <c r="D33" i="17" s="1"/>
  <c r="E33" i="17" s="1"/>
  <c r="B34" i="17"/>
  <c r="C32" i="16"/>
  <c r="D32" i="16" s="1"/>
  <c r="E32" i="16" s="1"/>
  <c r="B33" i="16"/>
  <c r="C53" i="15"/>
  <c r="D53" i="15" s="1"/>
  <c r="E53" i="15" s="1"/>
  <c r="C88" i="14"/>
  <c r="E44" i="14"/>
  <c r="C19" i="13"/>
  <c r="D19" i="13" s="1"/>
  <c r="E19" i="13" s="1"/>
  <c r="C34" i="17" l="1"/>
  <c r="D34" i="17"/>
  <c r="E34" i="17" s="1"/>
  <c r="B35" i="17"/>
  <c r="C33" i="16"/>
  <c r="D33" i="16"/>
  <c r="E33" i="16" s="1"/>
  <c r="B34" i="16"/>
  <c r="C54" i="15"/>
  <c r="D54" i="15" s="1"/>
  <c r="E54" i="15" s="1"/>
  <c r="C45" i="14"/>
  <c r="D45" i="14" s="1"/>
  <c r="D88" i="14" s="1"/>
  <c r="E88" i="14" s="1"/>
  <c r="C20" i="13"/>
  <c r="D20" i="13" s="1"/>
  <c r="E20" i="13" s="1"/>
  <c r="C35" i="17" l="1"/>
  <c r="D35" i="17"/>
  <c r="E35" i="17" s="1"/>
  <c r="B36" i="17"/>
  <c r="C34" i="16"/>
  <c r="D34" i="16" s="1"/>
  <c r="E34" i="16" s="1"/>
  <c r="B35" i="16"/>
  <c r="C55" i="15"/>
  <c r="D55" i="15" s="1"/>
  <c r="E55" i="15" s="1"/>
  <c r="C89" i="14"/>
  <c r="E45" i="14"/>
  <c r="C21" i="13"/>
  <c r="C36" i="17" l="1"/>
  <c r="D36" i="17" s="1"/>
  <c r="E36" i="17" s="1"/>
  <c r="B37" i="17"/>
  <c r="C35" i="16"/>
  <c r="D35" i="16" s="1"/>
  <c r="E35" i="16" s="1"/>
  <c r="B36" i="16"/>
  <c r="C56" i="15"/>
  <c r="D56" i="15" s="1"/>
  <c r="E56" i="15" s="1"/>
  <c r="C46" i="14"/>
  <c r="D46" i="14" s="1"/>
  <c r="D89" i="14" s="1"/>
  <c r="E89" i="14" s="1"/>
  <c r="E46" i="14"/>
  <c r="D21" i="13"/>
  <c r="C37" i="17" l="1"/>
  <c r="D37" i="17" s="1"/>
  <c r="E37" i="17" s="1"/>
  <c r="B38" i="17"/>
  <c r="C36" i="16"/>
  <c r="D36" i="16" s="1"/>
  <c r="E36" i="16" s="1"/>
  <c r="B37" i="16"/>
  <c r="C57" i="15"/>
  <c r="D57" i="15" s="1"/>
  <c r="E57" i="15" s="1"/>
  <c r="E90" i="14"/>
  <c r="C90" i="14"/>
  <c r="C47" i="14"/>
  <c r="D47" i="14" s="1"/>
  <c r="D90" i="14" s="1"/>
  <c r="E47" i="14"/>
  <c r="E21" i="13"/>
  <c r="C38" i="17" l="1"/>
  <c r="D38" i="17" s="1"/>
  <c r="E38" i="17" s="1"/>
  <c r="B39" i="17"/>
  <c r="C37" i="16"/>
  <c r="D37" i="16"/>
  <c r="E37" i="16" s="1"/>
  <c r="B38" i="16"/>
  <c r="C58" i="15"/>
  <c r="D58" i="15" s="1"/>
  <c r="E58" i="15" s="1"/>
  <c r="C48" i="14"/>
  <c r="D48" i="14" s="1"/>
  <c r="D91" i="14" s="1"/>
  <c r="E91" i="14" s="1"/>
  <c r="C91" i="14"/>
  <c r="C39" i="17" l="1"/>
  <c r="D39" i="17" s="1"/>
  <c r="E39" i="17" s="1"/>
  <c r="B40" i="17"/>
  <c r="C38" i="16"/>
  <c r="D38" i="16"/>
  <c r="E38" i="16" s="1"/>
  <c r="B39" i="16"/>
  <c r="C59" i="15"/>
  <c r="D59" i="15" s="1"/>
  <c r="E59" i="15" s="1"/>
  <c r="C92" i="14"/>
  <c r="E48" i="14"/>
  <c r="C40" i="17" l="1"/>
  <c r="D40" i="17" s="1"/>
  <c r="E40" i="17" s="1"/>
  <c r="B41" i="17"/>
  <c r="C39" i="16"/>
  <c r="D39" i="16"/>
  <c r="E39" i="16" s="1"/>
  <c r="B40" i="16"/>
  <c r="C60" i="15"/>
  <c r="D60" i="15" s="1"/>
  <c r="E60" i="15" s="1"/>
  <c r="C49" i="14"/>
  <c r="D49" i="14" s="1"/>
  <c r="D92" i="14" s="1"/>
  <c r="E92" i="14" s="1"/>
  <c r="C41" i="17" l="1"/>
  <c r="D41" i="17"/>
  <c r="E41" i="17" s="1"/>
  <c r="B42" i="17"/>
  <c r="C40" i="16"/>
  <c r="D40" i="16" s="1"/>
  <c r="E40" i="16" s="1"/>
  <c r="B41" i="16"/>
  <c r="C61" i="15"/>
  <c r="D61" i="15" s="1"/>
  <c r="E61" i="15" s="1"/>
  <c r="C93" i="14"/>
  <c r="E49" i="14"/>
  <c r="C42" i="17" l="1"/>
  <c r="D42" i="17" s="1"/>
  <c r="E42" i="17" s="1"/>
  <c r="B43" i="17"/>
  <c r="C41" i="16"/>
  <c r="D41" i="16" s="1"/>
  <c r="E41" i="16" s="1"/>
  <c r="B42" i="16"/>
  <c r="C62" i="15"/>
  <c r="D62" i="15" s="1"/>
  <c r="E62" i="15" s="1"/>
  <c r="C50" i="14"/>
  <c r="D50" i="14" s="1"/>
  <c r="D93" i="14" s="1"/>
  <c r="E93" i="14" s="1"/>
  <c r="E50" i="14"/>
  <c r="C43" i="17" l="1"/>
  <c r="D43" i="17"/>
  <c r="E43" i="17" s="1"/>
  <c r="C42" i="16"/>
  <c r="D42" i="16" s="1"/>
  <c r="E42" i="16" s="1"/>
  <c r="B43" i="16"/>
  <c r="C63" i="15"/>
  <c r="D63" i="15" s="1"/>
  <c r="E63" i="15" s="1"/>
  <c r="C51" i="14"/>
  <c r="D51" i="14" s="1"/>
  <c r="D94" i="14" s="1"/>
  <c r="E94" i="14" s="1"/>
  <c r="E51" i="14"/>
  <c r="C94" i="14"/>
  <c r="C43" i="16" l="1"/>
  <c r="D43" i="16" s="1"/>
  <c r="E43" i="16" s="1"/>
  <c r="B44" i="16"/>
  <c r="C64" i="15"/>
  <c r="D64" i="15" s="1"/>
  <c r="E64" i="15" s="1"/>
  <c r="C95" i="14"/>
  <c r="C52" i="14"/>
  <c r="D52" i="14" s="1"/>
  <c r="D95" i="14" s="1"/>
  <c r="E95" i="14" s="1"/>
  <c r="C44" i="16" l="1"/>
  <c r="D44" i="16" s="1"/>
  <c r="E44" i="16" s="1"/>
  <c r="B45" i="16"/>
  <c r="C65" i="15"/>
  <c r="D65" i="15" s="1"/>
  <c r="E65" i="15" s="1"/>
  <c r="C96" i="14"/>
  <c r="E52" i="14"/>
  <c r="C45" i="16" l="1"/>
  <c r="D45" i="16"/>
  <c r="E45" i="16" s="1"/>
  <c r="B46" i="16"/>
  <c r="C66" i="15"/>
  <c r="D66" i="15" s="1"/>
  <c r="E66" i="15" s="1"/>
  <c r="C53" i="14"/>
  <c r="D53" i="14" s="1"/>
  <c r="D96" i="14" s="1"/>
  <c r="E96" i="14" s="1"/>
  <c r="C46" i="16" l="1"/>
  <c r="D46" i="16" s="1"/>
  <c r="E46" i="16" s="1"/>
  <c r="B47" i="16"/>
  <c r="C67" i="15"/>
  <c r="D67" i="15" s="1"/>
  <c r="E67" i="15" s="1"/>
  <c r="C97" i="14"/>
  <c r="E53" i="14"/>
  <c r="C47" i="16" l="1"/>
  <c r="D47" i="16" s="1"/>
  <c r="E47" i="16" s="1"/>
  <c r="B48" i="16"/>
  <c r="C68" i="15"/>
  <c r="D68" i="15" s="1"/>
  <c r="E68" i="15" s="1"/>
  <c r="C54" i="14"/>
  <c r="D54" i="14" s="1"/>
  <c r="D97" i="14" s="1"/>
  <c r="E97" i="14" s="1"/>
  <c r="E54" i="14"/>
  <c r="C48" i="16" l="1"/>
  <c r="D48" i="16" s="1"/>
  <c r="E48" i="16" s="1"/>
  <c r="B49" i="16"/>
  <c r="C69" i="15"/>
  <c r="D69" i="15" s="1"/>
  <c r="E69" i="15" s="1"/>
  <c r="C55" i="14"/>
  <c r="D55" i="14" s="1"/>
  <c r="D98" i="14" s="1"/>
  <c r="E98" i="14" s="1"/>
  <c r="E55" i="14"/>
  <c r="C98" i="14"/>
  <c r="C49" i="16" l="1"/>
  <c r="D49" i="16"/>
  <c r="E49" i="16" s="1"/>
  <c r="B50" i="16"/>
  <c r="C70" i="15"/>
  <c r="D70" i="15" s="1"/>
  <c r="E70" i="15" s="1"/>
  <c r="C99" i="14"/>
  <c r="C56" i="14"/>
  <c r="D56" i="14" s="1"/>
  <c r="D99" i="14" s="1"/>
  <c r="E99" i="14" s="1"/>
  <c r="C50" i="16" l="1"/>
  <c r="D50" i="16"/>
  <c r="E50" i="16" s="1"/>
  <c r="B51" i="16"/>
  <c r="C100" i="14"/>
  <c r="E56" i="14"/>
  <c r="C51" i="16" l="1"/>
  <c r="D51" i="16" s="1"/>
  <c r="E51" i="16" s="1"/>
  <c r="B52" i="16"/>
  <c r="C57" i="14"/>
  <c r="D57" i="14" s="1"/>
  <c r="D100" i="14" s="1"/>
  <c r="E100" i="14" s="1"/>
  <c r="C52" i="16" l="1"/>
  <c r="D52" i="16" s="1"/>
  <c r="E52" i="16" s="1"/>
  <c r="B53" i="16"/>
  <c r="C101" i="14"/>
  <c r="E57" i="14"/>
  <c r="C53" i="16" l="1"/>
  <c r="B54" i="16"/>
  <c r="D53" i="16"/>
  <c r="E53" i="16" s="1"/>
  <c r="C58" i="14"/>
  <c r="D58" i="14" s="1"/>
  <c r="D101" i="14" s="1"/>
  <c r="E101" i="14" s="1"/>
  <c r="C54" i="16" l="1"/>
  <c r="D54" i="16" s="1"/>
  <c r="E54" i="16" s="1"/>
  <c r="B55" i="16"/>
  <c r="C102" i="14"/>
  <c r="E58" i="14"/>
  <c r="C55" i="16" l="1"/>
  <c r="D55" i="16" s="1"/>
  <c r="E55" i="16" s="1"/>
  <c r="B56" i="16"/>
  <c r="C59" i="14"/>
  <c r="D59" i="14" s="1"/>
  <c r="D102" i="14" s="1"/>
  <c r="E102" i="14" s="1"/>
  <c r="E59" i="14"/>
  <c r="C56" i="16" l="1"/>
  <c r="D56" i="16" s="1"/>
  <c r="E56" i="16" s="1"/>
  <c r="B57" i="16"/>
  <c r="C60" i="14"/>
  <c r="D60" i="14" s="1"/>
  <c r="D103" i="14" s="1"/>
  <c r="E103" i="14" s="1"/>
  <c r="C103" i="14"/>
  <c r="C57" i="16" l="1"/>
  <c r="B58" i="16"/>
  <c r="D57" i="16"/>
  <c r="E57" i="16" s="1"/>
  <c r="C104" i="14"/>
  <c r="E60" i="14"/>
  <c r="C58" i="16" l="1"/>
  <c r="D58" i="16" s="1"/>
  <c r="E58" i="16" s="1"/>
  <c r="B59" i="16"/>
  <c r="C61" i="14"/>
  <c r="D61" i="14" s="1"/>
  <c r="D104" i="14" s="1"/>
  <c r="E104" i="14" s="1"/>
  <c r="C59" i="16" l="1"/>
  <c r="D59" i="16" s="1"/>
  <c r="E59" i="16" s="1"/>
  <c r="B60" i="16"/>
  <c r="E61" i="14"/>
  <c r="C105" i="14"/>
  <c r="C60" i="16" l="1"/>
  <c r="B61" i="16"/>
  <c r="D60" i="16"/>
  <c r="E60" i="16" s="1"/>
  <c r="C62" i="14"/>
  <c r="D62" i="14" s="1"/>
  <c r="D105" i="14" s="1"/>
  <c r="E105" i="14" s="1"/>
  <c r="C61" i="16" l="1"/>
  <c r="D61" i="16" s="1"/>
  <c r="E61" i="16" s="1"/>
  <c r="B62" i="16"/>
  <c r="C106" i="14"/>
  <c r="E62" i="14"/>
  <c r="C62" i="16" l="1"/>
  <c r="B63" i="16"/>
  <c r="D62" i="16"/>
  <c r="E62" i="16" s="1"/>
  <c r="C63" i="14"/>
  <c r="D63" i="14" s="1"/>
  <c r="D106" i="14" s="1"/>
  <c r="E106" i="14" s="1"/>
  <c r="C63" i="16" l="1"/>
  <c r="B64" i="16"/>
  <c r="D63" i="16"/>
  <c r="E63" i="16" s="1"/>
  <c r="E63" i="14"/>
  <c r="C107" i="14"/>
  <c r="C64" i="16" l="1"/>
  <c r="B65" i="16"/>
  <c r="D64" i="16"/>
  <c r="E64" i="16" s="1"/>
  <c r="C64" i="14"/>
  <c r="D64" i="14" s="1"/>
  <c r="D107" i="14" s="1"/>
  <c r="E107" i="14" s="1"/>
  <c r="C65" i="16" l="1"/>
  <c r="B66" i="16"/>
  <c r="D65" i="16"/>
  <c r="E65" i="16" s="1"/>
  <c r="C108" i="14"/>
  <c r="E64" i="14"/>
  <c r="C66" i="16" l="1"/>
  <c r="D66" i="16" s="1"/>
  <c r="E66" i="16" s="1"/>
  <c r="B67" i="16"/>
  <c r="C65" i="14"/>
  <c r="D65" i="14" s="1"/>
  <c r="D108" i="14" s="1"/>
  <c r="E108" i="14" s="1"/>
  <c r="C67" i="16" l="1"/>
  <c r="D67" i="16" s="1"/>
  <c r="E67" i="16" s="1"/>
  <c r="B68" i="16"/>
  <c r="C109" i="14"/>
  <c r="E65" i="14"/>
  <c r="C68" i="16" l="1"/>
  <c r="D68" i="16"/>
  <c r="E68" i="16" s="1"/>
  <c r="B69" i="16"/>
  <c r="C66" i="14"/>
  <c r="D66" i="14" s="1"/>
  <c r="D109" i="14" s="1"/>
  <c r="E109" i="14" s="1"/>
  <c r="C69" i="16" l="1"/>
  <c r="D69" i="16"/>
  <c r="E69" i="16" s="1"/>
  <c r="B70" i="16"/>
  <c r="C110" i="14"/>
  <c r="E66" i="14"/>
  <c r="C70" i="16" l="1"/>
  <c r="D70" i="16"/>
  <c r="E70" i="16" s="1"/>
  <c r="B71" i="16"/>
  <c r="C67" i="14"/>
  <c r="D67" i="14" s="1"/>
  <c r="D110" i="14" s="1"/>
  <c r="E110" i="14" s="1"/>
  <c r="E67" i="14"/>
  <c r="C71" i="16" l="1"/>
  <c r="D71" i="16" s="1"/>
  <c r="E71" i="16" s="1"/>
  <c r="B72" i="16"/>
  <c r="C68" i="14"/>
  <c r="D68" i="14" s="1"/>
  <c r="D111" i="14" s="1"/>
  <c r="E111" i="14" s="1"/>
  <c r="E68" i="14"/>
  <c r="C111" i="14"/>
  <c r="C72" i="16" l="1"/>
  <c r="D72" i="16" s="1"/>
  <c r="E72" i="16" s="1"/>
  <c r="B73" i="16"/>
  <c r="C112" i="14"/>
  <c r="C69" i="14"/>
  <c r="D69" i="14" s="1"/>
  <c r="D112" i="14" s="1"/>
  <c r="E112" i="14" s="1"/>
  <c r="C73" i="16" l="1"/>
  <c r="D73" i="16" s="1"/>
  <c r="E73" i="16" s="1"/>
  <c r="B74" i="16"/>
  <c r="E69" i="14"/>
  <c r="C74" i="16" l="1"/>
  <c r="D74" i="16"/>
  <c r="E74" i="16" s="1"/>
  <c r="B75" i="16"/>
  <c r="C75" i="16" l="1"/>
  <c r="D75" i="16" s="1"/>
  <c r="E75" i="16" s="1"/>
  <c r="B76" i="16"/>
  <c r="C76" i="16" l="1"/>
  <c r="D76" i="16" s="1"/>
  <c r="E76" i="16" s="1"/>
  <c r="B77" i="16"/>
  <c r="C77" i="16" l="1"/>
  <c r="D77" i="16" s="1"/>
  <c r="E77" i="16" s="1"/>
  <c r="B78" i="16"/>
  <c r="C78" i="16" l="1"/>
  <c r="D78" i="16" s="1"/>
  <c r="E78" i="16" s="1"/>
  <c r="B79" i="16"/>
  <c r="C79" i="16" l="1"/>
  <c r="D79" i="16"/>
  <c r="E79" i="16" s="1"/>
  <c r="B80" i="16"/>
  <c r="C80" i="16" l="1"/>
  <c r="D80" i="16" s="1"/>
  <c r="E80" i="16" s="1"/>
  <c r="B81" i="16"/>
  <c r="C81" i="16" l="1"/>
  <c r="D81" i="16" s="1"/>
  <c r="E81" i="16" s="1"/>
  <c r="B82" i="16"/>
  <c r="C82" i="16" l="1"/>
  <c r="D82" i="16"/>
  <c r="E82" i="16" s="1"/>
  <c r="B83" i="16"/>
  <c r="C83" i="16" l="1"/>
  <c r="D83" i="16" s="1"/>
  <c r="E83" i="16" s="1"/>
  <c r="B84" i="16"/>
  <c r="C84" i="16" l="1"/>
  <c r="D84" i="16"/>
  <c r="E84" i="16" s="1"/>
  <c r="B85" i="16"/>
  <c r="C85" i="16" l="1"/>
  <c r="D85" i="16" s="1"/>
  <c r="E85" i="16" s="1"/>
  <c r="B86" i="16"/>
  <c r="C86" i="16" l="1"/>
  <c r="E86" i="16"/>
  <c r="D86" i="16"/>
  <c r="B87" i="16"/>
  <c r="C87" i="16" l="1"/>
  <c r="D87" i="16" s="1"/>
  <c r="E87" i="16" s="1"/>
  <c r="B88" i="16"/>
  <c r="C88" i="16" l="1"/>
  <c r="D88" i="16"/>
  <c r="E88" i="16" s="1"/>
  <c r="B89" i="16"/>
  <c r="C89" i="16" l="1"/>
  <c r="D89" i="16"/>
  <c r="E89" i="16" s="1"/>
  <c r="B90" i="16"/>
  <c r="C90" i="16" l="1"/>
  <c r="D90" i="16" s="1"/>
  <c r="E90" i="16" s="1"/>
  <c r="B91" i="16"/>
  <c r="C91" i="16" l="1"/>
  <c r="D91" i="16" s="1"/>
  <c r="E91" i="16" s="1"/>
  <c r="B92" i="16"/>
  <c r="C92" i="16" l="1"/>
  <c r="D92" i="16" s="1"/>
  <c r="E92" i="16" s="1"/>
  <c r="B93" i="16"/>
  <c r="C93" i="16" l="1"/>
  <c r="D93" i="16" s="1"/>
  <c r="E93" i="16" s="1"/>
  <c r="B94" i="16"/>
  <c r="C94" i="16" l="1"/>
  <c r="D94" i="16" s="1"/>
  <c r="E94" i="16" s="1"/>
  <c r="B95" i="16"/>
  <c r="C95" i="16" l="1"/>
  <c r="D95" i="16" s="1"/>
  <c r="E95" i="16" s="1"/>
  <c r="B96" i="16"/>
  <c r="C96" i="16" l="1"/>
  <c r="D96" i="16" s="1"/>
  <c r="E96" i="16" s="1"/>
  <c r="B97" i="16"/>
  <c r="C97" i="16" l="1"/>
  <c r="D97" i="16"/>
  <c r="E97" i="16" s="1"/>
  <c r="B98" i="16"/>
  <c r="C98" i="16" l="1"/>
  <c r="D98" i="16" s="1"/>
  <c r="E98" i="16" s="1"/>
  <c r="B99" i="16"/>
  <c r="C99" i="16" l="1"/>
  <c r="D99" i="16"/>
  <c r="E99" i="16" s="1"/>
  <c r="B100" i="16"/>
  <c r="C100" i="16" l="1"/>
  <c r="D100" i="16" s="1"/>
  <c r="E100" i="16" s="1"/>
  <c r="B101" i="16"/>
  <c r="C101" i="16" l="1"/>
  <c r="D101" i="16" s="1"/>
  <c r="E101" i="16" s="1"/>
  <c r="B102" i="16"/>
  <c r="C102" i="16" l="1"/>
  <c r="D102" i="16"/>
  <c r="E102" i="16" s="1"/>
  <c r="B103" i="16"/>
  <c r="C103" i="16" l="1"/>
  <c r="D103" i="16"/>
  <c r="E103" i="16" s="1"/>
  <c r="B104" i="16"/>
  <c r="C104" i="16" l="1"/>
  <c r="D104" i="16"/>
  <c r="E104" i="16" s="1"/>
  <c r="B105" i="16"/>
  <c r="C105" i="16" l="1"/>
  <c r="D105" i="16"/>
  <c r="E105" i="16" s="1"/>
  <c r="B106" i="16"/>
  <c r="C106" i="16" l="1"/>
  <c r="D106" i="16"/>
  <c r="E106" i="16" s="1"/>
  <c r="B107" i="16"/>
  <c r="C107" i="16" l="1"/>
  <c r="D107" i="16"/>
  <c r="E107" i="16" s="1"/>
  <c r="B108" i="16"/>
  <c r="C108" i="16" l="1"/>
  <c r="D108" i="16" s="1"/>
  <c r="E108" i="16" s="1"/>
  <c r="B109" i="16"/>
  <c r="C109" i="16" l="1"/>
  <c r="D109" i="16"/>
  <c r="E109" i="16" s="1"/>
  <c r="B110" i="16"/>
  <c r="C110" i="16" l="1"/>
  <c r="D110" i="16"/>
  <c r="E110" i="16" s="1"/>
  <c r="B111" i="16"/>
  <c r="C111" i="16" l="1"/>
  <c r="D111" i="16"/>
  <c r="E111" i="16" s="1"/>
  <c r="B112" i="16"/>
  <c r="C112" i="16" l="1"/>
  <c r="D112" i="16"/>
  <c r="E112" i="16" s="1"/>
  <c r="B113" i="16"/>
  <c r="C113" i="16" l="1"/>
  <c r="D113" i="16" s="1"/>
  <c r="E113" i="16" s="1"/>
  <c r="B114" i="16"/>
  <c r="C114" i="16" l="1"/>
  <c r="D114" i="16"/>
  <c r="E114" i="16" s="1"/>
  <c r="B115" i="16"/>
  <c r="C115" i="16" l="1"/>
  <c r="D115" i="16"/>
  <c r="E115" i="16" s="1"/>
  <c r="B116" i="16"/>
  <c r="C116" i="16" l="1"/>
  <c r="D116" i="16"/>
  <c r="E116" i="16" s="1"/>
  <c r="B117" i="16"/>
  <c r="C117" i="16" l="1"/>
  <c r="D117" i="16" s="1"/>
  <c r="E117" i="16" s="1"/>
  <c r="B118" i="16"/>
  <c r="C118" i="16" l="1"/>
  <c r="D118" i="16" s="1"/>
  <c r="E118" i="16" s="1"/>
  <c r="B119" i="16"/>
  <c r="C119" i="16" l="1"/>
  <c r="D119" i="16" s="1"/>
  <c r="E119" i="16" s="1"/>
  <c r="B120" i="16"/>
  <c r="C120" i="16" l="1"/>
  <c r="D120" i="16" s="1"/>
  <c r="E120" i="16" s="1"/>
  <c r="B121" i="16"/>
  <c r="C121" i="16" l="1"/>
  <c r="D121" i="16" s="1"/>
  <c r="E121" i="16" s="1"/>
  <c r="B122" i="16"/>
  <c r="C122" i="16" l="1"/>
  <c r="D122" i="16" s="1"/>
  <c r="E122" i="16" s="1"/>
  <c r="B123" i="16"/>
  <c r="C123" i="16" l="1"/>
  <c r="D123" i="16" s="1"/>
  <c r="E123" i="16" s="1"/>
  <c r="B124" i="16"/>
  <c r="C124" i="16" l="1"/>
  <c r="D124" i="16" s="1"/>
  <c r="E124" i="16" s="1"/>
  <c r="B125" i="16"/>
  <c r="C125" i="16" l="1"/>
  <c r="D125" i="16" s="1"/>
  <c r="E125" i="16" s="1"/>
  <c r="B126" i="16"/>
  <c r="C126" i="16" l="1"/>
  <c r="D126" i="16" s="1"/>
  <c r="E126" i="16" s="1"/>
  <c r="B127" i="16"/>
  <c r="C127" i="16" l="1"/>
  <c r="D127" i="16"/>
  <c r="E127" i="16" s="1"/>
  <c r="B128" i="16"/>
  <c r="C128" i="16" l="1"/>
  <c r="D128" i="16" s="1"/>
  <c r="E128" i="16" s="1"/>
  <c r="B129" i="16"/>
  <c r="C129" i="16" l="1"/>
  <c r="D129" i="16" s="1"/>
  <c r="E129" i="16" s="1"/>
  <c r="B130" i="16"/>
  <c r="C130" i="16" l="1"/>
  <c r="D130" i="16"/>
  <c r="E130" i="16" s="1"/>
  <c r="B131" i="16"/>
  <c r="C131" i="16" l="1"/>
  <c r="D131" i="16"/>
  <c r="E131" i="16" s="1"/>
  <c r="B132" i="16"/>
  <c r="C132" i="16" l="1"/>
  <c r="D132" i="16"/>
  <c r="E132" i="16" s="1"/>
  <c r="B133" i="16"/>
  <c r="C133" i="16" l="1"/>
  <c r="D133" i="16"/>
  <c r="E133" i="16" s="1"/>
  <c r="B134" i="16"/>
  <c r="C134" i="16" l="1"/>
  <c r="D134" i="16" s="1"/>
  <c r="E134" i="16" s="1"/>
  <c r="B135" i="16"/>
  <c r="C135" i="16" l="1"/>
  <c r="D135" i="16" s="1"/>
  <c r="E135" i="16" s="1"/>
  <c r="B136" i="16"/>
  <c r="C136" i="16" l="1"/>
  <c r="D136" i="16" s="1"/>
  <c r="E136" i="16" s="1"/>
  <c r="B137" i="16"/>
  <c r="C137" i="16" l="1"/>
  <c r="D137" i="16" s="1"/>
  <c r="E137" i="16" s="1"/>
  <c r="B138" i="16"/>
  <c r="C138" i="16" l="1"/>
  <c r="D138" i="16"/>
  <c r="E138" i="16" s="1"/>
  <c r="B139" i="16"/>
  <c r="C139" i="16" l="1"/>
  <c r="D139" i="16"/>
  <c r="E139" i="16" s="1"/>
  <c r="B140" i="16"/>
  <c r="C140" i="16" l="1"/>
  <c r="D140" i="16"/>
  <c r="E140" i="16" s="1"/>
  <c r="B141" i="16"/>
  <c r="C141" i="16" l="1"/>
  <c r="D141" i="16" s="1"/>
  <c r="E141" i="16" s="1"/>
  <c r="B142" i="16"/>
  <c r="C142" i="16" l="1"/>
  <c r="D142" i="16" s="1"/>
  <c r="E142" i="16" s="1"/>
  <c r="B143" i="16"/>
  <c r="C143" i="16" l="1"/>
  <c r="D143" i="16"/>
  <c r="E143" i="16" s="1"/>
  <c r="B144" i="16"/>
  <c r="C144" i="16" l="1"/>
  <c r="D144" i="16" s="1"/>
  <c r="E144" i="16" s="1"/>
  <c r="B145" i="16"/>
  <c r="C145" i="16" l="1"/>
  <c r="D145" i="16" s="1"/>
  <c r="E145" i="16" s="1"/>
  <c r="B146" i="16"/>
  <c r="C146" i="16" l="1"/>
  <c r="D146" i="16" s="1"/>
  <c r="E146" i="16" s="1"/>
  <c r="B147" i="16"/>
  <c r="C147" i="16" l="1"/>
  <c r="D147" i="16"/>
  <c r="E147" i="16" s="1"/>
  <c r="B148" i="16"/>
  <c r="C148" i="16" l="1"/>
  <c r="D148" i="16"/>
  <c r="E148" i="16" s="1"/>
  <c r="B149" i="16"/>
  <c r="C149" i="16" l="1"/>
  <c r="D149" i="16"/>
  <c r="E149" i="16" s="1"/>
  <c r="B150" i="16"/>
  <c r="C150" i="16" l="1"/>
  <c r="D150" i="16"/>
  <c r="E150" i="16" s="1"/>
  <c r="B151" i="16"/>
  <c r="C151" i="16" l="1"/>
  <c r="D151" i="16"/>
  <c r="E151" i="16" s="1"/>
  <c r="B152" i="16"/>
  <c r="C152" i="16" l="1"/>
  <c r="D152" i="16"/>
  <c r="E152" i="16" s="1"/>
  <c r="B153" i="16"/>
  <c r="C153" i="16" l="1"/>
  <c r="D153" i="16"/>
  <c r="E153" i="16" s="1"/>
  <c r="B154" i="16"/>
  <c r="C154" i="16" l="1"/>
  <c r="D154" i="16"/>
  <c r="E154" i="16" s="1"/>
  <c r="B155" i="16"/>
  <c r="C155" i="16" l="1"/>
  <c r="D155" i="16"/>
  <c r="E155" i="16" s="1"/>
  <c r="B156" i="16"/>
  <c r="C156" i="16" l="1"/>
  <c r="D156" i="16"/>
  <c r="E156" i="16" s="1"/>
  <c r="B157" i="16"/>
  <c r="C157" i="16" l="1"/>
  <c r="D157" i="16"/>
  <c r="E157" i="16" s="1"/>
  <c r="B158" i="16"/>
  <c r="C158" i="16" l="1"/>
  <c r="D158" i="16"/>
  <c r="E158" i="16" s="1"/>
  <c r="B159" i="16"/>
  <c r="C159" i="16" l="1"/>
  <c r="D159" i="16"/>
  <c r="E159" i="16" s="1"/>
  <c r="B160" i="16"/>
  <c r="C160" i="16" l="1"/>
  <c r="D160" i="16"/>
  <c r="E160" i="16" s="1"/>
  <c r="B161" i="16"/>
  <c r="C161" i="16" l="1"/>
  <c r="D161" i="16"/>
  <c r="E161" i="16" s="1"/>
  <c r="B162" i="16"/>
  <c r="C162" i="16" l="1"/>
  <c r="D162" i="16"/>
  <c r="E162" i="16" s="1"/>
  <c r="B163" i="16"/>
  <c r="C163" i="16" l="1"/>
  <c r="D163" i="16"/>
  <c r="E163" i="16" s="1"/>
  <c r="B164" i="16"/>
  <c r="C164" i="16" l="1"/>
  <c r="D164" i="16"/>
  <c r="E164" i="16" s="1"/>
  <c r="B165" i="16"/>
  <c r="C165" i="16" l="1"/>
  <c r="D165" i="16"/>
  <c r="E165" i="16" s="1"/>
  <c r="B166" i="16"/>
  <c r="C166" i="16" l="1"/>
  <c r="D166" i="16"/>
  <c r="E166" i="16" s="1"/>
  <c r="B167" i="16"/>
  <c r="C167" i="16" l="1"/>
  <c r="D167" i="16"/>
  <c r="E167" i="16" s="1"/>
  <c r="B168" i="16"/>
  <c r="C168" i="16" l="1"/>
  <c r="D168" i="16"/>
  <c r="E168" i="16" s="1"/>
  <c r="B169" i="16"/>
  <c r="C169" i="16" l="1"/>
  <c r="D169" i="16"/>
  <c r="E169" i="16" s="1"/>
  <c r="B170" i="16"/>
  <c r="C170" i="16" l="1"/>
  <c r="D170" i="16"/>
  <c r="E170" i="16" s="1"/>
  <c r="B171" i="16"/>
  <c r="C171" i="16" l="1"/>
  <c r="D171" i="16"/>
  <c r="E171" i="16" s="1"/>
  <c r="B172" i="16"/>
  <c r="C172" i="16" l="1"/>
  <c r="D172" i="16"/>
  <c r="E172" i="16" s="1"/>
  <c r="B173" i="16"/>
  <c r="C173" i="16" l="1"/>
  <c r="D173" i="16"/>
  <c r="E173" i="16" s="1"/>
  <c r="B174" i="16"/>
  <c r="C174" i="16" l="1"/>
  <c r="D174" i="16" s="1"/>
  <c r="E174" i="16" s="1"/>
  <c r="B175" i="16"/>
  <c r="C175" i="16" l="1"/>
  <c r="D175" i="16"/>
  <c r="E175" i="16" s="1"/>
  <c r="B176" i="16"/>
  <c r="C176" i="16" l="1"/>
  <c r="D176" i="16" s="1"/>
  <c r="E176" i="16" s="1"/>
  <c r="B177" i="16"/>
  <c r="C177" i="16" l="1"/>
  <c r="D177" i="16" s="1"/>
  <c r="E177" i="16" s="1"/>
  <c r="B178" i="16"/>
  <c r="C178" i="16" l="1"/>
  <c r="D178" i="16" s="1"/>
  <c r="E178" i="16" s="1"/>
  <c r="B179" i="16"/>
  <c r="C179" i="16" l="1"/>
  <c r="D179" i="16" s="1"/>
  <c r="E179" i="16" s="1"/>
  <c r="B180" i="16"/>
  <c r="C180" i="16" l="1"/>
  <c r="D180" i="16" s="1"/>
  <c r="E180" i="16" s="1"/>
  <c r="B181" i="16"/>
  <c r="C181" i="16" l="1"/>
  <c r="D181" i="16"/>
  <c r="E181" i="16" s="1"/>
  <c r="B182" i="16"/>
  <c r="C182" i="16" l="1"/>
  <c r="D182" i="16" s="1"/>
  <c r="E182" i="16" s="1"/>
  <c r="B183" i="16"/>
  <c r="C183" i="16" l="1"/>
  <c r="D183" i="16" s="1"/>
  <c r="E183" i="16" s="1"/>
  <c r="B184" i="16"/>
  <c r="C184" i="16" l="1"/>
  <c r="D184" i="16" s="1"/>
  <c r="E184" i="16" s="1"/>
  <c r="B185" i="16"/>
  <c r="C185" i="16" l="1"/>
  <c r="D185" i="16" s="1"/>
  <c r="E185" i="16" s="1"/>
  <c r="B186" i="16"/>
  <c r="C186" i="16" l="1"/>
  <c r="D186" i="16" s="1"/>
  <c r="E186" i="16" s="1"/>
  <c r="B187" i="16"/>
  <c r="C187" i="16" l="1"/>
  <c r="D187" i="16" s="1"/>
  <c r="E187" i="16" s="1"/>
  <c r="B188" i="16"/>
  <c r="C188" i="16" l="1"/>
  <c r="D188" i="16"/>
  <c r="E188" i="16" s="1"/>
  <c r="B189" i="16"/>
  <c r="C189" i="16" l="1"/>
  <c r="D189" i="16" s="1"/>
  <c r="E189" i="16" s="1"/>
  <c r="B190" i="16"/>
  <c r="C190" i="16" l="1"/>
  <c r="D190" i="16"/>
  <c r="E190" i="16" s="1"/>
  <c r="B191" i="16"/>
  <c r="C191" i="16" l="1"/>
  <c r="D191" i="16" s="1"/>
  <c r="E191" i="16" s="1"/>
  <c r="B192" i="16"/>
  <c r="C192" i="16" l="1"/>
  <c r="D192" i="16"/>
  <c r="E192" i="16" s="1"/>
  <c r="B193" i="16"/>
  <c r="C193" i="16" l="1"/>
  <c r="D193" i="16" s="1"/>
  <c r="E193" i="16" s="1"/>
  <c r="B194" i="16"/>
  <c r="C194" i="16" l="1"/>
  <c r="D194" i="16"/>
  <c r="E194" i="16" s="1"/>
  <c r="H26" i="12" l="1"/>
  <c r="F26" i="12"/>
  <c r="I24" i="12"/>
  <c r="G24" i="12"/>
  <c r="F24" i="12"/>
  <c r="I23" i="12"/>
  <c r="G23" i="12"/>
  <c r="F23" i="12"/>
  <c r="G22" i="12"/>
  <c r="F22" i="12"/>
  <c r="I21" i="12"/>
  <c r="F21" i="12"/>
  <c r="G21" i="12" s="1"/>
  <c r="G25" i="12" s="1"/>
  <c r="O41" i="11"/>
  <c r="N41" i="11"/>
  <c r="M36" i="11" s="1"/>
  <c r="O38" i="11"/>
  <c r="M38" i="11" s="1"/>
  <c r="N38" i="11"/>
  <c r="O37" i="11"/>
  <c r="N37" i="11"/>
  <c r="M37" i="11"/>
  <c r="O36" i="11"/>
  <c r="N36" i="11"/>
  <c r="O35" i="11"/>
  <c r="M35" i="11" s="1"/>
  <c r="H22" i="12" l="1"/>
  <c r="H21" i="12"/>
  <c r="M39" i="11"/>
  <c r="H23" i="12" l="1"/>
  <c r="H24" i="12" s="1"/>
  <c r="I22" i="12"/>
  <c r="F18" i="12" s="1"/>
  <c r="J21" i="12" s="1"/>
  <c r="F17" i="11"/>
  <c r="N35" i="11" s="1"/>
  <c r="N40" i="11" s="1"/>
  <c r="M32" i="11" s="1"/>
  <c r="F18" i="11"/>
  <c r="F19" i="11" s="1"/>
  <c r="F20" i="11" s="1"/>
  <c r="E79" i="5" l="1"/>
  <c r="E73" i="5"/>
  <c r="E67" i="5"/>
  <c r="E7" i="5" l="1"/>
  <c r="E37" i="5"/>
  <c r="E7" i="8" l="1"/>
  <c r="E14" i="8"/>
  <c r="G112" i="6" l="1"/>
  <c r="G106" i="6"/>
  <c r="H109" i="5"/>
  <c r="G103" i="5"/>
  <c r="E97" i="5" l="1"/>
  <c r="C7" i="9" l="1"/>
  <c r="E100" i="6" l="1"/>
  <c r="E75" i="6"/>
  <c r="E57" i="6"/>
  <c r="E37" i="6" l="1"/>
  <c r="E50" i="6"/>
  <c r="E43" i="5" l="1"/>
  <c r="E25" i="5"/>
  <c r="E7" i="6"/>
  <c r="E13" i="6"/>
  <c r="E19" i="6"/>
  <c r="E25" i="6"/>
  <c r="E31" i="6"/>
  <c r="E44" i="6"/>
  <c r="E63" i="6"/>
  <c r="E69" i="6"/>
  <c r="E81" i="6"/>
  <c r="E87" i="6"/>
  <c r="E94" i="6"/>
  <c r="E13" i="5"/>
  <c r="E19" i="5"/>
  <c r="E31" i="5"/>
  <c r="E49" i="5"/>
  <c r="A55" i="5"/>
  <c r="E55" i="5" s="1"/>
  <c r="A61" i="5"/>
  <c r="E61" i="5" s="1"/>
  <c r="A79" i="5"/>
  <c r="A85" i="5"/>
  <c r="E85" i="5" s="1"/>
  <c r="E91" i="5"/>
  <c r="D5" i="4"/>
  <c r="D11" i="4"/>
  <c r="D17" i="4"/>
  <c r="D23" i="4"/>
  <c r="D29" i="4"/>
  <c r="D35" i="4"/>
  <c r="D41" i="4"/>
  <c r="D47" i="4"/>
</calcChain>
</file>

<file path=xl/comments1.xml><?xml version="1.0" encoding="utf-8"?>
<comments xmlns="http://schemas.openxmlformats.org/spreadsheetml/2006/main">
  <authors>
    <author>Rafael Serna</author>
  </authors>
  <commentList>
    <comment ref="A21" authorId="0">
      <text>
        <r>
          <rPr>
            <b/>
            <sz val="9"/>
            <color indexed="81"/>
            <rFont val="Tahoma"/>
            <family val="2"/>
          </rPr>
          <t>$70.000.000 -7.601.751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<sst xmlns="http://schemas.openxmlformats.org/spreadsheetml/2006/main" count="647" uniqueCount="209">
  <si>
    <t>Sintaxis</t>
  </si>
  <si>
    <t>VF</t>
  </si>
  <si>
    <t>Nper</t>
  </si>
  <si>
    <t>Pago</t>
  </si>
  <si>
    <t>CUOTA</t>
  </si>
  <si>
    <t>Tasa Per.</t>
  </si>
  <si>
    <t>(A/F, i%, n)</t>
  </si>
  <si>
    <t>Valor de la anualidad anticipada
conociendo el valor futuro</t>
  </si>
  <si>
    <t>VP</t>
  </si>
  <si>
    <t>(A/P, i%, n)</t>
  </si>
  <si>
    <t>Valor de la anualidad anticipada
conociendo el valor presente</t>
  </si>
  <si>
    <t>(F/A, i%, n)</t>
  </si>
  <si>
    <t>Valor Futuro de una serie uniforme
con anualidad anticipada</t>
  </si>
  <si>
    <t>(P/A, i%, n)</t>
  </si>
  <si>
    <t>Valor Presente de una serie uniforme
con anualidad anticipada</t>
  </si>
  <si>
    <t>Valor de la anualidad vencida
conociendo el valor futuro</t>
  </si>
  <si>
    <t>Valor de la anualidad vencida
conociendo el valor presente</t>
  </si>
  <si>
    <t>Valor Futuro de una serie uniforme
con anualidad vencida</t>
  </si>
  <si>
    <t>Valor Presente de una serie uniforme
con anualidad vencida</t>
  </si>
  <si>
    <t>Gradiente</t>
  </si>
  <si>
    <t>F=A(F/G ,i%, n) + G(F/G, i%, n)</t>
  </si>
  <si>
    <t>Valor de la primera cuota
Gradiente Aritmético Anticipado Decreciente dado VF</t>
  </si>
  <si>
    <t>Valor de la primera cuota
Gradiente Aritmético Anticipado Creciente dado VF</t>
  </si>
  <si>
    <t xml:space="preserve">(A/P, G ,i%, n) </t>
  </si>
  <si>
    <t>Valor de la primera cuota
Gradiente Aritmético Anticipado Decreciente dado VP</t>
  </si>
  <si>
    <t>Valor de la primera cuota
Gradiente Aritmético Anticipado Creciente dado VP</t>
  </si>
  <si>
    <t>Valor de la primera cuota
Gradiente Aritmético Vencido Decreciente dado VF</t>
  </si>
  <si>
    <t>Valor de la primera cuota
Gradiente Aritmético Vencido Creciente dado VF</t>
  </si>
  <si>
    <t>Valor de la primera cuota
Gradiente Aritmético Vencido Decreciente dado VP</t>
  </si>
  <si>
    <t>Valor de la primera cuota
Gradiente Aritmético Vencido Creciente dado VP</t>
  </si>
  <si>
    <t>Valor Futuro
Gradiente Aritmético Anticipado Decreciente</t>
  </si>
  <si>
    <t>Valor Futuro
Gradiente Aritmético Anticipado Creciente</t>
  </si>
  <si>
    <t>Valor Futuro
Gradiente Aritmético Vencido Decreciente</t>
  </si>
  <si>
    <t>Valor Futuro
Gradiente Aritmético Vencido Creciente</t>
  </si>
  <si>
    <t>P=A(P/A ,i%, n) + G(P/G, i%, n)</t>
  </si>
  <si>
    <t>Valor Presente
Gradiente Aritmético Anticipado Decreciente</t>
  </si>
  <si>
    <t>Valor Presente
Gradiente Aritmético Anticipado Creciente</t>
  </si>
  <si>
    <t>Valor Presente
Gradiente Aritmético Vencido Decreciente</t>
  </si>
  <si>
    <t>Valor Presente
Gradiente Aritmético Vencido Creciente</t>
  </si>
  <si>
    <t>GRADIENTE ARITMETICO</t>
  </si>
  <si>
    <t xml:space="preserve">(A/G, F ,i%, n) </t>
  </si>
  <si>
    <t>Valor de la primera cuota
Gradiente Geomético Anticipado Decreciente dado VF</t>
  </si>
  <si>
    <t>Valor de la primera cuota
Gradiente Geomético Anticipado Creciente dado VF</t>
  </si>
  <si>
    <t>Valor de la primera cuota
Gradiente Geomético Vencido Decreciente dado VF</t>
  </si>
  <si>
    <t>Valor de la primera cuota
Gradiente Geomético Vencido Creciente dado VF</t>
  </si>
  <si>
    <t xml:space="preserve">(A/G, P ,i%, n) </t>
  </si>
  <si>
    <t>Valor de la primera cuota
Gradiente Geomético Anticipado Decreciente dado VP</t>
  </si>
  <si>
    <t>Valor de la primera cuota
Gradiente Geomético Anticipado Creciente dado VP</t>
  </si>
  <si>
    <t>Valor de la primera cuota
Gradiente Geomético Vencido Decreciente dado VP</t>
  </si>
  <si>
    <t>Valor de la primera cuota
Gradiente Geomético Vencido Creciente dado VP</t>
  </si>
  <si>
    <t>(F/G, A, i%, n)</t>
  </si>
  <si>
    <t>Valor Futuro de una serie
Gradiente Geométrico Anticipado Decreciente</t>
  </si>
  <si>
    <t>Valor Futuro de una serie
Gradiente Geométrico Anticipado Creciente</t>
  </si>
  <si>
    <t>Valor Futuro de una serie
Gradiente Geométrico Vencido Decreciente</t>
  </si>
  <si>
    <t>Valor Futuro de una serie
Gradiente Geométrico Vencido Creciente</t>
  </si>
  <si>
    <t>(P/G, A, i%, n)</t>
  </si>
  <si>
    <t>Valor Presente de una serie
Gradiente Geométrico Anticipado Decreciente</t>
  </si>
  <si>
    <t>Valor Presente de una serie
Gradiente Geométrico Anticipado Creciente</t>
  </si>
  <si>
    <t>Valor Presente de una serie
Gradiente Geométrico Vencido Decreciente</t>
  </si>
  <si>
    <t>Valor Presente de una serie
Gradiente Geométrico Vencido Creciente</t>
  </si>
  <si>
    <t>GRADIENTE GEOMETRICO</t>
  </si>
  <si>
    <t>Valor Presente
Con período de gracia (r) y período de pagos (s)</t>
  </si>
  <si>
    <t>r</t>
  </si>
  <si>
    <t>s</t>
  </si>
  <si>
    <t>ANUALIDAD</t>
  </si>
  <si>
    <t>P=(P/A , i%, r, s)</t>
  </si>
  <si>
    <t>Valor de la anualidad vencida diferida
conociendo el valor presente
con período de gracia (r) y período de pagos (s)</t>
  </si>
  <si>
    <t>A=(A/P , i%, r, s)</t>
  </si>
  <si>
    <t>ANUALIDAD DIFERIDA</t>
  </si>
  <si>
    <t>Valor Presente de una anualidad perpetua</t>
  </si>
  <si>
    <t>(P/A, i%)</t>
  </si>
  <si>
    <t>Valor Presente
Gradiente Aritmético Diferido</t>
  </si>
  <si>
    <t xml:space="preserve">P=(P/G ,i%, r,s) </t>
  </si>
  <si>
    <t>G</t>
  </si>
  <si>
    <t>Valor de la primera cuota
Gradiente Aritmético Diferido</t>
  </si>
  <si>
    <t>ir</t>
  </si>
  <si>
    <t>is</t>
  </si>
  <si>
    <t>n</t>
  </si>
  <si>
    <t xml:space="preserve">A=(A/P ,i%, r,s) </t>
  </si>
  <si>
    <t>Valor Presente
Gradiente Geométrico Diferido</t>
  </si>
  <si>
    <t>Valor de la primera cuota
Gradiente Geométrico Diferido</t>
  </si>
  <si>
    <t xml:space="preserve">P=(P/k ,A, i%, r,s) </t>
  </si>
  <si>
    <t xml:space="preserve">A=(A/k ,P,i%, r,s) </t>
  </si>
  <si>
    <t>k</t>
  </si>
  <si>
    <t>Anualidad diferida</t>
  </si>
  <si>
    <t>Anualidad perpetua</t>
  </si>
  <si>
    <t>Gradiente aritmético</t>
  </si>
  <si>
    <t>Gradiente geométrico</t>
  </si>
  <si>
    <t>SERIES UNIFORMES</t>
  </si>
  <si>
    <t>SERIES VARIABLES</t>
  </si>
  <si>
    <t xml:space="preserve">MODELO CONVERSION DE TASAS </t>
  </si>
  <si>
    <t>CALCULO TASA NOMINAL</t>
  </si>
  <si>
    <t>Ingreso de datos</t>
  </si>
  <si>
    <t>Tasa Efectiva Anual</t>
  </si>
  <si>
    <t>TASA</t>
  </si>
  <si>
    <t>Efectiva</t>
  </si>
  <si>
    <t>Nominal</t>
  </si>
  <si>
    <t>TIPO</t>
  </si>
  <si>
    <t>Vencido</t>
  </si>
  <si>
    <t>Período capitalización</t>
  </si>
  <si>
    <t>Mes</t>
  </si>
  <si>
    <t>RESULTADOS</t>
  </si>
  <si>
    <t>Tasa Nominal Anual vencida</t>
  </si>
  <si>
    <t>Tasa periódica vencida</t>
  </si>
  <si>
    <t>Tasa periódica anticipada</t>
  </si>
  <si>
    <t>Tasa Nominal Anual anticipada</t>
  </si>
  <si>
    <t>PERIODO 
CAPITALIZACION</t>
  </si>
  <si>
    <t>No. PERIODOS EN UN AÑO</t>
  </si>
  <si>
    <t>Día</t>
  </si>
  <si>
    <t>Anticipado</t>
  </si>
  <si>
    <t>Bimestre</t>
  </si>
  <si>
    <t>EA</t>
  </si>
  <si>
    <t>RESULTADO</t>
  </si>
  <si>
    <t>FUENTE</t>
  </si>
  <si>
    <t>Trimestre</t>
  </si>
  <si>
    <t>Semestre</t>
  </si>
  <si>
    <t>Anual</t>
  </si>
  <si>
    <t>TEA</t>
  </si>
  <si>
    <t>PERIODO (n)</t>
  </si>
  <si>
    <t>PERIODO</t>
  </si>
  <si>
    <t>CALCULO TASA EFECTIVA ANUAL</t>
  </si>
  <si>
    <t>Tasa Nominal</t>
  </si>
  <si>
    <t>CALCULO</t>
  </si>
  <si>
    <t>CONVERTIR</t>
  </si>
  <si>
    <t>SISTEMA DE AMORTIZACION CUOTA FIJA</t>
  </si>
  <si>
    <t>VR.CREDITO</t>
  </si>
  <si>
    <t>FORMULA</t>
  </si>
  <si>
    <t>EXCEL</t>
  </si>
  <si>
    <t>Tabla de amortización</t>
  </si>
  <si>
    <t>Cuota Nº</t>
  </si>
  <si>
    <t>Cuota</t>
  </si>
  <si>
    <t>Interés</t>
  </si>
  <si>
    <t xml:space="preserve">Capital </t>
  </si>
  <si>
    <t>Saldo Capital</t>
  </si>
  <si>
    <t>SISTEMA DE AMORTIZACION CUOTAS EXTRAORDINARIAS</t>
  </si>
  <si>
    <t>C. Extras</t>
  </si>
  <si>
    <t>PRIMERO</t>
  </si>
  <si>
    <t>Hallar el valor presente de las cuotas extras</t>
  </si>
  <si>
    <t>SEGUNDO</t>
  </si>
  <si>
    <t xml:space="preserve">Hallar el valor a diferir </t>
  </si>
  <si>
    <t>VR.DIFERIR</t>
  </si>
  <si>
    <t>TERCERO</t>
  </si>
  <si>
    <t>Construir tabla de amortización cuotas mensuales y cuotas anuales</t>
  </si>
  <si>
    <t>Tabla de amortización cuotas mensuales</t>
  </si>
  <si>
    <t>Tabla de amortización cuotas anuales</t>
  </si>
  <si>
    <t>CUARTO</t>
  </si>
  <si>
    <t>Construir tabla de amortización total (cuotas mensuales + cuotas anuales)</t>
  </si>
  <si>
    <t>Tabla de amortización total</t>
  </si>
  <si>
    <t>SISTEMA DE AMORTIZACION ANUALIDAD DIFERIDA</t>
  </si>
  <si>
    <t>Vr. Préstamo</t>
  </si>
  <si>
    <t xml:space="preserve">Plazo total </t>
  </si>
  <si>
    <t>Periodo gracia</t>
  </si>
  <si>
    <t>Número pagos</t>
  </si>
  <si>
    <t>Tasa nominal</t>
  </si>
  <si>
    <t>TPM</t>
  </si>
  <si>
    <t>METODO 1</t>
  </si>
  <si>
    <t>Hallar el valor de la anualidad por fórmula</t>
  </si>
  <si>
    <t>METODO 2</t>
  </si>
  <si>
    <t>Hallar el valor futuro de $50.000.000 en el período 12</t>
  </si>
  <si>
    <t>A partir de este valor hallar el valor de la anualidad</t>
  </si>
  <si>
    <t>Tabla de amortización anualidad diferida</t>
  </si>
  <si>
    <t>PERIODO DE GRACIA</t>
  </si>
  <si>
    <t>SISTEMA DE AMORTIZACION GRADIENTE ARITMETICO</t>
  </si>
  <si>
    <t>Tasa interés</t>
  </si>
  <si>
    <r>
      <t xml:space="preserve"> 1</t>
    </r>
    <r>
      <rPr>
        <b/>
        <vertAlign val="superscript"/>
        <sz val="10"/>
        <rFont val="Bookman Old Style"/>
        <family val="1"/>
      </rPr>
      <t>a</t>
    </r>
    <r>
      <rPr>
        <b/>
        <sz val="10"/>
        <rFont val="Bookman Old Style"/>
        <family val="1"/>
      </rPr>
      <t xml:space="preserve"> CUOTA</t>
    </r>
  </si>
  <si>
    <t>Tabla de amortización gradiente aritmético</t>
  </si>
  <si>
    <t>Plazo</t>
  </si>
  <si>
    <t>Trimestres</t>
  </si>
  <si>
    <t>Tasa</t>
  </si>
  <si>
    <t>Tabla de amortización gradiente geométrico</t>
  </si>
  <si>
    <t>INDICE TEMATICO</t>
  </si>
  <si>
    <t>Anualidades vencida</t>
  </si>
  <si>
    <t>Anualidades anticipada</t>
  </si>
  <si>
    <t>ANUALIDAD PERPETUA</t>
  </si>
  <si>
    <t>Gradiente aritmético diferido</t>
  </si>
  <si>
    <t>Gradiente geométrico diferido</t>
  </si>
  <si>
    <t>CONVERSION DE TASAS</t>
  </si>
  <si>
    <t>Tasa efectiva anual</t>
  </si>
  <si>
    <t>SISTEMAS DE AMORTIZACION</t>
  </si>
  <si>
    <t>Cuota fija</t>
  </si>
  <si>
    <t>Cuotas extraordinarias</t>
  </si>
  <si>
    <t>SISTEMA DE AMORTIZACION GRADIENTE GEOMETRICO</t>
  </si>
  <si>
    <t>INDICADORES DE CONVENIENCIA</t>
  </si>
  <si>
    <t>Año</t>
  </si>
  <si>
    <t>Ingresos</t>
  </si>
  <si>
    <t>Egresos</t>
  </si>
  <si>
    <t>Flujo Neto</t>
  </si>
  <si>
    <t>VP Egresos</t>
  </si>
  <si>
    <t>VF Ingresos</t>
  </si>
  <si>
    <t>ANALISIS SENSIBILIDAD</t>
  </si>
  <si>
    <t>TIO</t>
  </si>
  <si>
    <t>TOTALES</t>
  </si>
  <si>
    <t>Tasa descuento</t>
  </si>
  <si>
    <t>Tasa de financiación</t>
  </si>
  <si>
    <t>Tasa de Reinversión</t>
  </si>
  <si>
    <t>INDICADORES</t>
  </si>
  <si>
    <t>SIGLA</t>
  </si>
  <si>
    <t>VPN</t>
  </si>
  <si>
    <t xml:space="preserve"> +VNA(D18;D3:$D$14)+$D$2</t>
  </si>
  <si>
    <t>TIR</t>
  </si>
  <si>
    <t xml:space="preserve"> +TIR(D2:D14)</t>
  </si>
  <si>
    <t>TIRM</t>
  </si>
  <si>
    <t xml:space="preserve"> +TIRM(D2:D14;$D$19;$D$20)</t>
  </si>
  <si>
    <t xml:space="preserve"> +(F15/E15)^(1/A14)-1</t>
  </si>
  <si>
    <t>CAUE</t>
  </si>
  <si>
    <t xml:space="preserve"> +PAGO($D$18;A14;-D24)</t>
  </si>
  <si>
    <t>B/C</t>
  </si>
  <si>
    <t xml:space="preserve"> +(VNA($D$25;B8:B19)+B7)/(VNA($D$25;C8:C18)+C7)</t>
  </si>
  <si>
    <t>ANEXO MANUAL DIDACTICO DE MATEMATICAS 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</si>
</sst>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(* #,##0.00_);_(* \(#,##0.00\);_(* &quot;-&quot;??_);_(@_)"/>
    <numFmt numFmtId="164" formatCode="_(* #,##0_);_(* \(#,##0\);_(* &quot;-&quot;??_);_(@_)"/>
    <numFmt numFmtId="165" formatCode="#,##0.000"/>
    <numFmt numFmtId="166" formatCode="0.0%"/>
    <numFmt numFmtId="167" formatCode="0.00%\ &quot;MV&quot;"/>
    <numFmt numFmtId="168" formatCode="0&quot; Meses&quot;"/>
    <numFmt numFmtId="169" formatCode="_-* #,##0.00\ [$€-1]_-;\-* #,##0.00\ [$€-1]_-;_-* &quot;-&quot;??\ [$€-1]_-"/>
    <numFmt numFmtId="170" formatCode="0\ &quot; Meses&quot;"/>
    <numFmt numFmtId="171" formatCode="0.00%\ &quot;EA&quot;"/>
    <numFmt numFmtId="172" formatCode="0\ &quot; Años&quot;"/>
    <numFmt numFmtId="173" formatCode="0\ &quot;MESES&quot;"/>
    <numFmt numFmtId="174" formatCode="0%\ &quot;NMV&quot;"/>
    <numFmt numFmtId="175" formatCode="0.0%\ &quot;MV&quot;"/>
    <numFmt numFmtId="176" formatCode="0\ &quot;AÑOS&quot;"/>
    <numFmt numFmtId="177" formatCode="0\ &quot;TRIMESTES&quot;"/>
    <numFmt numFmtId="178" formatCode="0.00%\ &quot;TV&quot;"/>
  </numFmts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Bookman Old Style"/>
      <family val="1"/>
    </font>
    <font>
      <sz val="10"/>
      <color indexed="58"/>
      <name val="Bookman Old Style"/>
      <family val="1"/>
    </font>
    <font>
      <b/>
      <sz val="10"/>
      <color indexed="58"/>
      <name val="Bookman Old Style"/>
      <family val="1"/>
    </font>
    <font>
      <sz val="8"/>
      <name val="Arial"/>
      <family val="2"/>
    </font>
    <font>
      <b/>
      <sz val="8"/>
      <color theme="1"/>
      <name val="Arial"/>
      <family val="2"/>
    </font>
    <font>
      <b/>
      <sz val="10"/>
      <name val="Bookman Old Style"/>
      <family val="1"/>
    </font>
    <font>
      <b/>
      <sz val="12"/>
      <color theme="1"/>
      <name val="Arial"/>
      <family val="2"/>
    </font>
    <font>
      <b/>
      <sz val="18"/>
      <color theme="0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Bookman Old Style"/>
      <family val="1"/>
    </font>
    <font>
      <b/>
      <sz val="10"/>
      <color theme="0"/>
      <name val="Bookman Old Style"/>
      <family val="1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name val="Arial"/>
    </font>
    <font>
      <b/>
      <sz val="11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vertAlign val="superscript"/>
      <sz val="10"/>
      <name val="Bookman Old Style"/>
      <family val="1"/>
    </font>
    <font>
      <b/>
      <sz val="22"/>
      <color theme="0"/>
      <name val="Calibri"/>
      <family val="2"/>
      <scheme val="minor"/>
    </font>
    <font>
      <b/>
      <sz val="28"/>
      <color theme="0"/>
      <name val="Calibri"/>
      <family val="2"/>
      <scheme val="minor"/>
    </font>
    <font>
      <i/>
      <u/>
      <sz val="11"/>
      <color rgb="FFC00000"/>
      <name val="Calibri"/>
      <family val="2"/>
      <scheme val="minor"/>
    </font>
    <font>
      <i/>
      <sz val="11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theme="3" tint="-0.249977111117893"/>
      </bottom>
      <diagonal/>
    </border>
    <border>
      <left/>
      <right style="double">
        <color indexed="64"/>
      </right>
      <top style="double">
        <color indexed="64"/>
      </top>
      <bottom style="double">
        <color theme="3" tint="-0.249977111117893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theme="3" tint="-0.249977111117893"/>
      </left>
      <right style="double">
        <color theme="3" tint="-0.249977111117893"/>
      </right>
      <top/>
      <bottom style="double">
        <color theme="3" tint="-0.249977111117893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theme="3" tint="-0.249977111117893"/>
      </left>
      <right style="double">
        <color theme="3" tint="-0.249977111117893"/>
      </right>
      <top style="double">
        <color theme="3" tint="-0.249977111117893"/>
      </top>
      <bottom style="double">
        <color theme="3" tint="-0.24997711111789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2" fillId="0" borderId="0"/>
    <xf numFmtId="169" fontId="22" fillId="0" borderId="0" applyFont="0" applyFill="0" applyBorder="0" applyAlignment="0" applyProtection="0"/>
  </cellStyleXfs>
  <cellXfs count="234">
    <xf numFmtId="0" fontId="0" fillId="0" borderId="0" xfId="0"/>
    <xf numFmtId="3" fontId="2" fillId="0" borderId="0" xfId="1" applyNumberFormat="1" applyFont="1" applyAlignment="1">
      <alignment vertical="center" wrapText="1"/>
    </xf>
    <xf numFmtId="3" fontId="2" fillId="2" borderId="0" xfId="1" applyNumberFormat="1" applyFont="1" applyFill="1" applyAlignment="1">
      <alignment vertical="center" wrapText="1"/>
    </xf>
    <xf numFmtId="0" fontId="3" fillId="2" borderId="0" xfId="1" applyFont="1" applyFill="1" applyBorder="1"/>
    <xf numFmtId="0" fontId="4" fillId="2" borderId="0" xfId="1" applyFont="1" applyFill="1" applyBorder="1"/>
    <xf numFmtId="3" fontId="2" fillId="0" borderId="0" xfId="1" applyNumberFormat="1" applyFont="1" applyFill="1" applyAlignment="1">
      <alignment vertical="center" wrapText="1"/>
    </xf>
    <xf numFmtId="0" fontId="5" fillId="0" borderId="0" xfId="1" applyFont="1"/>
    <xf numFmtId="43" fontId="6" fillId="0" borderId="0" xfId="3" applyFont="1"/>
    <xf numFmtId="0" fontId="6" fillId="0" borderId="0" xfId="1" applyFont="1"/>
    <xf numFmtId="49" fontId="3" fillId="2" borderId="7" xfId="1" applyNumberFormat="1" applyFont="1" applyFill="1" applyBorder="1" applyAlignment="1">
      <alignment horizontal="left"/>
    </xf>
    <xf numFmtId="49" fontId="3" fillId="2" borderId="0" xfId="1" applyNumberFormat="1" applyFont="1" applyFill="1" applyBorder="1" applyAlignment="1">
      <alignment horizontal="left"/>
    </xf>
    <xf numFmtId="0" fontId="7" fillId="2" borderId="8" xfId="1" applyFont="1" applyFill="1" applyBorder="1"/>
    <xf numFmtId="0" fontId="1" fillId="0" borderId="0" xfId="1"/>
    <xf numFmtId="164" fontId="7" fillId="0" borderId="0" xfId="3" applyNumberFormat="1" applyFont="1" applyFill="1" applyBorder="1" applyAlignment="1">
      <alignment horizontal="center"/>
    </xf>
    <xf numFmtId="3" fontId="2" fillId="0" borderId="0" xfId="1" applyNumberFormat="1" applyFont="1" applyFill="1" applyBorder="1" applyAlignment="1">
      <alignment horizontal="center"/>
    </xf>
    <xf numFmtId="10" fontId="2" fillId="0" borderId="0" xfId="2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left"/>
    </xf>
    <xf numFmtId="49" fontId="2" fillId="2" borderId="0" xfId="1" applyNumberFormat="1" applyFont="1" applyFill="1" applyBorder="1" applyAlignment="1">
      <alignment horizontal="left"/>
    </xf>
    <xf numFmtId="0" fontId="7" fillId="2" borderId="0" xfId="1" applyFont="1" applyFill="1" applyBorder="1"/>
    <xf numFmtId="0" fontId="2" fillId="2" borderId="0" xfId="1" applyFont="1" applyFill="1" applyBorder="1"/>
    <xf numFmtId="0" fontId="1" fillId="0" borderId="0" xfId="1" applyFill="1"/>
    <xf numFmtId="3" fontId="3" fillId="0" borderId="0" xfId="1" applyNumberFormat="1" applyFont="1" applyFill="1" applyBorder="1" applyAlignment="1">
      <alignment horizontal="center"/>
    </xf>
    <xf numFmtId="10" fontId="3" fillId="0" borderId="0" xfId="2" applyNumberFormat="1" applyFont="1" applyFill="1" applyBorder="1" applyAlignment="1">
      <alignment horizontal="center"/>
    </xf>
    <xf numFmtId="164" fontId="4" fillId="0" borderId="0" xfId="3" applyNumberFormat="1" applyFont="1" applyFill="1" applyBorder="1" applyAlignment="1">
      <alignment horizontal="center"/>
    </xf>
    <xf numFmtId="0" fontId="9" fillId="0" borderId="7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3" fontId="2" fillId="0" borderId="0" xfId="1" applyNumberFormat="1" applyFont="1" applyFill="1" applyAlignment="1" applyProtection="1">
      <alignment vertical="center" wrapText="1"/>
      <protection locked="0"/>
    </xf>
    <xf numFmtId="0" fontId="7" fillId="4" borderId="6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/>
    </xf>
    <xf numFmtId="0" fontId="7" fillId="4" borderId="5" xfId="1" applyFont="1" applyFill="1" applyBorder="1" applyAlignment="1">
      <alignment horizontal="center"/>
    </xf>
    <xf numFmtId="10" fontId="2" fillId="5" borderId="4" xfId="2" applyNumberFormat="1" applyFont="1" applyFill="1" applyBorder="1" applyAlignment="1" applyProtection="1">
      <alignment horizontal="center"/>
      <protection locked="0"/>
    </xf>
    <xf numFmtId="3" fontId="2" fillId="5" borderId="3" xfId="1" applyNumberFormat="1" applyFont="1" applyFill="1" applyBorder="1" applyAlignment="1" applyProtection="1">
      <alignment horizontal="center"/>
      <protection locked="0"/>
    </xf>
    <xf numFmtId="164" fontId="12" fillId="6" borderId="2" xfId="3" applyNumberFormat="1" applyFont="1" applyFill="1" applyBorder="1" applyAlignment="1" applyProtection="1">
      <alignment horizontal="center"/>
    </xf>
    <xf numFmtId="164" fontId="12" fillId="6" borderId="2" xfId="3" applyNumberFormat="1" applyFont="1" applyFill="1" applyBorder="1" applyAlignment="1">
      <alignment horizontal="center"/>
    </xf>
    <xf numFmtId="9" fontId="2" fillId="5" borderId="3" xfId="4" applyFont="1" applyFill="1" applyBorder="1" applyAlignment="1" applyProtection="1">
      <alignment horizontal="center"/>
      <protection locked="0"/>
    </xf>
    <xf numFmtId="0" fontId="8" fillId="5" borderId="0" xfId="1" applyFont="1" applyFill="1" applyBorder="1" applyAlignment="1">
      <alignment horizontal="center" vertical="center"/>
    </xf>
    <xf numFmtId="0" fontId="8" fillId="5" borderId="0" xfId="1" applyFont="1" applyFill="1" applyBorder="1" applyAlignment="1">
      <alignment horizontal="center"/>
    </xf>
    <xf numFmtId="0" fontId="8" fillId="5" borderId="0" xfId="1" applyFont="1" applyFill="1" applyBorder="1"/>
    <xf numFmtId="0" fontId="8" fillId="5" borderId="0" xfId="1" applyFont="1" applyFill="1" applyBorder="1" applyAlignment="1"/>
    <xf numFmtId="3" fontId="2" fillId="5" borderId="0" xfId="1" applyNumberFormat="1" applyFont="1" applyFill="1" applyBorder="1" applyAlignment="1">
      <alignment vertical="center" wrapText="1"/>
    </xf>
    <xf numFmtId="3" fontId="2" fillId="5" borderId="0" xfId="1" applyNumberFormat="1" applyFont="1" applyFill="1" applyAlignment="1">
      <alignment vertical="center" wrapText="1"/>
    </xf>
    <xf numFmtId="10" fontId="2" fillId="5" borderId="1" xfId="2" applyNumberFormat="1" applyFont="1" applyFill="1" applyBorder="1" applyAlignment="1" applyProtection="1">
      <alignment horizontal="center"/>
      <protection locked="0"/>
    </xf>
    <xf numFmtId="3" fontId="2" fillId="5" borderId="1" xfId="1" applyNumberFormat="1" applyFont="1" applyFill="1" applyBorder="1" applyAlignment="1" applyProtection="1">
      <alignment horizontal="center"/>
      <protection locked="0"/>
    </xf>
    <xf numFmtId="164" fontId="12" fillId="6" borderId="1" xfId="3" applyNumberFormat="1" applyFont="1" applyFill="1" applyBorder="1" applyAlignment="1" applyProtection="1">
      <alignment horizontal="center"/>
    </xf>
    <xf numFmtId="165" fontId="0" fillId="0" borderId="0" xfId="0" applyNumberFormat="1"/>
    <xf numFmtId="164" fontId="13" fillId="0" borderId="0" xfId="5" applyNumberFormat="1" applyFont="1"/>
    <xf numFmtId="0" fontId="7" fillId="2" borderId="18" xfId="1" applyFont="1" applyFill="1" applyBorder="1"/>
    <xf numFmtId="0" fontId="2" fillId="2" borderId="19" xfId="1" applyFont="1" applyFill="1" applyBorder="1"/>
    <xf numFmtId="49" fontId="2" fillId="2" borderId="19" xfId="1" applyNumberFormat="1" applyFont="1" applyFill="1" applyBorder="1" applyAlignment="1">
      <alignment horizontal="left"/>
    </xf>
    <xf numFmtId="0" fontId="1" fillId="0" borderId="19" xfId="1" applyBorder="1"/>
    <xf numFmtId="0" fontId="1" fillId="0" borderId="20" xfId="1" applyBorder="1"/>
    <xf numFmtId="0" fontId="7" fillId="2" borderId="21" xfId="1" applyFont="1" applyFill="1" applyBorder="1"/>
    <xf numFmtId="0" fontId="7" fillId="2" borderId="22" xfId="1" applyFont="1" applyFill="1" applyBorder="1"/>
    <xf numFmtId="49" fontId="2" fillId="2" borderId="22" xfId="1" applyNumberFormat="1" applyFont="1" applyFill="1" applyBorder="1" applyAlignment="1">
      <alignment horizontal="left"/>
    </xf>
    <xf numFmtId="0" fontId="1" fillId="0" borderId="22" xfId="1" applyBorder="1"/>
    <xf numFmtId="0" fontId="1" fillId="0" borderId="23" xfId="1" applyBorder="1"/>
    <xf numFmtId="164" fontId="12" fillId="6" borderId="1" xfId="3" applyNumberFormat="1" applyFont="1" applyFill="1" applyBorder="1" applyAlignment="1">
      <alignment horizontal="center"/>
    </xf>
    <xf numFmtId="9" fontId="2" fillId="5" borderId="1" xfId="4" applyFont="1" applyFill="1" applyBorder="1" applyAlignment="1" applyProtection="1">
      <alignment horizontal="center"/>
      <protection locked="0"/>
    </xf>
    <xf numFmtId="166" fontId="2" fillId="5" borderId="1" xfId="4" applyNumberFormat="1" applyFont="1" applyFill="1" applyBorder="1" applyAlignment="1" applyProtection="1">
      <alignment horizontal="center"/>
      <protection locked="0"/>
    </xf>
    <xf numFmtId="164" fontId="2" fillId="5" borderId="1" xfId="5" applyNumberFormat="1" applyFont="1" applyFill="1" applyBorder="1" applyAlignment="1" applyProtection="1">
      <alignment horizontal="center"/>
      <protection locked="0"/>
    </xf>
    <xf numFmtId="9" fontId="2" fillId="5" borderId="1" xfId="2" applyNumberFormat="1" applyFont="1" applyFill="1" applyBorder="1" applyAlignment="1" applyProtection="1">
      <alignment horizontal="center"/>
      <protection locked="0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17" fillId="0" borderId="8" xfId="0" applyFont="1" applyBorder="1"/>
    <xf numFmtId="0" fontId="17" fillId="0" borderId="7" xfId="0" applyFont="1" applyBorder="1"/>
    <xf numFmtId="0" fontId="17" fillId="0" borderId="0" xfId="0" applyFont="1"/>
    <xf numFmtId="0" fontId="18" fillId="0" borderId="8" xfId="0" applyFont="1" applyBorder="1"/>
    <xf numFmtId="0" fontId="19" fillId="0" borderId="0" xfId="0" applyFont="1" applyBorder="1" applyAlignment="1">
      <alignment horizontal="center"/>
    </xf>
    <xf numFmtId="0" fontId="18" fillId="0" borderId="7" xfId="0" applyFont="1" applyBorder="1"/>
    <xf numFmtId="0" fontId="18" fillId="0" borderId="0" xfId="0" applyFont="1"/>
    <xf numFmtId="0" fontId="19" fillId="0" borderId="0" xfId="0" applyFont="1" applyAlignment="1">
      <alignment horizontal="center"/>
    </xf>
    <xf numFmtId="0" fontId="0" fillId="0" borderId="8" xfId="0" applyBorder="1"/>
    <xf numFmtId="0" fontId="0" fillId="0" borderId="0" xfId="0" applyBorder="1"/>
    <xf numFmtId="0" fontId="0" fillId="0" borderId="7" xfId="0" applyBorder="1"/>
    <xf numFmtId="0" fontId="13" fillId="0" borderId="0" xfId="0" applyFont="1" applyAlignment="1">
      <alignment horizontal="center"/>
    </xf>
    <xf numFmtId="0" fontId="0" fillId="0" borderId="32" xfId="0" applyBorder="1"/>
    <xf numFmtId="0" fontId="13" fillId="7" borderId="33" xfId="0" applyFont="1" applyFill="1" applyBorder="1"/>
    <xf numFmtId="166" fontId="13" fillId="7" borderId="34" xfId="4" applyNumberFormat="1" applyFont="1" applyFill="1" applyBorder="1" applyAlignment="1">
      <alignment horizontal="center"/>
    </xf>
    <xf numFmtId="10" fontId="0" fillId="0" borderId="0" xfId="4" applyNumberFormat="1" applyFont="1"/>
    <xf numFmtId="0" fontId="0" fillId="7" borderId="0" xfId="0" applyFill="1" applyBorder="1"/>
    <xf numFmtId="0" fontId="0" fillId="7" borderId="35" xfId="0" applyFill="1" applyBorder="1"/>
    <xf numFmtId="0" fontId="0" fillId="7" borderId="36" xfId="0" applyFill="1" applyBorder="1"/>
    <xf numFmtId="0" fontId="13" fillId="7" borderId="37" xfId="0" applyFont="1" applyFill="1" applyBorder="1"/>
    <xf numFmtId="0" fontId="13" fillId="7" borderId="38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37" xfId="0" applyFont="1" applyBorder="1"/>
    <xf numFmtId="10" fontId="13" fillId="0" borderId="37" xfId="4" applyNumberFormat="1" applyFont="1" applyBorder="1" applyAlignment="1">
      <alignment horizontal="center"/>
    </xf>
    <xf numFmtId="10" fontId="0" fillId="0" borderId="7" xfId="4" applyNumberFormat="1" applyFont="1" applyBorder="1"/>
    <xf numFmtId="0" fontId="13" fillId="5" borderId="37" xfId="0" applyFont="1" applyFill="1" applyBorder="1"/>
    <xf numFmtId="0" fontId="0" fillId="0" borderId="39" xfId="0" applyBorder="1"/>
    <xf numFmtId="0" fontId="13" fillId="0" borderId="40" xfId="0" applyFont="1" applyBorder="1"/>
    <xf numFmtId="10" fontId="13" fillId="0" borderId="40" xfId="4" applyNumberFormat="1" applyFont="1" applyBorder="1" applyAlignment="1">
      <alignment horizontal="center"/>
    </xf>
    <xf numFmtId="10" fontId="0" fillId="0" borderId="41" xfId="4" applyNumberFormat="1" applyFont="1" applyBorder="1"/>
    <xf numFmtId="0" fontId="13" fillId="0" borderId="0" xfId="0" applyFont="1" applyBorder="1"/>
    <xf numFmtId="10" fontId="13" fillId="0" borderId="0" xfId="4" applyNumberFormat="1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10" fontId="0" fillId="0" borderId="1" xfId="4" applyNumberFormat="1" applyFont="1" applyBorder="1"/>
    <xf numFmtId="10" fontId="13" fillId="7" borderId="37" xfId="4" applyNumberFormat="1" applyFont="1" applyFill="1" applyBorder="1" applyAlignment="1">
      <alignment horizontal="center"/>
    </xf>
    <xf numFmtId="0" fontId="13" fillId="7" borderId="37" xfId="0" applyFont="1" applyFill="1" applyBorder="1" applyAlignment="1">
      <alignment horizontal="center"/>
    </xf>
    <xf numFmtId="10" fontId="13" fillId="5" borderId="37" xfId="4" applyNumberFormat="1" applyFont="1" applyFill="1" applyBorder="1" applyAlignment="1">
      <alignment horizontal="center"/>
    </xf>
    <xf numFmtId="0" fontId="0" fillId="0" borderId="40" xfId="0" applyBorder="1"/>
    <xf numFmtId="0" fontId="0" fillId="0" borderId="41" xfId="0" applyBorder="1"/>
    <xf numFmtId="0" fontId="0" fillId="5" borderId="0" xfId="0" applyFill="1"/>
    <xf numFmtId="0" fontId="7" fillId="4" borderId="1" xfId="7" applyFont="1" applyFill="1" applyBorder="1" applyAlignment="1">
      <alignment horizontal="center"/>
    </xf>
    <xf numFmtId="3" fontId="2" fillId="5" borderId="1" xfId="7" applyNumberFormat="1" applyFont="1" applyFill="1" applyBorder="1" applyAlignment="1" applyProtection="1">
      <alignment horizontal="center"/>
      <protection locked="0"/>
    </xf>
    <xf numFmtId="167" fontId="2" fillId="5" borderId="1" xfId="2" applyNumberFormat="1" applyFont="1" applyFill="1" applyBorder="1" applyAlignment="1" applyProtection="1">
      <alignment horizontal="center"/>
      <protection locked="0"/>
    </xf>
    <xf numFmtId="168" fontId="2" fillId="5" borderId="1" xfId="7" applyNumberFormat="1" applyFont="1" applyFill="1" applyBorder="1" applyAlignment="1" applyProtection="1">
      <alignment horizontal="center"/>
      <protection locked="0"/>
    </xf>
    <xf numFmtId="164" fontId="12" fillId="6" borderId="1" xfId="3" applyNumberFormat="1" applyFont="1" applyFill="1" applyBorder="1" applyAlignment="1" applyProtection="1">
      <alignment horizontal="center"/>
      <protection locked="0"/>
    </xf>
    <xf numFmtId="0" fontId="16" fillId="3" borderId="1" xfId="0" quotePrefix="1" applyFont="1" applyFill="1" applyBorder="1" applyAlignment="1">
      <alignment horizontal="center"/>
    </xf>
    <xf numFmtId="164" fontId="16" fillId="3" borderId="1" xfId="5" quotePrefix="1" applyNumberFormat="1" applyFont="1" applyFill="1" applyBorder="1" applyAlignment="1">
      <alignment horizontal="center"/>
    </xf>
    <xf numFmtId="164" fontId="16" fillId="3" borderId="1" xfId="0" quotePrefix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3" fontId="13" fillId="8" borderId="1" xfId="0" applyNumberFormat="1" applyFont="1" applyFill="1" applyBorder="1"/>
    <xf numFmtId="170" fontId="2" fillId="5" borderId="1" xfId="7" applyNumberFormat="1" applyFont="1" applyFill="1" applyBorder="1" applyAlignment="1" applyProtection="1">
      <alignment horizontal="center"/>
      <protection locked="0"/>
    </xf>
    <xf numFmtId="0" fontId="7" fillId="4" borderId="24" xfId="7" applyFont="1" applyFill="1" applyBorder="1" applyAlignment="1">
      <alignment horizontal="center"/>
    </xf>
    <xf numFmtId="3" fontId="2" fillId="5" borderId="24" xfId="7" applyNumberFormat="1" applyFont="1" applyFill="1" applyBorder="1" applyAlignment="1" applyProtection="1">
      <alignment horizontal="center"/>
      <protection locked="0"/>
    </xf>
    <xf numFmtId="171" fontId="2" fillId="5" borderId="1" xfId="2" applyNumberFormat="1" applyFont="1" applyFill="1" applyBorder="1" applyAlignment="1" applyProtection="1">
      <alignment horizontal="center"/>
      <protection locked="0"/>
    </xf>
    <xf numFmtId="172" fontId="2" fillId="5" borderId="1" xfId="7" applyNumberFormat="1" applyFont="1" applyFill="1" applyBorder="1" applyAlignment="1" applyProtection="1">
      <alignment horizontal="center"/>
      <protection locked="0"/>
    </xf>
    <xf numFmtId="0" fontId="23" fillId="9" borderId="1" xfId="0" applyFont="1" applyFill="1" applyBorder="1" applyAlignment="1">
      <alignment horizontal="left"/>
    </xf>
    <xf numFmtId="0" fontId="24" fillId="0" borderId="0" xfId="0" applyFont="1"/>
    <xf numFmtId="0" fontId="23" fillId="9" borderId="1" xfId="0" applyFont="1" applyFill="1" applyBorder="1"/>
    <xf numFmtId="3" fontId="0" fillId="5" borderId="1" xfId="0" applyNumberFormat="1" applyFont="1" applyFill="1" applyBorder="1"/>
    <xf numFmtId="0" fontId="13" fillId="9" borderId="1" xfId="0" applyFont="1" applyFill="1" applyBorder="1" applyAlignment="1">
      <alignment horizontal="center"/>
    </xf>
    <xf numFmtId="164" fontId="0" fillId="9" borderId="1" xfId="0" applyNumberFormat="1" applyFill="1" applyBorder="1"/>
    <xf numFmtId="3" fontId="0" fillId="9" borderId="1" xfId="0" applyNumberFormat="1" applyFont="1" applyFill="1" applyBorder="1"/>
    <xf numFmtId="3" fontId="0" fillId="0" borderId="0" xfId="0" applyNumberFormat="1"/>
    <xf numFmtId="3" fontId="0" fillId="8" borderId="1" xfId="0" applyNumberFormat="1" applyFill="1" applyBorder="1"/>
    <xf numFmtId="0" fontId="0" fillId="10" borderId="1" xfId="0" applyFill="1" applyBorder="1"/>
    <xf numFmtId="3" fontId="0" fillId="10" borderId="1" xfId="0" applyNumberFormat="1" applyFill="1" applyBorder="1"/>
    <xf numFmtId="173" fontId="0" fillId="10" borderId="1" xfId="0" applyNumberFormat="1" applyFill="1" applyBorder="1"/>
    <xf numFmtId="174" fontId="0" fillId="10" borderId="1" xfId="0" applyNumberFormat="1" applyFill="1" applyBorder="1"/>
    <xf numFmtId="175" fontId="0" fillId="10" borderId="1" xfId="0" applyNumberFormat="1" applyFill="1" applyBorder="1"/>
    <xf numFmtId="0" fontId="7" fillId="4" borderId="43" xfId="7" applyFont="1" applyFill="1" applyBorder="1" applyAlignment="1">
      <alignment horizontal="center"/>
    </xf>
    <xf numFmtId="175" fontId="0" fillId="0" borderId="1" xfId="0" applyNumberFormat="1" applyBorder="1"/>
    <xf numFmtId="0" fontId="7" fillId="4" borderId="1" xfId="7" applyFont="1" applyFill="1" applyBorder="1" applyAlignment="1">
      <alignment horizontal="center" vertical="center"/>
    </xf>
    <xf numFmtId="164" fontId="16" fillId="3" borderId="42" xfId="5" quotePrefix="1" applyNumberFormat="1" applyFont="1" applyFill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0" fillId="0" borderId="26" xfId="0" applyBorder="1"/>
    <xf numFmtId="164" fontId="0" fillId="0" borderId="26" xfId="0" applyNumberFormat="1" applyBorder="1"/>
    <xf numFmtId="164" fontId="13" fillId="8" borderId="43" xfId="0" applyNumberFormat="1" applyFont="1" applyFill="1" applyBorder="1"/>
    <xf numFmtId="167" fontId="0" fillId="10" borderId="1" xfId="0" applyNumberFormat="1" applyFill="1" applyBorder="1"/>
    <xf numFmtId="164" fontId="10" fillId="10" borderId="1" xfId="5" applyNumberFormat="1" applyFont="1" applyFill="1" applyBorder="1"/>
    <xf numFmtId="0" fontId="0" fillId="10" borderId="1" xfId="0" applyFont="1" applyFill="1" applyBorder="1"/>
    <xf numFmtId="176" fontId="1" fillId="10" borderId="1" xfId="0" applyNumberFormat="1" applyFont="1" applyFill="1" applyBorder="1"/>
    <xf numFmtId="0" fontId="1" fillId="10" borderId="1" xfId="0" applyFont="1" applyFill="1" applyBorder="1" applyAlignment="1">
      <alignment horizontal="left" vertical="center" wrapText="1"/>
    </xf>
    <xf numFmtId="177" fontId="1" fillId="10" borderId="1" xfId="0" applyNumberFormat="1" applyFont="1" applyFill="1" applyBorder="1"/>
    <xf numFmtId="9" fontId="10" fillId="10" borderId="1" xfId="4" applyNumberFormat="1" applyFont="1" applyFill="1" applyBorder="1"/>
    <xf numFmtId="178" fontId="10" fillId="10" borderId="1" xfId="4" applyNumberFormat="1" applyFont="1" applyFill="1" applyBorder="1"/>
    <xf numFmtId="0" fontId="15" fillId="3" borderId="0" xfId="0" applyFont="1" applyFill="1" applyAlignment="1">
      <alignment horizontal="center"/>
    </xf>
    <xf numFmtId="0" fontId="7" fillId="2" borderId="45" xfId="1" applyFont="1" applyFill="1" applyBorder="1"/>
    <xf numFmtId="49" fontId="3" fillId="2" borderId="46" xfId="1" applyNumberFormat="1" applyFont="1" applyFill="1" applyBorder="1" applyAlignment="1">
      <alignment horizontal="left"/>
    </xf>
    <xf numFmtId="0" fontId="31" fillId="0" borderId="0" xfId="6" applyFont="1" applyAlignment="1">
      <alignment horizontal="left"/>
    </xf>
    <xf numFmtId="0" fontId="32" fillId="0" borderId="0" xfId="0" applyFont="1"/>
    <xf numFmtId="0" fontId="33" fillId="0" borderId="0" xfId="0" applyFont="1"/>
    <xf numFmtId="0" fontId="31" fillId="0" borderId="0" xfId="6" applyFont="1"/>
    <xf numFmtId="0" fontId="16" fillId="3" borderId="1" xfId="0" applyFont="1" applyFill="1" applyBorder="1" applyAlignment="1">
      <alignment horizontal="center"/>
    </xf>
    <xf numFmtId="38" fontId="0" fillId="0" borderId="1" xfId="0" applyNumberFormat="1" applyBorder="1"/>
    <xf numFmtId="164" fontId="13" fillId="0" borderId="1" xfId="0" applyNumberFormat="1" applyFont="1" applyBorder="1" applyAlignment="1">
      <alignment horizontal="center"/>
    </xf>
    <xf numFmtId="164" fontId="23" fillId="11" borderId="1" xfId="0" applyNumberFormat="1" applyFont="1" applyFill="1" applyBorder="1"/>
    <xf numFmtId="166" fontId="0" fillId="0" borderId="1" xfId="0" applyNumberFormat="1" applyBorder="1"/>
    <xf numFmtId="0" fontId="13" fillId="10" borderId="1" xfId="0" applyFont="1" applyFill="1" applyBorder="1"/>
    <xf numFmtId="38" fontId="13" fillId="10" borderId="1" xfId="0" applyNumberFormat="1" applyFont="1" applyFill="1" applyBorder="1"/>
    <xf numFmtId="166" fontId="0" fillId="0" borderId="0" xfId="0" applyNumberFormat="1" applyBorder="1"/>
    <xf numFmtId="38" fontId="0" fillId="0" borderId="0" xfId="0" applyNumberFormat="1" applyBorder="1"/>
    <xf numFmtId="9" fontId="0" fillId="11" borderId="1" xfId="0" applyNumberFormat="1" applyFill="1" applyBorder="1" applyAlignment="1">
      <alignment horizontal="right"/>
    </xf>
    <xf numFmtId="10" fontId="0" fillId="11" borderId="1" xfId="0" applyNumberFormat="1" applyFill="1" applyBorder="1"/>
    <xf numFmtId="0" fontId="13" fillId="10" borderId="1" xfId="0" applyFont="1" applyFill="1" applyBorder="1" applyAlignment="1">
      <alignment horizontal="center"/>
    </xf>
    <xf numFmtId="164" fontId="13" fillId="0" borderId="1" xfId="0" applyNumberFormat="1" applyFont="1" applyBorder="1"/>
    <xf numFmtId="10" fontId="13" fillId="0" borderId="1" xfId="4" applyNumberFormat="1" applyFont="1" applyBorder="1"/>
    <xf numFmtId="43" fontId="13" fillId="0" borderId="1" xfId="5" applyFont="1" applyBorder="1"/>
    <xf numFmtId="0" fontId="30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4" fontId="11" fillId="3" borderId="11" xfId="1" applyNumberFormat="1" applyFont="1" applyFill="1" applyBorder="1" applyAlignment="1">
      <alignment horizontal="center" vertical="center" wrapText="1"/>
    </xf>
    <xf numFmtId="4" fontId="11" fillId="3" borderId="10" xfId="1" applyNumberFormat="1" applyFont="1" applyFill="1" applyBorder="1" applyAlignment="1">
      <alignment horizontal="center" vertical="center" wrapText="1"/>
    </xf>
    <xf numFmtId="4" fontId="11" fillId="3" borderId="9" xfId="1" applyNumberFormat="1" applyFont="1" applyFill="1" applyBorder="1" applyAlignment="1">
      <alignment horizontal="center" vertical="center" wrapText="1"/>
    </xf>
    <xf numFmtId="0" fontId="8" fillId="5" borderId="0" xfId="1" applyFont="1" applyFill="1" applyBorder="1" applyAlignment="1">
      <alignment horizontal="center"/>
    </xf>
    <xf numFmtId="0" fontId="8" fillId="5" borderId="0" xfId="1" applyFont="1" applyFill="1" applyBorder="1" applyAlignment="1">
      <alignment horizontal="center" vertical="center"/>
    </xf>
    <xf numFmtId="0" fontId="9" fillId="3" borderId="14" xfId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horizontal="center" vertical="center"/>
    </xf>
    <xf numFmtId="0" fontId="9" fillId="3" borderId="12" xfId="1" applyFont="1" applyFill="1" applyBorder="1" applyAlignment="1">
      <alignment horizontal="center" vertical="center"/>
    </xf>
    <xf numFmtId="4" fontId="11" fillId="3" borderId="15" xfId="1" applyNumberFormat="1" applyFont="1" applyFill="1" applyBorder="1" applyAlignment="1">
      <alignment horizontal="center" vertical="center" wrapText="1"/>
    </xf>
    <xf numFmtId="4" fontId="11" fillId="3" borderId="16" xfId="1" applyNumberFormat="1" applyFont="1" applyFill="1" applyBorder="1" applyAlignment="1">
      <alignment horizontal="center" vertical="center" wrapText="1"/>
    </xf>
    <xf numFmtId="4" fontId="11" fillId="3" borderId="17" xfId="1" applyNumberFormat="1" applyFont="1" applyFill="1" applyBorder="1" applyAlignment="1">
      <alignment horizontal="center" vertical="center" wrapText="1"/>
    </xf>
    <xf numFmtId="4" fontId="11" fillId="3" borderId="24" xfId="1" applyNumberFormat="1" applyFont="1" applyFill="1" applyBorder="1" applyAlignment="1">
      <alignment horizontal="center" vertical="center" wrapText="1"/>
    </xf>
    <xf numFmtId="4" fontId="11" fillId="3" borderId="25" xfId="1" applyNumberFormat="1" applyFont="1" applyFill="1" applyBorder="1" applyAlignment="1">
      <alignment horizontal="center" vertical="center" wrapText="1"/>
    </xf>
    <xf numFmtId="4" fontId="11" fillId="3" borderId="26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4" fontId="11" fillId="3" borderId="8" xfId="1" applyNumberFormat="1" applyFont="1" applyFill="1" applyBorder="1" applyAlignment="1">
      <alignment horizontal="center" vertical="center" wrapText="1"/>
    </xf>
    <xf numFmtId="4" fontId="11" fillId="3" borderId="0" xfId="1" applyNumberFormat="1" applyFont="1" applyFill="1" applyBorder="1" applyAlignment="1">
      <alignment horizontal="center" vertical="center" wrapText="1"/>
    </xf>
    <xf numFmtId="0" fontId="15" fillId="6" borderId="0" xfId="0" applyFont="1" applyFill="1" applyBorder="1" applyAlignment="1">
      <alignment horizontal="center" wrapText="1"/>
    </xf>
    <xf numFmtId="0" fontId="15" fillId="3" borderId="0" xfId="0" applyFont="1" applyFill="1" applyBorder="1" applyAlignment="1">
      <alignment horizontal="center"/>
    </xf>
    <xf numFmtId="0" fontId="20" fillId="7" borderId="30" xfId="0" applyFont="1" applyFill="1" applyBorder="1" applyAlignment="1">
      <alignment horizontal="center"/>
    </xf>
    <xf numFmtId="0" fontId="20" fillId="7" borderId="31" xfId="0" applyFont="1" applyFill="1" applyBorder="1" applyAlignment="1">
      <alignment horizontal="center"/>
    </xf>
    <xf numFmtId="0" fontId="21" fillId="3" borderId="0" xfId="0" applyFont="1" applyFill="1" applyBorder="1" applyAlignment="1">
      <alignment horizontal="center"/>
    </xf>
    <xf numFmtId="0" fontId="23" fillId="4" borderId="1" xfId="0" quotePrefix="1" applyFont="1" applyFill="1" applyBorder="1" applyAlignment="1">
      <alignment horizontal="center"/>
    </xf>
    <xf numFmtId="4" fontId="11" fillId="3" borderId="8" xfId="7" applyNumberFormat="1" applyFont="1" applyFill="1" applyBorder="1" applyAlignment="1">
      <alignment horizontal="center" vertical="center" wrapText="1"/>
    </xf>
    <xf numFmtId="4" fontId="11" fillId="3" borderId="0" xfId="7" applyNumberFormat="1" applyFont="1" applyFill="1" applyBorder="1" applyAlignment="1">
      <alignment horizontal="center" vertical="center" wrapText="1"/>
    </xf>
    <xf numFmtId="0" fontId="7" fillId="4" borderId="42" xfId="7" applyFont="1" applyFill="1" applyBorder="1" applyAlignment="1">
      <alignment horizontal="center" vertical="center"/>
    </xf>
    <xf numFmtId="0" fontId="7" fillId="4" borderId="43" xfId="7" applyFont="1" applyFill="1" applyBorder="1" applyAlignment="1">
      <alignment horizontal="center" vertical="center"/>
    </xf>
    <xf numFmtId="0" fontId="7" fillId="4" borderId="1" xfId="7" applyFont="1" applyFill="1" applyBorder="1" applyAlignment="1">
      <alignment horizontal="center"/>
    </xf>
    <xf numFmtId="0" fontId="25" fillId="4" borderId="24" xfId="0" quotePrefix="1" applyFont="1" applyFill="1" applyBorder="1" applyAlignment="1">
      <alignment horizontal="center" vertical="center"/>
    </xf>
    <xf numFmtId="0" fontId="25" fillId="4" borderId="25" xfId="0" quotePrefix="1" applyFont="1" applyFill="1" applyBorder="1" applyAlignment="1">
      <alignment horizontal="center" vertical="center"/>
    </xf>
    <xf numFmtId="0" fontId="25" fillId="4" borderId="26" xfId="0" quotePrefix="1" applyFont="1" applyFill="1" applyBorder="1" applyAlignment="1">
      <alignment horizontal="center" vertical="center"/>
    </xf>
    <xf numFmtId="0" fontId="25" fillId="4" borderId="1" xfId="0" quotePrefix="1" applyFont="1" applyFill="1" applyBorder="1" applyAlignment="1">
      <alignment horizontal="center" vertical="center"/>
    </xf>
    <xf numFmtId="4" fontId="11" fillId="3" borderId="8" xfId="7" applyNumberFormat="1" applyFont="1" applyFill="1" applyBorder="1" applyAlignment="1">
      <alignment horizontal="center" vertical="center"/>
    </xf>
    <xf numFmtId="4" fontId="11" fillId="3" borderId="0" xfId="7" applyNumberFormat="1" applyFont="1" applyFill="1" applyBorder="1" applyAlignment="1">
      <alignment horizontal="center" vertical="center"/>
    </xf>
    <xf numFmtId="0" fontId="7" fillId="4" borderId="24" xfId="7" applyFont="1" applyFill="1" applyBorder="1" applyAlignment="1">
      <alignment horizontal="center"/>
    </xf>
    <xf numFmtId="0" fontId="7" fillId="4" borderId="26" xfId="7" applyFont="1" applyFill="1" applyBorder="1" applyAlignment="1">
      <alignment horizontal="center"/>
    </xf>
    <xf numFmtId="0" fontId="23" fillId="4" borderId="24" xfId="0" quotePrefix="1" applyFont="1" applyFill="1" applyBorder="1" applyAlignment="1">
      <alignment horizontal="center" vertical="center"/>
    </xf>
    <xf numFmtId="0" fontId="23" fillId="4" borderId="25" xfId="0" quotePrefix="1" applyFont="1" applyFill="1" applyBorder="1" applyAlignment="1">
      <alignment horizontal="center" vertical="center"/>
    </xf>
    <xf numFmtId="0" fontId="23" fillId="4" borderId="26" xfId="0" quotePrefix="1" applyFont="1" applyFill="1" applyBorder="1" applyAlignment="1">
      <alignment horizontal="center" vertical="center"/>
    </xf>
    <xf numFmtId="0" fontId="13" fillId="7" borderId="42" xfId="0" applyFont="1" applyFill="1" applyBorder="1" applyAlignment="1">
      <alignment horizontal="center" vertical="center" textRotation="90"/>
    </xf>
    <xf numFmtId="0" fontId="13" fillId="7" borderId="44" xfId="0" applyFont="1" applyFill="1" applyBorder="1" applyAlignment="1">
      <alignment horizontal="center" vertical="center" textRotation="90"/>
    </xf>
    <xf numFmtId="0" fontId="13" fillId="7" borderId="43" xfId="0" applyFont="1" applyFill="1" applyBorder="1" applyAlignment="1">
      <alignment horizontal="center" vertical="center" textRotation="90"/>
    </xf>
    <xf numFmtId="4" fontId="11" fillId="3" borderId="1" xfId="7" applyNumberFormat="1" applyFont="1" applyFill="1" applyBorder="1" applyAlignment="1">
      <alignment horizontal="center" vertical="center" wrapText="1"/>
    </xf>
    <xf numFmtId="0" fontId="7" fillId="4" borderId="1" xfId="7" applyFont="1" applyFill="1" applyBorder="1" applyAlignment="1">
      <alignment horizontal="center" vertical="center"/>
    </xf>
    <xf numFmtId="0" fontId="29" fillId="3" borderId="0" xfId="0" applyFont="1" applyFill="1" applyBorder="1" applyAlignment="1">
      <alignment horizontal="center" vertical="center"/>
    </xf>
    <xf numFmtId="0" fontId="16" fillId="3" borderId="21" xfId="0" applyFont="1" applyFill="1" applyBorder="1" applyAlignment="1">
      <alignment horizontal="center" vertical="center"/>
    </xf>
    <xf numFmtId="0" fontId="16" fillId="3" borderId="22" xfId="0" applyFont="1" applyFill="1" applyBorder="1" applyAlignment="1">
      <alignment horizontal="center" vertical="center"/>
    </xf>
    <xf numFmtId="0" fontId="13" fillId="11" borderId="24" xfId="0" applyFont="1" applyFill="1" applyBorder="1" applyAlignment="1">
      <alignment horizontal="left"/>
    </xf>
    <xf numFmtId="0" fontId="13" fillId="11" borderId="26" xfId="0" applyFont="1" applyFill="1" applyBorder="1" applyAlignment="1">
      <alignment horizontal="left"/>
    </xf>
    <xf numFmtId="0" fontId="13" fillId="0" borderId="1" xfId="0" quotePrefix="1" applyFont="1" applyBorder="1" applyAlignment="1">
      <alignment horizontal="left" vertical="center"/>
    </xf>
    <xf numFmtId="0" fontId="34" fillId="0" borderId="1" xfId="0" quotePrefix="1" applyFont="1" applyBorder="1" applyAlignment="1">
      <alignment horizontal="left" vertical="center"/>
    </xf>
    <xf numFmtId="0" fontId="13" fillId="10" borderId="1" xfId="0" applyFont="1" applyFill="1" applyBorder="1" applyAlignment="1">
      <alignment horizontal="center"/>
    </xf>
    <xf numFmtId="0" fontId="16" fillId="3" borderId="45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/>
    </xf>
    <xf numFmtId="0" fontId="34" fillId="0" borderId="1" xfId="0" quotePrefix="1" applyFont="1" applyBorder="1" applyAlignment="1">
      <alignment horizontal="left"/>
    </xf>
  </cellXfs>
  <cellStyles count="9">
    <cellStyle name="Euro" xfId="8"/>
    <cellStyle name="Hipervínculo" xfId="6" builtinId="8"/>
    <cellStyle name="Millares" xfId="5" builtinId="3"/>
    <cellStyle name="Millares 2" xfId="3"/>
    <cellStyle name="Normal" xfId="0" builtinId="0"/>
    <cellStyle name="Normal 2" xfId="1"/>
    <cellStyle name="Normal 2 2" xfId="7"/>
    <cellStyle name="Porcentaje" xfId="4" builtinId="5"/>
    <cellStyle name="Porcentaj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/>
                </a:solidFill>
              </a:defRPr>
            </a:pPr>
            <a:r>
              <a:rPr lang="en-US">
                <a:solidFill>
                  <a:schemeClr val="bg1"/>
                </a:solidFill>
              </a:rPr>
              <a:t>Sensibilidad</a:t>
            </a:r>
            <a:r>
              <a:rPr lang="en-US" baseline="0">
                <a:solidFill>
                  <a:schemeClr val="bg1"/>
                </a:solidFill>
              </a:rPr>
              <a:t> del VPN ante variaciones en la TIO</a:t>
            </a:r>
            <a:endParaRPr lang="en-US">
              <a:solidFill>
                <a:schemeClr val="bg1"/>
              </a:solidFill>
            </a:endParaRPr>
          </a:p>
        </c:rich>
      </c:tx>
      <c:layout>
        <c:manualLayout>
          <c:xMode val="edge"/>
          <c:yMode val="edge"/>
          <c:x val="0.21104291941625458"/>
          <c:y val="2.925143582144482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VPN</c:v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dPt>
            <c:idx val="6"/>
            <c:marker>
              <c:symbol val="auto"/>
            </c:marker>
            <c:bubble3D val="0"/>
          </c:dPt>
          <c:cat>
            <c:numRef>
              <c:f>IND.CONVENIENCIA!$H$8:$H$18</c:f>
              <c:numCache>
                <c:formatCode>0.0%</c:formatCode>
                <c:ptCount val="11"/>
                <c:pt idx="0">
                  <c:v>0.02</c:v>
                </c:pt>
                <c:pt idx="1">
                  <c:v>2.5000000000000001E-2</c:v>
                </c:pt>
                <c:pt idx="2">
                  <c:v>0.03</c:v>
                </c:pt>
                <c:pt idx="3">
                  <c:v>3.5000000000000003E-2</c:v>
                </c:pt>
                <c:pt idx="4">
                  <c:v>0.04</c:v>
                </c:pt>
                <c:pt idx="5">
                  <c:v>4.4999999999999998E-2</c:v>
                </c:pt>
                <c:pt idx="6">
                  <c:v>0.05</c:v>
                </c:pt>
                <c:pt idx="7">
                  <c:v>5.5E-2</c:v>
                </c:pt>
                <c:pt idx="8">
                  <c:v>0.06</c:v>
                </c:pt>
                <c:pt idx="9">
                  <c:v>6.5000000000000002E-2</c:v>
                </c:pt>
                <c:pt idx="10">
                  <c:v>7.0000000000000007E-2</c:v>
                </c:pt>
              </c:numCache>
            </c:numRef>
          </c:cat>
          <c:val>
            <c:numRef>
              <c:f>IND.CONVENIENCIA!$I$8:$I$18</c:f>
              <c:numCache>
                <c:formatCode>#,##0_);[Red]\(#,##0\)</c:formatCode>
                <c:ptCount val="11"/>
                <c:pt idx="0">
                  <c:v>4840707.6600793377</c:v>
                </c:pt>
                <c:pt idx="1">
                  <c:v>3909504.99953923</c:v>
                </c:pt>
                <c:pt idx="2">
                  <c:v>3025506.2044957541</c:v>
                </c:pt>
                <c:pt idx="3">
                  <c:v>2185943.4232856221</c:v>
                </c:pt>
                <c:pt idx="4">
                  <c:v>1388228.4337594174</c:v>
                </c:pt>
                <c:pt idx="5">
                  <c:v>629939.99490896985</c:v>
                </c:pt>
                <c:pt idx="6">
                  <c:v>-91187.846340715885</c:v>
                </c:pt>
                <c:pt idx="7">
                  <c:v>-777276.56992878392</c:v>
                </c:pt>
                <c:pt idx="8">
                  <c:v>-1430313.1892759465</c:v>
                </c:pt>
                <c:pt idx="9">
                  <c:v>-2052159.5140096657</c:v>
                </c:pt>
                <c:pt idx="10">
                  <c:v>-2644560.7276749425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642560"/>
        <c:axId val="110898176"/>
      </c:lineChart>
      <c:catAx>
        <c:axId val="78642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>
                    <a:solidFill>
                      <a:schemeClr val="bg1"/>
                    </a:solidFill>
                  </a:defRPr>
                </a:pPr>
                <a:r>
                  <a:rPr lang="en-US" sz="1100">
                    <a:solidFill>
                      <a:schemeClr val="bg1"/>
                    </a:solidFill>
                  </a:rPr>
                  <a:t>TIO</a:t>
                </a:r>
              </a:p>
            </c:rich>
          </c:tx>
          <c:overlay val="0"/>
        </c:title>
        <c:numFmt formatCode="0.0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10898176"/>
        <c:crosses val="autoZero"/>
        <c:auto val="1"/>
        <c:lblAlgn val="ctr"/>
        <c:lblOffset val="100"/>
        <c:noMultiLvlLbl val="0"/>
      </c:catAx>
      <c:valAx>
        <c:axId val="1108981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050">
                    <a:solidFill>
                      <a:schemeClr val="bg1"/>
                    </a:solidFill>
                  </a:defRPr>
                </a:pPr>
                <a:r>
                  <a:rPr lang="en-US" sz="1050">
                    <a:solidFill>
                      <a:schemeClr val="bg1"/>
                    </a:solidFill>
                  </a:rPr>
                  <a:t>Valor VPN</a:t>
                </a:r>
              </a:p>
            </c:rich>
          </c:tx>
          <c:overlay val="0"/>
        </c:title>
        <c:numFmt formatCode="#,##0_);[Red]\(#,##0\)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es-CO"/>
          </a:p>
        </c:txPr>
        <c:crossAx val="78642560"/>
        <c:crosses val="autoZero"/>
        <c:crossBetween val="between"/>
      </c:valAx>
      <c:spPr>
        <a:solidFill>
          <a:schemeClr val="accent1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tx2">
        <a:lumMod val="75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3" Type="http://schemas.openxmlformats.org/officeDocument/2006/relationships/image" Target="../media/image14.png"/><Relationship Id="rId7" Type="http://schemas.openxmlformats.org/officeDocument/2006/relationships/image" Target="../media/image18.png"/><Relationship Id="rId12" Type="http://schemas.microsoft.com/office/2007/relationships/hdphoto" Target="../media/hdphoto2.wdp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11" Type="http://schemas.openxmlformats.org/officeDocument/2006/relationships/image" Target="../media/image21.png"/><Relationship Id="rId5" Type="http://schemas.openxmlformats.org/officeDocument/2006/relationships/image" Target="../media/image16.png"/><Relationship Id="rId10" Type="http://schemas.microsoft.com/office/2007/relationships/hdphoto" Target="../media/hdphoto1.wdp"/><Relationship Id="rId4" Type="http://schemas.openxmlformats.org/officeDocument/2006/relationships/image" Target="../media/image15.png"/><Relationship Id="rId9" Type="http://schemas.openxmlformats.org/officeDocument/2006/relationships/image" Target="../media/image20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13" Type="http://schemas.microsoft.com/office/2007/relationships/hdphoto" Target="../media/hdphoto5.wdp"/><Relationship Id="rId3" Type="http://schemas.openxmlformats.org/officeDocument/2006/relationships/image" Target="../media/image23.png"/><Relationship Id="rId7" Type="http://schemas.openxmlformats.org/officeDocument/2006/relationships/image" Target="../media/image27.png"/><Relationship Id="rId12" Type="http://schemas.openxmlformats.org/officeDocument/2006/relationships/image" Target="../media/image31.png"/><Relationship Id="rId2" Type="http://schemas.microsoft.com/office/2007/relationships/hdphoto" Target="../media/hdphoto3.wdp"/><Relationship Id="rId1" Type="http://schemas.openxmlformats.org/officeDocument/2006/relationships/image" Target="../media/image22.png"/><Relationship Id="rId6" Type="http://schemas.openxmlformats.org/officeDocument/2006/relationships/image" Target="../media/image26.png"/><Relationship Id="rId11" Type="http://schemas.microsoft.com/office/2007/relationships/hdphoto" Target="../media/hdphoto4.wdp"/><Relationship Id="rId5" Type="http://schemas.openxmlformats.org/officeDocument/2006/relationships/image" Target="../media/image25.png"/><Relationship Id="rId10" Type="http://schemas.openxmlformats.org/officeDocument/2006/relationships/image" Target="../media/image30.png"/><Relationship Id="rId4" Type="http://schemas.openxmlformats.org/officeDocument/2006/relationships/image" Target="../media/image24.png"/><Relationship Id="rId9" Type="http://schemas.openxmlformats.org/officeDocument/2006/relationships/image" Target="../media/image2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7</xdr:col>
      <xdr:colOff>238126</xdr:colOff>
      <xdr:row>3</xdr:row>
      <xdr:rowOff>77561</xdr:rowOff>
    </xdr:to>
    <xdr:pic>
      <xdr:nvPicPr>
        <xdr:cNvPr id="30" name="29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447675"/>
          <a:ext cx="1419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7</xdr:col>
      <xdr:colOff>276226</xdr:colOff>
      <xdr:row>9</xdr:row>
      <xdr:rowOff>104775</xdr:rowOff>
    </xdr:to>
    <xdr:pic>
      <xdr:nvPicPr>
        <xdr:cNvPr id="32" name="31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1962150"/>
          <a:ext cx="14573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7</xdr:col>
      <xdr:colOff>323851</xdr:colOff>
      <xdr:row>15</xdr:row>
      <xdr:rowOff>77560</xdr:rowOff>
    </xdr:to>
    <xdr:pic>
      <xdr:nvPicPr>
        <xdr:cNvPr id="33" name="32 Imagen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3352800"/>
          <a:ext cx="15049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7</xdr:col>
      <xdr:colOff>323851</xdr:colOff>
      <xdr:row>21</xdr:row>
      <xdr:rowOff>43543</xdr:rowOff>
    </xdr:to>
    <xdr:pic>
      <xdr:nvPicPr>
        <xdr:cNvPr id="34" name="33 Imagen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4714875"/>
          <a:ext cx="15049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8</xdr:col>
      <xdr:colOff>247651</xdr:colOff>
      <xdr:row>27</xdr:row>
      <xdr:rowOff>77560</xdr:rowOff>
    </xdr:to>
    <xdr:pic>
      <xdr:nvPicPr>
        <xdr:cNvPr id="40" name="39 Image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6134100"/>
          <a:ext cx="1933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8</xdr:col>
      <xdr:colOff>257176</xdr:colOff>
      <xdr:row>33</xdr:row>
      <xdr:rowOff>70757</xdr:rowOff>
    </xdr:to>
    <xdr:pic>
      <xdr:nvPicPr>
        <xdr:cNvPr id="47" name="46 Imagen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7562850"/>
          <a:ext cx="19431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37</xdr:row>
      <xdr:rowOff>20388</xdr:rowOff>
    </xdr:from>
    <xdr:to>
      <xdr:col>8</xdr:col>
      <xdr:colOff>57151</xdr:colOff>
      <xdr:row>39</xdr:row>
      <xdr:rowOff>145574</xdr:rowOff>
    </xdr:to>
    <xdr:pic>
      <xdr:nvPicPr>
        <xdr:cNvPr id="49" name="48 Imagen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1554" y="8926263"/>
          <a:ext cx="1744436" cy="506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8</xdr:col>
      <xdr:colOff>66676</xdr:colOff>
      <xdr:row>45</xdr:row>
      <xdr:rowOff>43543</xdr:rowOff>
    </xdr:to>
    <xdr:pic>
      <xdr:nvPicPr>
        <xdr:cNvPr id="53" name="52 Imagen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10477500"/>
          <a:ext cx="17526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387803</xdr:rowOff>
    </xdr:from>
    <xdr:to>
      <xdr:col>8</xdr:col>
      <xdr:colOff>117475</xdr:colOff>
      <xdr:row>5</xdr:row>
      <xdr:rowOff>9524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6661" y="1000124"/>
          <a:ext cx="1800225" cy="499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20410</xdr:colOff>
      <xdr:row>10</xdr:row>
      <xdr:rowOff>20408</xdr:rowOff>
    </xdr:from>
    <xdr:to>
      <xdr:col>8</xdr:col>
      <xdr:colOff>80735</xdr:colOff>
      <xdr:row>12</xdr:row>
      <xdr:rowOff>20409</xdr:rowOff>
    </xdr:to>
    <xdr:pic>
      <xdr:nvPicPr>
        <xdr:cNvPr id="5" name="4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7071" y="2898319"/>
          <a:ext cx="1743075" cy="4830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27129</xdr:colOff>
      <xdr:row>3</xdr:row>
      <xdr:rowOff>0</xdr:rowOff>
    </xdr:from>
    <xdr:to>
      <xdr:col>7</xdr:col>
      <xdr:colOff>29850</xdr:colOff>
      <xdr:row>5</xdr:row>
      <xdr:rowOff>36739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7093" y="496661"/>
          <a:ext cx="628650" cy="4313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300475</xdr:colOff>
      <xdr:row>50</xdr:row>
      <xdr:rowOff>570348</xdr:rowOff>
    </xdr:from>
    <xdr:to>
      <xdr:col>8</xdr:col>
      <xdr:colOff>538600</xdr:colOff>
      <xdr:row>53</xdr:row>
      <xdr:rowOff>121060</xdr:rowOff>
    </xdr:to>
    <xdr:pic>
      <xdr:nvPicPr>
        <xdr:cNvPr id="7" name="6 Imagen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302" t="17271" r="6973" b="43478"/>
        <a:stretch/>
      </xdr:blipFill>
      <xdr:spPr>
        <a:xfrm>
          <a:off x="4118413" y="11833661"/>
          <a:ext cx="2746375" cy="503212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266475</xdr:colOff>
      <xdr:row>63</xdr:row>
      <xdr:rowOff>0</xdr:rowOff>
    </xdr:from>
    <xdr:to>
      <xdr:col>8</xdr:col>
      <xdr:colOff>456922</xdr:colOff>
      <xdr:row>65</xdr:row>
      <xdr:rowOff>102053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84413" y="14866938"/>
          <a:ext cx="2698697" cy="483053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394575</xdr:colOff>
      <xdr:row>74</xdr:row>
      <xdr:rowOff>578267</xdr:rowOff>
    </xdr:from>
    <xdr:to>
      <xdr:col>9</xdr:col>
      <xdr:colOff>80478</xdr:colOff>
      <xdr:row>77</xdr:row>
      <xdr:rowOff>69401</xdr:rowOff>
    </xdr:to>
    <xdr:pic>
      <xdr:nvPicPr>
        <xdr:cNvPr id="10" name="9 Imagen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3312" t="40341" r="7607" b="22131"/>
        <a:stretch/>
      </xdr:blipFill>
      <xdr:spPr>
        <a:xfrm>
          <a:off x="4212513" y="17929642"/>
          <a:ext cx="2821215" cy="451572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388923</xdr:colOff>
      <xdr:row>87</xdr:row>
      <xdr:rowOff>12455</xdr:rowOff>
    </xdr:from>
    <xdr:to>
      <xdr:col>8</xdr:col>
      <xdr:colOff>625918</xdr:colOff>
      <xdr:row>89</xdr:row>
      <xdr:rowOff>124894</xdr:rowOff>
    </xdr:to>
    <xdr:pic>
      <xdr:nvPicPr>
        <xdr:cNvPr id="11" name="10 Imagen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6321" t="17009" r="7102" b="42926"/>
        <a:stretch/>
      </xdr:blipFill>
      <xdr:spPr>
        <a:xfrm>
          <a:off x="4206861" y="21078580"/>
          <a:ext cx="2745245" cy="49343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216550</xdr:colOff>
      <xdr:row>3</xdr:row>
      <xdr:rowOff>34019</xdr:rowOff>
    </xdr:from>
    <xdr:to>
      <xdr:col>7</xdr:col>
      <xdr:colOff>992189</xdr:colOff>
      <xdr:row>5</xdr:row>
      <xdr:rowOff>13660</xdr:rowOff>
    </xdr:to>
    <xdr:pic>
      <xdr:nvPicPr>
        <xdr:cNvPr id="12" name="11 Imagen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4042" t="16919" r="10134" b="49618"/>
        <a:stretch/>
      </xdr:blipFill>
      <xdr:spPr>
        <a:xfrm>
          <a:off x="4034488" y="962707"/>
          <a:ext cx="2283764" cy="47176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295937</xdr:colOff>
      <xdr:row>15</xdr:row>
      <xdr:rowOff>20331</xdr:rowOff>
    </xdr:from>
    <xdr:to>
      <xdr:col>8</xdr:col>
      <xdr:colOff>214313</xdr:colOff>
      <xdr:row>17</xdr:row>
      <xdr:rowOff>79712</xdr:rowOff>
    </xdr:to>
    <xdr:pic>
      <xdr:nvPicPr>
        <xdr:cNvPr id="13" name="12 Imagen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8174" t="17953" r="10907" b="48385"/>
        <a:stretch/>
      </xdr:blipFill>
      <xdr:spPr>
        <a:xfrm>
          <a:off x="4113875" y="3711269"/>
          <a:ext cx="2426626" cy="44038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277812</xdr:colOff>
      <xdr:row>27</xdr:row>
      <xdr:rowOff>19277</xdr:rowOff>
    </xdr:from>
    <xdr:to>
      <xdr:col>7</xdr:col>
      <xdr:colOff>747259</xdr:colOff>
      <xdr:row>29</xdr:row>
      <xdr:rowOff>114527</xdr:rowOff>
    </xdr:to>
    <xdr:pic>
      <xdr:nvPicPr>
        <xdr:cNvPr id="14" name="13 Imagen"/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14962" t="17373" r="12718" b="50624"/>
        <a:stretch/>
      </xdr:blipFill>
      <xdr:spPr>
        <a:xfrm>
          <a:off x="4095750" y="6321652"/>
          <a:ext cx="1977572" cy="4762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275544</xdr:colOff>
      <xdr:row>39</xdr:row>
      <xdr:rowOff>27215</xdr:rowOff>
    </xdr:from>
    <xdr:to>
      <xdr:col>8</xdr:col>
      <xdr:colOff>23813</xdr:colOff>
      <xdr:row>41</xdr:row>
      <xdr:rowOff>82569</xdr:rowOff>
    </xdr:to>
    <xdr:pic>
      <xdr:nvPicPr>
        <xdr:cNvPr id="15" name="14 Imagen"/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16169" t="16975" r="9753" b="52257"/>
        <a:stretch/>
      </xdr:blipFill>
      <xdr:spPr>
        <a:xfrm>
          <a:off x="4093482" y="8980715"/>
          <a:ext cx="2256519" cy="43635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396840</xdr:colOff>
      <xdr:row>98</xdr:row>
      <xdr:rowOff>381000</xdr:rowOff>
    </xdr:from>
    <xdr:to>
      <xdr:col>13</xdr:col>
      <xdr:colOff>564086</xdr:colOff>
      <xdr:row>101</xdr:row>
      <xdr:rowOff>63499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sharpenSoften amount="50000"/>
                  </a14:imgEffect>
                </a14:imgLayer>
              </a14:imgProps>
            </a:ext>
          </a:extLst>
        </a:blip>
        <a:srcRect l="5642" t="16560" r="5004" b="47771"/>
        <a:stretch/>
      </xdr:blipFill>
      <xdr:spPr>
        <a:xfrm>
          <a:off x="5572090" y="22352000"/>
          <a:ext cx="4175683" cy="476249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317508</xdr:colOff>
      <xdr:row>104</xdr:row>
      <xdr:rowOff>460368</xdr:rowOff>
    </xdr:from>
    <xdr:to>
      <xdr:col>14</xdr:col>
      <xdr:colOff>85733</xdr:colOff>
      <xdr:row>107</xdr:row>
      <xdr:rowOff>56191</xdr:rowOff>
    </xdr:to>
    <xdr:pic>
      <xdr:nvPicPr>
        <xdr:cNvPr id="17" name="16 Imagen"/>
        <xdr:cNvPicPr/>
      </xdr:nvPicPr>
      <xdr:blipFill rotWithShape="1">
        <a:blip xmlns:r="http://schemas.openxmlformats.org/officeDocument/2006/relationships" r:embed="rId11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sharpenSoften amount="50000"/>
                  </a14:imgEffect>
                </a14:imgLayer>
              </a14:imgProps>
            </a:ext>
          </a:extLst>
        </a:blip>
        <a:srcRect l="6159" t="16438" r="6486" b="52512"/>
        <a:stretch/>
      </xdr:blipFill>
      <xdr:spPr bwMode="auto">
        <a:xfrm>
          <a:off x="6413508" y="23756931"/>
          <a:ext cx="3538537" cy="43719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333359</xdr:colOff>
      <xdr:row>21</xdr:row>
      <xdr:rowOff>0</xdr:rowOff>
    </xdr:from>
    <xdr:to>
      <xdr:col>8</xdr:col>
      <xdr:colOff>251735</xdr:colOff>
      <xdr:row>23</xdr:row>
      <xdr:rowOff>59381</xdr:rowOff>
    </xdr:to>
    <xdr:pic>
      <xdr:nvPicPr>
        <xdr:cNvPr id="18" name="17 Imagen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8174" t="17953" r="10907" b="48385"/>
        <a:stretch/>
      </xdr:blipFill>
      <xdr:spPr>
        <a:xfrm>
          <a:off x="4151297" y="5016500"/>
          <a:ext cx="2426626" cy="440381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244218</xdr:colOff>
      <xdr:row>3</xdr:row>
      <xdr:rowOff>29470</xdr:rowOff>
    </xdr:from>
    <xdr:to>
      <xdr:col>7</xdr:col>
      <xdr:colOff>711410</xdr:colOff>
      <xdr:row>6</xdr:row>
      <xdr:rowOff>31780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rcRect l="8964" t="16287" r="10364" b="47339"/>
        <a:stretch/>
      </xdr:blipFill>
      <xdr:spPr>
        <a:xfrm>
          <a:off x="4284406" y="918470"/>
          <a:ext cx="2340442" cy="5420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217693</xdr:colOff>
      <xdr:row>14</xdr:row>
      <xdr:rowOff>392320</xdr:rowOff>
    </xdr:from>
    <xdr:to>
      <xdr:col>7</xdr:col>
      <xdr:colOff>797855</xdr:colOff>
      <xdr:row>17</xdr:row>
      <xdr:rowOff>99766</xdr:rowOff>
    </xdr:to>
    <xdr:pic>
      <xdr:nvPicPr>
        <xdr:cNvPr id="4" name="3 Imagen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82" t="16188" r="7779" b="48973"/>
        <a:stretch/>
      </xdr:blipFill>
      <xdr:spPr>
        <a:xfrm>
          <a:off x="4257881" y="3591133"/>
          <a:ext cx="2453412" cy="509133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271215</xdr:colOff>
      <xdr:row>26</xdr:row>
      <xdr:rowOff>363964</xdr:rowOff>
    </xdr:from>
    <xdr:to>
      <xdr:col>7</xdr:col>
      <xdr:colOff>405042</xdr:colOff>
      <xdr:row>29</xdr:row>
      <xdr:rowOff>117662</xdr:rowOff>
    </xdr:to>
    <xdr:pic>
      <xdr:nvPicPr>
        <xdr:cNvPr id="5" name="4 Imagen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1077" t="17769" r="10929" b="46694"/>
        <a:stretch/>
      </xdr:blipFill>
      <xdr:spPr>
        <a:xfrm>
          <a:off x="4311403" y="6277402"/>
          <a:ext cx="2007077" cy="5712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333355</xdr:colOff>
      <xdr:row>40</xdr:row>
      <xdr:rowOff>3380</xdr:rowOff>
    </xdr:from>
    <xdr:to>
      <xdr:col>7</xdr:col>
      <xdr:colOff>749302</xdr:colOff>
      <xdr:row>42</xdr:row>
      <xdr:rowOff>150812</xdr:rowOff>
    </xdr:to>
    <xdr:pic>
      <xdr:nvPicPr>
        <xdr:cNvPr id="6" name="5 Imagen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9867" t="14832" r="10802" b="57319"/>
        <a:stretch/>
      </xdr:blipFill>
      <xdr:spPr>
        <a:xfrm>
          <a:off x="4373543" y="9314068"/>
          <a:ext cx="2289197" cy="528432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172796</xdr:colOff>
      <xdr:row>53</xdr:row>
      <xdr:rowOff>14720</xdr:rowOff>
    </xdr:from>
    <xdr:to>
      <xdr:col>7</xdr:col>
      <xdr:colOff>514803</xdr:colOff>
      <xdr:row>56</xdr:row>
      <xdr:rowOff>10314</xdr:rowOff>
    </xdr:to>
    <xdr:pic>
      <xdr:nvPicPr>
        <xdr:cNvPr id="7" name="6 Imagen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9745" t="14005" r="11601" b="60475"/>
        <a:stretch/>
      </xdr:blipFill>
      <xdr:spPr>
        <a:xfrm>
          <a:off x="4212984" y="12190845"/>
          <a:ext cx="2215257" cy="53534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220407</xdr:colOff>
      <xdr:row>65</xdr:row>
      <xdr:rowOff>20392</xdr:rowOff>
    </xdr:from>
    <xdr:to>
      <xdr:col>7</xdr:col>
      <xdr:colOff>657650</xdr:colOff>
      <xdr:row>67</xdr:row>
      <xdr:rowOff>132651</xdr:rowOff>
    </xdr:to>
    <xdr:pic>
      <xdr:nvPicPr>
        <xdr:cNvPr id="8" name="7 Imagen"/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10398" t="14856" r="11040" b="57643"/>
        <a:stretch/>
      </xdr:blipFill>
      <xdr:spPr>
        <a:xfrm>
          <a:off x="4260595" y="15149267"/>
          <a:ext cx="2310493" cy="49325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246686</xdr:colOff>
      <xdr:row>76</xdr:row>
      <xdr:rowOff>424068</xdr:rowOff>
    </xdr:from>
    <xdr:to>
      <xdr:col>7</xdr:col>
      <xdr:colOff>240393</xdr:colOff>
      <xdr:row>79</xdr:row>
      <xdr:rowOff>77783</xdr:rowOff>
    </xdr:to>
    <xdr:pic>
      <xdr:nvPicPr>
        <xdr:cNvPr id="9" name="8 Imagen"/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23751" t="15462" r="10608" b="57633"/>
        <a:stretch/>
      </xdr:blipFill>
      <xdr:spPr>
        <a:xfrm>
          <a:off x="4286874" y="17950068"/>
          <a:ext cx="1866957" cy="4633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201818</xdr:colOff>
      <xdr:row>90</xdr:row>
      <xdr:rowOff>16988</xdr:rowOff>
    </xdr:from>
    <xdr:to>
      <xdr:col>7</xdr:col>
      <xdr:colOff>451303</xdr:colOff>
      <xdr:row>92</xdr:row>
      <xdr:rowOff>79546</xdr:rowOff>
    </xdr:to>
    <xdr:pic>
      <xdr:nvPicPr>
        <xdr:cNvPr id="11" name="10 Imagen"/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9301" t="10824" r="11149" b="70992"/>
        <a:stretch/>
      </xdr:blipFill>
      <xdr:spPr>
        <a:xfrm>
          <a:off x="4242006" y="21083113"/>
          <a:ext cx="2122735" cy="443558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396875</xdr:colOff>
      <xdr:row>101</xdr:row>
      <xdr:rowOff>285750</xdr:rowOff>
    </xdr:from>
    <xdr:to>
      <xdr:col>11</xdr:col>
      <xdr:colOff>317500</xdr:colOff>
      <xdr:row>103</xdr:row>
      <xdr:rowOff>174624</xdr:rowOff>
    </xdr:to>
    <xdr:pic>
      <xdr:nvPicPr>
        <xdr:cNvPr id="10" name="9 Imagen"/>
        <xdr:cNvPicPr/>
      </xdr:nvPicPr>
      <xdr:blipFill rotWithShape="1">
        <a:blip xmlns:r="http://schemas.openxmlformats.org/officeDocument/2006/relationships" r:embed="rId10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sharpenSoften amount="50000"/>
                  </a14:imgEffect>
                </a14:imgLayer>
              </a14:imgProps>
            </a:ext>
          </a:extLst>
        </a:blip>
        <a:srcRect l="7394" t="17882" r="8099" b="47545"/>
        <a:stretch/>
      </xdr:blipFill>
      <xdr:spPr bwMode="auto">
        <a:xfrm>
          <a:off x="5945188" y="23733125"/>
          <a:ext cx="3032125" cy="46831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428581</xdr:colOff>
      <xdr:row>107</xdr:row>
      <xdr:rowOff>452438</xdr:rowOff>
    </xdr:from>
    <xdr:to>
      <xdr:col>11</xdr:col>
      <xdr:colOff>317455</xdr:colOff>
      <xdr:row>110</xdr:row>
      <xdr:rowOff>55562</xdr:rowOff>
    </xdr:to>
    <xdr:pic>
      <xdr:nvPicPr>
        <xdr:cNvPr id="12" name="11 Imagen"/>
        <xdr:cNvPicPr/>
      </xdr:nvPicPr>
      <xdr:blipFill rotWithShape="1">
        <a:blip xmlns:r="http://schemas.openxmlformats.org/officeDocument/2006/relationships" r:embed="rId12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sharpenSoften amount="50000"/>
                  </a14:imgEffect>
                </a14:imgLayer>
              </a14:imgProps>
            </a:ext>
          </a:extLst>
        </a:blip>
        <a:srcRect l="9983" t="19855" r="8183" b="46919"/>
        <a:stretch/>
      </xdr:blipFill>
      <xdr:spPr bwMode="auto">
        <a:xfrm>
          <a:off x="6342019" y="25185688"/>
          <a:ext cx="3000374" cy="46831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444500</xdr:colOff>
      <xdr:row>12</xdr:row>
      <xdr:rowOff>142874</xdr:rowOff>
    </xdr:from>
    <xdr:to>
      <xdr:col>10</xdr:col>
      <xdr:colOff>754062</xdr:colOff>
      <xdr:row>14</xdr:row>
      <xdr:rowOff>39687</xdr:rowOff>
    </xdr:to>
    <xdr:sp macro="" textlink="">
      <xdr:nvSpPr>
        <xdr:cNvPr id="2" name="1 CuadroTexto"/>
        <xdr:cNvSpPr txBox="1"/>
      </xdr:nvSpPr>
      <xdr:spPr>
        <a:xfrm>
          <a:off x="4740275" y="2800349"/>
          <a:ext cx="4119562" cy="277813"/>
        </a:xfrm>
        <a:prstGeom prst="rect">
          <a:avLst/>
        </a:prstGeom>
        <a:solidFill>
          <a:srgbClr val="FFFF66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100" b="1" i="1"/>
            <a:t>CUOTA DOS Y SUBSIGUIENTES = Cuota</a:t>
          </a:r>
          <a:r>
            <a:rPr lang="es-CO" sz="1100" b="1" i="1" baseline="0"/>
            <a:t> mes anterior (+,-) gradiente</a:t>
          </a:r>
          <a:endParaRPr lang="es-CO" sz="1100" b="1" i="1"/>
        </a:p>
        <a:p>
          <a:endParaRPr lang="es-CO" sz="1100" b="1" i="1"/>
        </a:p>
        <a:p>
          <a:endParaRPr lang="es-CO" sz="1100"/>
        </a:p>
      </xdr:txBody>
    </xdr:sp>
    <xdr:clientData/>
  </xdr:twoCellAnchor>
  <xdr:twoCellAnchor>
    <xdr:from>
      <xdr:col>1</xdr:col>
      <xdr:colOff>738188</xdr:colOff>
      <xdr:row>13</xdr:row>
      <xdr:rowOff>91281</xdr:rowOff>
    </xdr:from>
    <xdr:to>
      <xdr:col>5</xdr:col>
      <xdr:colOff>444500</xdr:colOff>
      <xdr:row>15</xdr:row>
      <xdr:rowOff>103187</xdr:rowOff>
    </xdr:to>
    <xdr:cxnSp macro="">
      <xdr:nvCxnSpPr>
        <xdr:cNvPr id="3" name="2 Conector recto de flecha"/>
        <xdr:cNvCxnSpPr>
          <a:endCxn id="2" idx="1"/>
        </xdr:cNvCxnSpPr>
      </xdr:nvCxnSpPr>
      <xdr:spPr>
        <a:xfrm flipV="1">
          <a:off x="1662113" y="2939256"/>
          <a:ext cx="3078162" cy="392906"/>
        </a:xfrm>
        <a:prstGeom prst="straightConnector1">
          <a:avLst/>
        </a:prstGeom>
        <a:ln w="1270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912812</xdr:colOff>
      <xdr:row>13</xdr:row>
      <xdr:rowOff>138907</xdr:rowOff>
    </xdr:from>
    <xdr:to>
      <xdr:col>6</xdr:col>
      <xdr:colOff>0</xdr:colOff>
      <xdr:row>16</xdr:row>
      <xdr:rowOff>71438</xdr:rowOff>
    </xdr:to>
    <xdr:cxnSp macro="">
      <xdr:nvCxnSpPr>
        <xdr:cNvPr id="2" name="1 Conector recto de flecha"/>
        <xdr:cNvCxnSpPr>
          <a:endCxn id="3" idx="1"/>
        </xdr:cNvCxnSpPr>
      </xdr:nvCxnSpPr>
      <xdr:spPr>
        <a:xfrm flipV="1">
          <a:off x="1741487" y="3005932"/>
          <a:ext cx="3449638" cy="504031"/>
        </a:xfrm>
        <a:prstGeom prst="straightConnector1">
          <a:avLst/>
        </a:prstGeom>
        <a:ln w="1270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13</xdr:row>
      <xdr:rowOff>0</xdr:rowOff>
    </xdr:from>
    <xdr:to>
      <xdr:col>11</xdr:col>
      <xdr:colOff>309562</xdr:colOff>
      <xdr:row>14</xdr:row>
      <xdr:rowOff>87313</xdr:rowOff>
    </xdr:to>
    <xdr:sp macro="" textlink="">
      <xdr:nvSpPr>
        <xdr:cNvPr id="3" name="2 CuadroTexto"/>
        <xdr:cNvSpPr txBox="1"/>
      </xdr:nvSpPr>
      <xdr:spPr>
        <a:xfrm>
          <a:off x="5191125" y="2867025"/>
          <a:ext cx="4119562" cy="277813"/>
        </a:xfrm>
        <a:prstGeom prst="rect">
          <a:avLst/>
        </a:prstGeom>
        <a:solidFill>
          <a:srgbClr val="FFFF66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100" b="1" i="1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CUOTA DOS Y SUBSIGUIENTES = Cuota mes anterior x (1+G)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CO" sz="1100" b="1" i="1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CO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390526</xdr:colOff>
      <xdr:row>5</xdr:row>
      <xdr:rowOff>9525</xdr:rowOff>
    </xdr:from>
    <xdr:to>
      <xdr:col>15</xdr:col>
      <xdr:colOff>209550</xdr:colOff>
      <xdr:row>20</xdr:row>
      <xdr:rowOff>19050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fael\Documents\ESPECIALIZACION%20ADMINISTRACION%20FINANCIERA\INGENIERIA%20FINANCIERA\FORMATOS\FORMATOS%20PLANES%20AMORTIZACIO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fael\Downloads\prestam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C.FIJA (2)"/>
      <sheetName val="C.FIJA"/>
      <sheetName val="C.FIJA COSTO DEUDA D.I."/>
      <sheetName val="C.FIJA+G.ADTIVOS"/>
      <sheetName val="C.VARIABLE"/>
      <sheetName val="LEASING"/>
    </sheetNames>
    <sheetDataSet>
      <sheetData sheetId="0">
        <row r="1">
          <cell r="A1" t="str">
            <v>Meses</v>
          </cell>
          <cell r="B1">
            <v>1</v>
          </cell>
          <cell r="E1">
            <v>1</v>
          </cell>
        </row>
        <row r="2">
          <cell r="A2" t="str">
            <v>Bimestre</v>
          </cell>
          <cell r="B2">
            <v>2</v>
          </cell>
        </row>
        <row r="3">
          <cell r="A3" t="str">
            <v>Trimestre</v>
          </cell>
          <cell r="B3">
            <v>3</v>
          </cell>
        </row>
        <row r="4">
          <cell r="A4" t="str">
            <v>Semestre</v>
          </cell>
          <cell r="B4">
            <v>6</v>
          </cell>
        </row>
        <row r="5">
          <cell r="A5" t="str">
            <v>Año(s)</v>
          </cell>
          <cell r="B5">
            <v>12</v>
          </cell>
          <cell r="E5">
            <v>15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"/>
      <sheetName val="Ej1"/>
      <sheetName val="Ej2"/>
      <sheetName val="Ej3"/>
      <sheetName val="Ej4"/>
      <sheetName val="Ej5"/>
      <sheetName val="Ej6"/>
      <sheetName val="Ej7"/>
      <sheetName val="Ej8"/>
      <sheetName val="Ej9"/>
      <sheetName val="Ej10"/>
      <sheetName val="Ej11"/>
      <sheetName val="Ej12"/>
      <sheetName val="Ej13"/>
      <sheetName val="Ej14"/>
      <sheetName val="Ej15"/>
      <sheetName val="Ej16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L13">
            <v>1</v>
          </cell>
          <cell r="M13">
            <v>0.02</v>
          </cell>
          <cell r="N13">
            <v>2.5000000000000001E-2</v>
          </cell>
          <cell r="O13">
            <v>2.0598362698427408E-3</v>
          </cell>
        </row>
        <row r="14">
          <cell r="L14">
            <v>2</v>
          </cell>
          <cell r="M14">
            <v>2.1999999999999999E-2</v>
          </cell>
          <cell r="N14">
            <v>2.7E-2</v>
          </cell>
          <cell r="O14">
            <v>2.2226272943570713E-3</v>
          </cell>
        </row>
        <row r="15">
          <cell r="L15">
            <v>3</v>
          </cell>
          <cell r="M15">
            <v>2.4E-2</v>
          </cell>
          <cell r="N15">
            <v>2.9000000000000001E-2</v>
          </cell>
          <cell r="O15">
            <v>2.3851279739270925E-3</v>
          </cell>
        </row>
        <row r="16">
          <cell r="L16">
            <v>4</v>
          </cell>
          <cell r="M16">
            <v>2.5999999999999999E-2</v>
          </cell>
          <cell r="N16">
            <v>3.1E-2</v>
          </cell>
          <cell r="O16">
            <v>2.5473393892132545E-3</v>
          </cell>
        </row>
        <row r="17">
          <cell r="L17">
            <v>5</v>
          </cell>
          <cell r="M17">
            <v>2.8000000000000001E-2</v>
          </cell>
          <cell r="N17">
            <v>3.3000000000000002E-2</v>
          </cell>
          <cell r="O17">
            <v>2.7092626147666721E-3</v>
          </cell>
        </row>
        <row r="18">
          <cell r="L18">
            <v>6</v>
          </cell>
          <cell r="M18">
            <v>0.03</v>
          </cell>
          <cell r="N18">
            <v>3.4999999999999996E-2</v>
          </cell>
          <cell r="O18">
            <v>2.8708987190766422E-3</v>
          </cell>
        </row>
        <row r="19">
          <cell r="L19">
            <v>7</v>
          </cell>
          <cell r="M19">
            <v>3.2000000000000001E-2</v>
          </cell>
          <cell r="N19">
            <v>3.6999999999999998E-2</v>
          </cell>
          <cell r="O19">
            <v>3.0322487646148311E-3</v>
          </cell>
        </row>
        <row r="20">
          <cell r="L20">
            <v>8</v>
          </cell>
          <cell r="M20">
            <v>3.4000000000000002E-2</v>
          </cell>
          <cell r="N20">
            <v>3.9E-2</v>
          </cell>
          <cell r="O20">
            <v>3.1933138078821255E-3</v>
          </cell>
        </row>
        <row r="21">
          <cell r="L21">
            <v>9</v>
          </cell>
          <cell r="M21">
            <v>3.5999999999999997E-2</v>
          </cell>
          <cell r="N21">
            <v>4.0999999999999995E-2</v>
          </cell>
          <cell r="O21">
            <v>3.3540948994528197E-3</v>
          </cell>
        </row>
        <row r="22">
          <cell r="L22">
            <v>10</v>
          </cell>
          <cell r="M22">
            <v>3.7999999999999999E-2</v>
          </cell>
          <cell r="N22">
            <v>4.2999999999999997E-2</v>
          </cell>
          <cell r="O22">
            <v>3.5145930840192463E-3</v>
          </cell>
        </row>
      </sheetData>
      <sheetData sheetId="7"/>
      <sheetData sheetId="8"/>
      <sheetData sheetId="9"/>
      <sheetData sheetId="10">
        <row r="5">
          <cell r="L5">
            <v>1</v>
          </cell>
          <cell r="M5">
            <v>0.02</v>
          </cell>
          <cell r="N5">
            <v>2.5000000000000001E-2</v>
          </cell>
          <cell r="O5">
            <v>2.0598362698427408E-3</v>
          </cell>
        </row>
        <row r="6">
          <cell r="L6">
            <v>2</v>
          </cell>
          <cell r="M6">
            <v>2.1999999999999999E-2</v>
          </cell>
          <cell r="N6">
            <v>2.7E-2</v>
          </cell>
          <cell r="O6">
            <v>2.2226272943570713E-3</v>
          </cell>
        </row>
        <row r="7">
          <cell r="L7">
            <v>3</v>
          </cell>
          <cell r="M7">
            <v>2.4E-2</v>
          </cell>
          <cell r="N7">
            <v>2.9000000000000001E-2</v>
          </cell>
          <cell r="O7">
            <v>2.3851279739270925E-3</v>
          </cell>
        </row>
        <row r="8">
          <cell r="L8">
            <v>4</v>
          </cell>
          <cell r="M8">
            <v>2.5999999999999999E-2</v>
          </cell>
          <cell r="N8">
            <v>3.1E-2</v>
          </cell>
          <cell r="O8">
            <v>2.5473393892132545E-3</v>
          </cell>
        </row>
        <row r="9">
          <cell r="L9">
            <v>5</v>
          </cell>
          <cell r="M9">
            <v>2.8000000000000001E-2</v>
          </cell>
          <cell r="N9">
            <v>3.3000000000000002E-2</v>
          </cell>
          <cell r="O9">
            <v>2.7092626147666721E-3</v>
          </cell>
        </row>
        <row r="10">
          <cell r="L10">
            <v>6</v>
          </cell>
          <cell r="M10">
            <v>0.03</v>
          </cell>
          <cell r="N10">
            <v>3.4999999999999996E-2</v>
          </cell>
          <cell r="O10">
            <v>2.8708987190766422E-3</v>
          </cell>
        </row>
        <row r="11">
          <cell r="L11">
            <v>7</v>
          </cell>
          <cell r="M11">
            <v>3.2000000000000001E-2</v>
          </cell>
          <cell r="N11">
            <v>3.6999999999999998E-2</v>
          </cell>
          <cell r="O11">
            <v>3.0322487646148311E-3</v>
          </cell>
        </row>
        <row r="12">
          <cell r="L12">
            <v>8</v>
          </cell>
          <cell r="M12">
            <v>3.4000000000000002E-2</v>
          </cell>
          <cell r="N12">
            <v>3.9E-2</v>
          </cell>
          <cell r="O12">
            <v>3.1933138078821255E-3</v>
          </cell>
        </row>
        <row r="13">
          <cell r="L13">
            <v>9</v>
          </cell>
          <cell r="M13">
            <v>3.5999999999999997E-2</v>
          </cell>
          <cell r="N13">
            <v>4.0999999999999995E-2</v>
          </cell>
          <cell r="O13">
            <v>3.3540948994528197E-3</v>
          </cell>
        </row>
        <row r="14">
          <cell r="L14">
            <v>10</v>
          </cell>
          <cell r="M14">
            <v>3.7999999999999999E-2</v>
          </cell>
          <cell r="N14">
            <v>4.2999999999999997E-2</v>
          </cell>
          <cell r="O14">
            <v>3.5145930840192463E-3</v>
          </cell>
        </row>
      </sheetData>
      <sheetData sheetId="11"/>
      <sheetData sheetId="12"/>
      <sheetData sheetId="13">
        <row r="13">
          <cell r="L13">
            <v>1</v>
          </cell>
          <cell r="M13">
            <v>0.02</v>
          </cell>
          <cell r="N13">
            <v>2.5000000000000001E-2</v>
          </cell>
          <cell r="O13">
            <v>2.0598362698427408E-3</v>
          </cell>
        </row>
        <row r="14">
          <cell r="L14">
            <v>2</v>
          </cell>
          <cell r="M14">
            <v>2.1999999999999999E-2</v>
          </cell>
          <cell r="N14">
            <v>2.7E-2</v>
          </cell>
          <cell r="O14">
            <v>2.2226272943570713E-3</v>
          </cell>
        </row>
        <row r="15">
          <cell r="L15">
            <v>3</v>
          </cell>
          <cell r="M15">
            <v>2.4E-2</v>
          </cell>
          <cell r="N15">
            <v>2.9000000000000001E-2</v>
          </cell>
          <cell r="O15">
            <v>2.3851279739270925E-3</v>
          </cell>
        </row>
        <row r="16">
          <cell r="L16">
            <v>4</v>
          </cell>
          <cell r="M16">
            <v>2.6000000000000002E-2</v>
          </cell>
          <cell r="N16">
            <v>3.1000000000000003E-2</v>
          </cell>
          <cell r="O16">
            <v>2.5473393892132545E-3</v>
          </cell>
        </row>
        <row r="17">
          <cell r="L17">
            <v>5</v>
          </cell>
          <cell r="M17">
            <v>2.8000000000000004E-2</v>
          </cell>
          <cell r="N17">
            <v>3.3000000000000002E-2</v>
          </cell>
          <cell r="O17">
            <v>2.7092626147666721E-3</v>
          </cell>
        </row>
        <row r="18">
          <cell r="L18">
            <v>6</v>
          </cell>
          <cell r="M18">
            <v>3.0000000000000006E-2</v>
          </cell>
          <cell r="N18">
            <v>3.5000000000000003E-2</v>
          </cell>
          <cell r="O18">
            <v>2.8708987190766422E-3</v>
          </cell>
        </row>
        <row r="19">
          <cell r="L19">
            <v>7</v>
          </cell>
          <cell r="M19">
            <v>3.2000000000000008E-2</v>
          </cell>
          <cell r="N19">
            <v>3.7000000000000005E-2</v>
          </cell>
          <cell r="O19">
            <v>3.0322487646148311E-3</v>
          </cell>
        </row>
        <row r="20">
          <cell r="L20">
            <v>8</v>
          </cell>
          <cell r="M20">
            <v>3.4000000000000009E-2</v>
          </cell>
          <cell r="N20">
            <v>3.9000000000000007E-2</v>
          </cell>
          <cell r="O20">
            <v>3.1933138078821255E-3</v>
          </cell>
        </row>
        <row r="21">
          <cell r="L21">
            <v>9</v>
          </cell>
          <cell r="M21">
            <v>3.6000000000000011E-2</v>
          </cell>
          <cell r="N21">
            <v>4.1000000000000009E-2</v>
          </cell>
          <cell r="O21">
            <v>3.3540948994528197E-3</v>
          </cell>
        </row>
        <row r="22">
          <cell r="L22">
            <v>10</v>
          </cell>
          <cell r="M22">
            <v>3.8000000000000013E-2</v>
          </cell>
          <cell r="N22">
            <v>4.300000000000001E-2</v>
          </cell>
          <cell r="O22">
            <v>3.5145930840192463E-3</v>
          </cell>
        </row>
      </sheetData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O15"/>
  <sheetViews>
    <sheetView showGridLines="0" tabSelected="1" workbookViewId="0">
      <selection activeCell="H18" sqref="H18"/>
    </sheetView>
  </sheetViews>
  <sheetFormatPr baseColWidth="10" defaultRowHeight="15" x14ac:dyDescent="0.25"/>
  <cols>
    <col min="1" max="1" width="5.5703125" customWidth="1"/>
    <col min="4" max="4" width="7.7109375" customWidth="1"/>
    <col min="7" max="7" width="7.7109375" customWidth="1"/>
    <col min="8" max="8" width="28.42578125" bestFit="1" customWidth="1"/>
    <col min="9" max="9" width="7.7109375" customWidth="1"/>
    <col min="10" max="10" width="35.7109375" bestFit="1" customWidth="1"/>
    <col min="11" max="11" width="7.7109375" customWidth="1"/>
    <col min="12" max="12" width="12.42578125" customWidth="1"/>
    <col min="14" max="14" width="15" customWidth="1"/>
  </cols>
  <sheetData>
    <row r="1" spans="1:15" ht="36" x14ac:dyDescent="0.55000000000000004">
      <c r="A1" s="176" t="s">
        <v>208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</row>
    <row r="3" spans="1:15" ht="36" x14ac:dyDescent="0.55000000000000004">
      <c r="A3" s="176" t="s">
        <v>170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9" spans="1:15" ht="18.75" x14ac:dyDescent="0.3">
      <c r="B9" s="177" t="s">
        <v>88</v>
      </c>
      <c r="C9" s="177"/>
      <c r="E9" s="177" t="s">
        <v>89</v>
      </c>
      <c r="F9" s="177"/>
      <c r="H9" s="154" t="s">
        <v>176</v>
      </c>
      <c r="J9" s="154" t="s">
        <v>178</v>
      </c>
      <c r="L9" s="177" t="s">
        <v>182</v>
      </c>
      <c r="M9" s="177"/>
      <c r="N9" s="177"/>
    </row>
    <row r="11" spans="1:15" x14ac:dyDescent="0.25">
      <c r="B11" s="157" t="s">
        <v>171</v>
      </c>
      <c r="C11" s="158"/>
      <c r="D11" s="158"/>
      <c r="E11" s="157" t="s">
        <v>86</v>
      </c>
      <c r="F11" s="158"/>
      <c r="G11" s="159"/>
      <c r="H11" s="160" t="s">
        <v>153</v>
      </c>
      <c r="J11" s="160" t="s">
        <v>179</v>
      </c>
      <c r="L11" s="160" t="s">
        <v>197</v>
      </c>
    </row>
    <row r="12" spans="1:15" x14ac:dyDescent="0.25">
      <c r="B12" s="157" t="s">
        <v>172</v>
      </c>
      <c r="C12" s="158"/>
      <c r="D12" s="158"/>
      <c r="E12" s="157" t="s">
        <v>174</v>
      </c>
      <c r="F12" s="158"/>
      <c r="G12" s="159"/>
      <c r="H12" s="160" t="s">
        <v>177</v>
      </c>
      <c r="J12" s="160" t="s">
        <v>180</v>
      </c>
      <c r="L12" s="160" t="s">
        <v>199</v>
      </c>
    </row>
    <row r="13" spans="1:15" x14ac:dyDescent="0.25">
      <c r="B13" s="157" t="s">
        <v>84</v>
      </c>
      <c r="C13" s="158"/>
      <c r="D13" s="158"/>
      <c r="E13" s="157" t="s">
        <v>87</v>
      </c>
      <c r="F13" s="158"/>
      <c r="G13" s="159"/>
      <c r="H13" s="159"/>
      <c r="J13" s="160" t="s">
        <v>84</v>
      </c>
      <c r="L13" s="160" t="s">
        <v>201</v>
      </c>
    </row>
    <row r="14" spans="1:15" x14ac:dyDescent="0.25">
      <c r="B14" s="157" t="s">
        <v>85</v>
      </c>
      <c r="C14" s="158"/>
      <c r="D14" s="158"/>
      <c r="E14" s="157" t="s">
        <v>175</v>
      </c>
      <c r="F14" s="158"/>
      <c r="G14" s="159"/>
      <c r="H14" s="159"/>
      <c r="J14" s="160" t="s">
        <v>86</v>
      </c>
      <c r="L14" s="160" t="s">
        <v>204</v>
      </c>
    </row>
    <row r="15" spans="1:15" x14ac:dyDescent="0.25">
      <c r="J15" s="160" t="s">
        <v>87</v>
      </c>
      <c r="L15" s="160" t="s">
        <v>206</v>
      </c>
    </row>
  </sheetData>
  <mergeCells count="5">
    <mergeCell ref="A3:O3"/>
    <mergeCell ref="B9:C9"/>
    <mergeCell ref="E9:F9"/>
    <mergeCell ref="L9:N9"/>
    <mergeCell ref="A1:O1"/>
  </mergeCells>
  <hyperlinks>
    <hyperlink ref="B11" location="'VENCIDA-ANTICIPADA'!A1" display="Anualidades vencida"/>
    <hyperlink ref="B13" location="DIFERIDA!A1" display="Anualidad diferida"/>
    <hyperlink ref="B14" location="PERPETUA!A1" display="Anualidad perpetua"/>
    <hyperlink ref="E11" location="'GRADIENTE ARITMETICO'!A1" display="Gradiente aritmético"/>
    <hyperlink ref="E13" location="'GRADIENTE GEOMETRICO'!A1" display="Gradiente geométrico"/>
    <hyperlink ref="B12" location="'VENCIDA-ANTICIPADA'!A25" display="Anualidades anticipada"/>
    <hyperlink ref="E12" location="'GRADIENTE ARITMETICO'!A99" display="Gradiente aritmético diferido"/>
    <hyperlink ref="E14" location="'GRADIENTE GEOMETRICO'!A102" display="Gradiente geométrico diferido"/>
    <hyperlink ref="H11" location="'TASA NOMINAL'!A1" display="Tasa nominal"/>
    <hyperlink ref="H12" location="'TASA EFECTIVA'!A1" display="Tasa efectiva"/>
    <hyperlink ref="J11" location="C.FIJA!A1" display="Cuota fija"/>
    <hyperlink ref="J12" location="C.EXTRAS!A1" display="Cuotas extraordinarias"/>
    <hyperlink ref="J13" location="'ANUALIDAD DIFERIDA'!A1" display="Anualidad diferida"/>
    <hyperlink ref="J14" location="'GRAD. ARITMETICO '!A1" display="Gradiente aritmético"/>
    <hyperlink ref="J15" location="'GRAD. GEOMETRICO '!A1" display="Gradiente geométrico"/>
    <hyperlink ref="L11" location="IND.CONVENIENCIA!C29" display="VPN"/>
    <hyperlink ref="L12" location="IND.CONVENIENCIA!C30" display="TIR"/>
    <hyperlink ref="L13" location="IND.CONVENIENCIA!C31" display="TIRM"/>
    <hyperlink ref="L14:L15" location="IND.CONVENIENCIA!C31" display="TIRM"/>
    <hyperlink ref="L14" location="IND.CONVENIENCIA!C33" display="CAUE"/>
    <hyperlink ref="L15" location="IND.CONVENIENCIA!C34" display="B/C"/>
  </hyperlink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P198"/>
  <sheetViews>
    <sheetView showGridLines="0" zoomScale="110" zoomScaleNormal="110" workbookViewId="0">
      <selection sqref="A1:F1"/>
    </sheetView>
  </sheetViews>
  <sheetFormatPr baseColWidth="10" defaultRowHeight="15" x14ac:dyDescent="0.25"/>
  <cols>
    <col min="1" max="1" width="14.7109375" bestFit="1" customWidth="1"/>
    <col min="2" max="2" width="13.7109375" bestFit="1" customWidth="1"/>
    <col min="3" max="3" width="12.7109375" bestFit="1" customWidth="1"/>
    <col min="4" max="4" width="16.7109375" bestFit="1" customWidth="1"/>
    <col min="5" max="5" width="13.85546875" bestFit="1" customWidth="1"/>
    <col min="6" max="6" width="9" bestFit="1" customWidth="1"/>
    <col min="9" max="9" width="18" bestFit="1" customWidth="1"/>
    <col min="11" max="11" width="13.85546875" bestFit="1" customWidth="1"/>
    <col min="12" max="12" width="19.42578125" bestFit="1" customWidth="1"/>
    <col min="13" max="13" width="12" bestFit="1" customWidth="1"/>
    <col min="15" max="15" width="15.42578125" bestFit="1" customWidth="1"/>
    <col min="16" max="16" width="12" bestFit="1" customWidth="1"/>
  </cols>
  <sheetData>
    <row r="1" spans="1:6" ht="30.75" customHeight="1" x14ac:dyDescent="0.25">
      <c r="A1" s="211" t="s">
        <v>134</v>
      </c>
      <c r="B1" s="212"/>
      <c r="C1" s="212"/>
      <c r="D1" s="212"/>
      <c r="E1" s="212"/>
      <c r="F1" s="212"/>
    </row>
    <row r="3" spans="1:6" x14ac:dyDescent="0.25">
      <c r="A3" s="105" t="s">
        <v>125</v>
      </c>
      <c r="B3" s="105" t="s">
        <v>5</v>
      </c>
      <c r="C3" s="105" t="s">
        <v>2</v>
      </c>
    </row>
    <row r="4" spans="1:6" ht="15.75" x14ac:dyDescent="0.3">
      <c r="A4" s="106">
        <v>70000000</v>
      </c>
      <c r="B4" s="107">
        <v>0.02</v>
      </c>
      <c r="C4" s="119">
        <v>36</v>
      </c>
    </row>
    <row r="6" spans="1:6" x14ac:dyDescent="0.25">
      <c r="A6" s="120" t="s">
        <v>135</v>
      </c>
      <c r="B6" s="105" t="s">
        <v>5</v>
      </c>
      <c r="C6" s="105" t="s">
        <v>2</v>
      </c>
    </row>
    <row r="7" spans="1:6" ht="15.75" x14ac:dyDescent="0.3">
      <c r="A7" s="121">
        <v>4000000</v>
      </c>
      <c r="B7" s="122">
        <f>+EFFECT(+B4*12,12)</f>
        <v>0.26824179456254527</v>
      </c>
      <c r="C7" s="123">
        <v>3</v>
      </c>
    </row>
    <row r="9" spans="1:6" x14ac:dyDescent="0.25">
      <c r="A9" s="124" t="s">
        <v>136</v>
      </c>
    </row>
    <row r="10" spans="1:6" ht="15.75" x14ac:dyDescent="0.25">
      <c r="A10" s="125" t="s">
        <v>137</v>
      </c>
    </row>
    <row r="12" spans="1:6" x14ac:dyDescent="0.25">
      <c r="A12" s="204" t="s">
        <v>5</v>
      </c>
      <c r="B12" s="204" t="s">
        <v>2</v>
      </c>
      <c r="C12" s="204" t="s">
        <v>64</v>
      </c>
      <c r="D12" s="213" t="s">
        <v>8</v>
      </c>
      <c r="E12" s="214"/>
    </row>
    <row r="13" spans="1:6" x14ac:dyDescent="0.25">
      <c r="A13" s="205"/>
      <c r="B13" s="205"/>
      <c r="C13" s="205"/>
      <c r="D13" s="105" t="s">
        <v>126</v>
      </c>
      <c r="E13" s="105" t="s">
        <v>127</v>
      </c>
    </row>
    <row r="14" spans="1:6" ht="15.75" x14ac:dyDescent="0.3">
      <c r="A14" s="42">
        <f>+B7</f>
        <v>0.26824179456254527</v>
      </c>
      <c r="B14" s="123">
        <f>+C7</f>
        <v>3</v>
      </c>
      <c r="C14" s="106">
        <f>+A7</f>
        <v>4000000</v>
      </c>
      <c r="D14" s="44">
        <f>((C14*((1+A14)^(B14)-1))/((A14*(1+A14)^(B14))))</f>
        <v>7601751.2554910136</v>
      </c>
      <c r="E14" s="44">
        <f>+PV(A14,B14,-C14)</f>
        <v>7601751.2554910146</v>
      </c>
    </row>
    <row r="16" spans="1:6" x14ac:dyDescent="0.25">
      <c r="A16" s="126" t="s">
        <v>138</v>
      </c>
    </row>
    <row r="17" spans="1:11" ht="15.75" x14ac:dyDescent="0.25">
      <c r="A17" s="125" t="s">
        <v>139</v>
      </c>
    </row>
    <row r="19" spans="1:11" x14ac:dyDescent="0.25">
      <c r="A19" s="204" t="s">
        <v>140</v>
      </c>
    </row>
    <row r="20" spans="1:11" x14ac:dyDescent="0.25">
      <c r="A20" s="205"/>
    </row>
    <row r="21" spans="1:11" ht="15.75" x14ac:dyDescent="0.3">
      <c r="A21" s="106">
        <f>+A4-D14</f>
        <v>62398248.744508989</v>
      </c>
    </row>
    <row r="23" spans="1:11" x14ac:dyDescent="0.25">
      <c r="A23" s="126" t="s">
        <v>141</v>
      </c>
    </row>
    <row r="24" spans="1:11" ht="15.75" x14ac:dyDescent="0.25">
      <c r="A24" s="125" t="s">
        <v>142</v>
      </c>
    </row>
    <row r="26" spans="1:11" x14ac:dyDescent="0.25">
      <c r="A26" s="204" t="s">
        <v>125</v>
      </c>
      <c r="B26" s="204" t="s">
        <v>5</v>
      </c>
      <c r="C26" s="204" t="s">
        <v>2</v>
      </c>
      <c r="D26" s="206" t="s">
        <v>64</v>
      </c>
      <c r="E26" s="206"/>
      <c r="G26" s="204" t="s">
        <v>5</v>
      </c>
      <c r="H26" s="204" t="s">
        <v>2</v>
      </c>
      <c r="I26" s="204" t="s">
        <v>64</v>
      </c>
    </row>
    <row r="27" spans="1:11" x14ac:dyDescent="0.25">
      <c r="A27" s="205"/>
      <c r="B27" s="205"/>
      <c r="C27" s="205"/>
      <c r="D27" s="105" t="s">
        <v>126</v>
      </c>
      <c r="E27" s="105" t="s">
        <v>127</v>
      </c>
      <c r="G27" s="205"/>
      <c r="H27" s="205"/>
      <c r="I27" s="205"/>
    </row>
    <row r="28" spans="1:11" ht="15.75" x14ac:dyDescent="0.3">
      <c r="A28" s="106">
        <v>62398248.744508989</v>
      </c>
      <c r="B28" s="107">
        <v>0.02</v>
      </c>
      <c r="C28" s="119">
        <v>36</v>
      </c>
      <c r="D28" s="44">
        <f>(((A28*((B28*(1+B28)^(C28))))/((1+B28)^(C28)-1)))</f>
        <v>2448061.2953540655</v>
      </c>
      <c r="E28" s="44">
        <f>+PMT(B28,C28,-A28)</f>
        <v>2448061.2953540646</v>
      </c>
      <c r="G28" s="42">
        <v>0.26824179456254527</v>
      </c>
      <c r="H28" s="123">
        <v>3</v>
      </c>
      <c r="I28" s="106">
        <v>4000000</v>
      </c>
    </row>
    <row r="31" spans="1:11" ht="15.75" x14ac:dyDescent="0.25">
      <c r="A31" s="207" t="s">
        <v>143</v>
      </c>
      <c r="B31" s="208"/>
      <c r="C31" s="208"/>
      <c r="D31" s="208"/>
      <c r="E31" s="209"/>
      <c r="G31" s="207" t="s">
        <v>144</v>
      </c>
      <c r="H31" s="208"/>
      <c r="I31" s="208"/>
      <c r="J31" s="208"/>
      <c r="K31" s="209"/>
    </row>
    <row r="32" spans="1:11" x14ac:dyDescent="0.25">
      <c r="A32" s="110" t="s">
        <v>129</v>
      </c>
      <c r="B32" s="111" t="s">
        <v>130</v>
      </c>
      <c r="C32" s="112" t="s">
        <v>131</v>
      </c>
      <c r="D32" s="112" t="s">
        <v>132</v>
      </c>
      <c r="E32" s="112" t="s">
        <v>133</v>
      </c>
      <c r="G32" s="110" t="s">
        <v>129</v>
      </c>
      <c r="H32" s="111" t="s">
        <v>130</v>
      </c>
      <c r="I32" s="112" t="s">
        <v>131</v>
      </c>
      <c r="J32" s="112" t="s">
        <v>132</v>
      </c>
      <c r="K32" s="112" t="s">
        <v>133</v>
      </c>
    </row>
    <row r="33" spans="1:11" x14ac:dyDescent="0.25">
      <c r="A33" s="114">
        <v>0</v>
      </c>
      <c r="B33" s="115"/>
      <c r="C33" s="115"/>
      <c r="D33" s="115"/>
      <c r="E33" s="116">
        <f>+A28</f>
        <v>62398248.744508989</v>
      </c>
      <c r="G33" s="114">
        <v>0</v>
      </c>
      <c r="H33" s="115"/>
      <c r="I33" s="115"/>
      <c r="J33" s="115"/>
      <c r="K33" s="116">
        <f>+D14</f>
        <v>7601751.2554910136</v>
      </c>
    </row>
    <row r="34" spans="1:11" x14ac:dyDescent="0.25">
      <c r="A34" s="114">
        <v>1</v>
      </c>
      <c r="B34" s="117">
        <f>+$D$28</f>
        <v>2448061.2953540655</v>
      </c>
      <c r="C34" s="117">
        <f t="shared" ref="C34:C69" si="0">+E33*$B$4</f>
        <v>1247964.9748901797</v>
      </c>
      <c r="D34" s="117">
        <f>+B34-C34</f>
        <v>1200096.3204638858</v>
      </c>
      <c r="E34" s="116">
        <f>+E33-D34</f>
        <v>61198152.424045101</v>
      </c>
      <c r="G34" s="114">
        <v>1</v>
      </c>
      <c r="H34" s="117"/>
      <c r="I34" s="117"/>
      <c r="J34" s="117"/>
      <c r="K34" s="116">
        <f>+K33-J34</f>
        <v>7601751.2554910136</v>
      </c>
    </row>
    <row r="35" spans="1:11" x14ac:dyDescent="0.25">
      <c r="A35" s="114">
        <v>2</v>
      </c>
      <c r="B35" s="117">
        <f t="shared" ref="B35:B69" si="1">+$D$28</f>
        <v>2448061.2953540655</v>
      </c>
      <c r="C35" s="117">
        <f t="shared" si="0"/>
        <v>1223963.0484809021</v>
      </c>
      <c r="D35" s="117">
        <f t="shared" ref="D35:D69" si="2">+B35-C35</f>
        <v>1224098.2468731634</v>
      </c>
      <c r="E35" s="116">
        <f t="shared" ref="E35:E69" si="3">+E34-D35</f>
        <v>59974054.177171938</v>
      </c>
      <c r="G35" s="114">
        <v>2</v>
      </c>
      <c r="H35" s="117"/>
      <c r="I35" s="117"/>
      <c r="J35" s="117"/>
      <c r="K35" s="116">
        <f t="shared" ref="K35:K69" si="4">+K34-J35</f>
        <v>7601751.2554910136</v>
      </c>
    </row>
    <row r="36" spans="1:11" x14ac:dyDescent="0.25">
      <c r="A36" s="114">
        <v>3</v>
      </c>
      <c r="B36" s="117">
        <f t="shared" si="1"/>
        <v>2448061.2953540655</v>
      </c>
      <c r="C36" s="117">
        <f t="shared" si="0"/>
        <v>1199481.0835434387</v>
      </c>
      <c r="D36" s="117">
        <f t="shared" si="2"/>
        <v>1248580.2118106268</v>
      </c>
      <c r="E36" s="116">
        <f t="shared" si="3"/>
        <v>58725473.965361312</v>
      </c>
      <c r="G36" s="114">
        <v>3</v>
      </c>
      <c r="H36" s="117"/>
      <c r="I36" s="117"/>
      <c r="J36" s="117"/>
      <c r="K36" s="116">
        <f t="shared" si="4"/>
        <v>7601751.2554910136</v>
      </c>
    </row>
    <row r="37" spans="1:11" x14ac:dyDescent="0.25">
      <c r="A37" s="114">
        <v>4</v>
      </c>
      <c r="B37" s="117">
        <f t="shared" si="1"/>
        <v>2448061.2953540655</v>
      </c>
      <c r="C37" s="117">
        <f t="shared" si="0"/>
        <v>1174509.4793072264</v>
      </c>
      <c r="D37" s="117">
        <f t="shared" si="2"/>
        <v>1273551.8160468391</v>
      </c>
      <c r="E37" s="116">
        <f t="shared" si="3"/>
        <v>57451922.149314471</v>
      </c>
      <c r="G37" s="114">
        <v>4</v>
      </c>
      <c r="H37" s="117"/>
      <c r="I37" s="117"/>
      <c r="J37" s="117"/>
      <c r="K37" s="116">
        <f t="shared" si="4"/>
        <v>7601751.2554910136</v>
      </c>
    </row>
    <row r="38" spans="1:11" x14ac:dyDescent="0.25">
      <c r="A38" s="114">
        <v>5</v>
      </c>
      <c r="B38" s="117">
        <f t="shared" si="1"/>
        <v>2448061.2953540655</v>
      </c>
      <c r="C38" s="117">
        <f t="shared" si="0"/>
        <v>1149038.4429862895</v>
      </c>
      <c r="D38" s="117">
        <f t="shared" si="2"/>
        <v>1299022.852367776</v>
      </c>
      <c r="E38" s="116">
        <f t="shared" si="3"/>
        <v>56152899.296946697</v>
      </c>
      <c r="G38" s="114">
        <v>5</v>
      </c>
      <c r="H38" s="117"/>
      <c r="I38" s="117"/>
      <c r="J38" s="117"/>
      <c r="K38" s="116">
        <f t="shared" si="4"/>
        <v>7601751.2554910136</v>
      </c>
    </row>
    <row r="39" spans="1:11" x14ac:dyDescent="0.25">
      <c r="A39" s="114">
        <v>6</v>
      </c>
      <c r="B39" s="117">
        <f t="shared" si="1"/>
        <v>2448061.2953540655</v>
      </c>
      <c r="C39" s="117">
        <f t="shared" si="0"/>
        <v>1123057.9859389339</v>
      </c>
      <c r="D39" s="117">
        <f t="shared" si="2"/>
        <v>1325003.3094151316</v>
      </c>
      <c r="E39" s="116">
        <f t="shared" si="3"/>
        <v>54827895.987531565</v>
      </c>
      <c r="G39" s="114">
        <v>6</v>
      </c>
      <c r="H39" s="117"/>
      <c r="I39" s="117"/>
      <c r="J39" s="117"/>
      <c r="K39" s="116">
        <f t="shared" si="4"/>
        <v>7601751.2554910136</v>
      </c>
    </row>
    <row r="40" spans="1:11" x14ac:dyDescent="0.25">
      <c r="A40" s="114">
        <v>7</v>
      </c>
      <c r="B40" s="117">
        <f t="shared" si="1"/>
        <v>2448061.2953540655</v>
      </c>
      <c r="C40" s="117">
        <f t="shared" si="0"/>
        <v>1096557.9197506313</v>
      </c>
      <c r="D40" s="117">
        <f t="shared" si="2"/>
        <v>1351503.3756034342</v>
      </c>
      <c r="E40" s="116">
        <f t="shared" si="3"/>
        <v>53476392.611928128</v>
      </c>
      <c r="G40" s="114">
        <v>7</v>
      </c>
      <c r="H40" s="117"/>
      <c r="I40" s="117"/>
      <c r="J40" s="117"/>
      <c r="K40" s="116">
        <f t="shared" si="4"/>
        <v>7601751.2554910136</v>
      </c>
    </row>
    <row r="41" spans="1:11" x14ac:dyDescent="0.25">
      <c r="A41" s="114">
        <v>8</v>
      </c>
      <c r="B41" s="117">
        <f t="shared" si="1"/>
        <v>2448061.2953540655</v>
      </c>
      <c r="C41" s="117">
        <f t="shared" si="0"/>
        <v>1069527.8522385627</v>
      </c>
      <c r="D41" s="117">
        <f t="shared" si="2"/>
        <v>1378533.4431155028</v>
      </c>
      <c r="E41" s="116">
        <f t="shared" si="3"/>
        <v>52097859.168812625</v>
      </c>
      <c r="G41" s="114">
        <v>8</v>
      </c>
      <c r="H41" s="117"/>
      <c r="I41" s="117"/>
      <c r="J41" s="117"/>
      <c r="K41" s="116">
        <f t="shared" si="4"/>
        <v>7601751.2554910136</v>
      </c>
    </row>
    <row r="42" spans="1:11" x14ac:dyDescent="0.25">
      <c r="A42" s="114">
        <v>9</v>
      </c>
      <c r="B42" s="117">
        <f t="shared" si="1"/>
        <v>2448061.2953540655</v>
      </c>
      <c r="C42" s="117">
        <f t="shared" si="0"/>
        <v>1041957.1833762525</v>
      </c>
      <c r="D42" s="117">
        <f t="shared" si="2"/>
        <v>1406104.1119778128</v>
      </c>
      <c r="E42" s="116">
        <f t="shared" si="3"/>
        <v>50691755.056834809</v>
      </c>
      <c r="G42" s="114">
        <v>9</v>
      </c>
      <c r="H42" s="117"/>
      <c r="I42" s="117"/>
      <c r="J42" s="117"/>
      <c r="K42" s="116">
        <f t="shared" si="4"/>
        <v>7601751.2554910136</v>
      </c>
    </row>
    <row r="43" spans="1:11" x14ac:dyDescent="0.25">
      <c r="A43" s="114">
        <v>10</v>
      </c>
      <c r="B43" s="117">
        <f t="shared" si="1"/>
        <v>2448061.2953540655</v>
      </c>
      <c r="C43" s="117">
        <f t="shared" si="0"/>
        <v>1013835.1011366962</v>
      </c>
      <c r="D43" s="117">
        <f t="shared" si="2"/>
        <v>1434226.1942173694</v>
      </c>
      <c r="E43" s="116">
        <f t="shared" si="3"/>
        <v>49257528.862617441</v>
      </c>
      <c r="G43" s="114">
        <v>10</v>
      </c>
      <c r="H43" s="117"/>
      <c r="I43" s="117"/>
      <c r="J43" s="117"/>
      <c r="K43" s="116">
        <f t="shared" si="4"/>
        <v>7601751.2554910136</v>
      </c>
    </row>
    <row r="44" spans="1:11" x14ac:dyDescent="0.25">
      <c r="A44" s="114">
        <v>11</v>
      </c>
      <c r="B44" s="117">
        <f t="shared" si="1"/>
        <v>2448061.2953540655</v>
      </c>
      <c r="C44" s="117">
        <f t="shared" si="0"/>
        <v>985150.57725234888</v>
      </c>
      <c r="D44" s="117">
        <f t="shared" si="2"/>
        <v>1462910.7181017166</v>
      </c>
      <c r="E44" s="116">
        <f t="shared" si="3"/>
        <v>47794618.144515723</v>
      </c>
      <c r="G44" s="114">
        <v>11</v>
      </c>
      <c r="H44" s="117"/>
      <c r="I44" s="117"/>
      <c r="J44" s="117"/>
      <c r="K44" s="116">
        <f t="shared" si="4"/>
        <v>7601751.2554910136</v>
      </c>
    </row>
    <row r="45" spans="1:11" x14ac:dyDescent="0.25">
      <c r="A45" s="114">
        <v>12</v>
      </c>
      <c r="B45" s="117">
        <f t="shared" si="1"/>
        <v>2448061.2953540655</v>
      </c>
      <c r="C45" s="117">
        <f t="shared" si="0"/>
        <v>955892.36289031443</v>
      </c>
      <c r="D45" s="117">
        <f t="shared" si="2"/>
        <v>1492168.9324637512</v>
      </c>
      <c r="E45" s="127">
        <f t="shared" si="3"/>
        <v>46302449.212051973</v>
      </c>
      <c r="G45" s="114">
        <v>12</v>
      </c>
      <c r="H45" s="117">
        <f>+$I$28</f>
        <v>4000000</v>
      </c>
      <c r="I45" s="117">
        <f>+K44*$G$28</f>
        <v>2039107.398590991</v>
      </c>
      <c r="J45" s="117">
        <f>+H45-I45</f>
        <v>1960892.601409009</v>
      </c>
      <c r="K45" s="127">
        <f t="shared" si="4"/>
        <v>5640858.6540820049</v>
      </c>
    </row>
    <row r="46" spans="1:11" x14ac:dyDescent="0.25">
      <c r="A46" s="114">
        <v>13</v>
      </c>
      <c r="B46" s="117">
        <f t="shared" si="1"/>
        <v>2448061.2953540655</v>
      </c>
      <c r="C46" s="117">
        <f t="shared" si="0"/>
        <v>926048.98424103949</v>
      </c>
      <c r="D46" s="117">
        <f t="shared" si="2"/>
        <v>1522012.311113026</v>
      </c>
      <c r="E46" s="127">
        <f t="shared" si="3"/>
        <v>44780436.900938943</v>
      </c>
      <c r="G46" s="114">
        <v>13</v>
      </c>
      <c r="H46" s="117"/>
      <c r="I46" s="117"/>
      <c r="J46" s="117"/>
      <c r="K46" s="127">
        <f t="shared" si="4"/>
        <v>5640858.6540820049</v>
      </c>
    </row>
    <row r="47" spans="1:11" x14ac:dyDescent="0.25">
      <c r="A47" s="114">
        <v>14</v>
      </c>
      <c r="B47" s="117">
        <f t="shared" si="1"/>
        <v>2448061.2953540655</v>
      </c>
      <c r="C47" s="117">
        <f t="shared" si="0"/>
        <v>895608.73801877885</v>
      </c>
      <c r="D47" s="117">
        <f t="shared" si="2"/>
        <v>1552452.5573352866</v>
      </c>
      <c r="E47" s="127">
        <f t="shared" si="3"/>
        <v>43227984.343603656</v>
      </c>
      <c r="G47" s="114">
        <v>14</v>
      </c>
      <c r="H47" s="117"/>
      <c r="I47" s="117"/>
      <c r="J47" s="117"/>
      <c r="K47" s="127">
        <f t="shared" si="4"/>
        <v>5640858.6540820049</v>
      </c>
    </row>
    <row r="48" spans="1:11" x14ac:dyDescent="0.25">
      <c r="A48" s="114">
        <v>15</v>
      </c>
      <c r="B48" s="117">
        <f t="shared" si="1"/>
        <v>2448061.2953540655</v>
      </c>
      <c r="C48" s="117">
        <f t="shared" si="0"/>
        <v>864559.6868720731</v>
      </c>
      <c r="D48" s="117">
        <f t="shared" si="2"/>
        <v>1583501.6084819925</v>
      </c>
      <c r="E48" s="127">
        <f t="shared" si="3"/>
        <v>41644482.73512166</v>
      </c>
      <c r="G48" s="114">
        <v>15</v>
      </c>
      <c r="H48" s="117"/>
      <c r="I48" s="117"/>
      <c r="J48" s="117"/>
      <c r="K48" s="127">
        <f t="shared" si="4"/>
        <v>5640858.6540820049</v>
      </c>
    </row>
    <row r="49" spans="1:11" x14ac:dyDescent="0.25">
      <c r="A49" s="114">
        <v>16</v>
      </c>
      <c r="B49" s="117">
        <f t="shared" si="1"/>
        <v>2448061.2953540655</v>
      </c>
      <c r="C49" s="117">
        <f t="shared" si="0"/>
        <v>832889.65470243327</v>
      </c>
      <c r="D49" s="117">
        <f t="shared" si="2"/>
        <v>1615171.6406516321</v>
      </c>
      <c r="E49" s="127">
        <f t="shared" si="3"/>
        <v>40029311.094470024</v>
      </c>
      <c r="G49" s="114">
        <v>16</v>
      </c>
      <c r="H49" s="117"/>
      <c r="I49" s="117"/>
      <c r="J49" s="117"/>
      <c r="K49" s="127">
        <f t="shared" si="4"/>
        <v>5640858.6540820049</v>
      </c>
    </row>
    <row r="50" spans="1:11" x14ac:dyDescent="0.25">
      <c r="A50" s="114">
        <v>17</v>
      </c>
      <c r="B50" s="117">
        <f t="shared" si="1"/>
        <v>2448061.2953540655</v>
      </c>
      <c r="C50" s="117">
        <f t="shared" si="0"/>
        <v>800586.22188940051</v>
      </c>
      <c r="D50" s="117">
        <f t="shared" si="2"/>
        <v>1647475.0734646651</v>
      </c>
      <c r="E50" s="127">
        <f t="shared" si="3"/>
        <v>38381836.021005362</v>
      </c>
      <c r="G50" s="114">
        <v>17</v>
      </c>
      <c r="H50" s="117"/>
      <c r="I50" s="117"/>
      <c r="J50" s="117"/>
      <c r="K50" s="127">
        <f t="shared" si="4"/>
        <v>5640858.6540820049</v>
      </c>
    </row>
    <row r="51" spans="1:11" x14ac:dyDescent="0.25">
      <c r="A51" s="114">
        <v>18</v>
      </c>
      <c r="B51" s="117">
        <f t="shared" si="1"/>
        <v>2448061.2953540655</v>
      </c>
      <c r="C51" s="117">
        <f t="shared" si="0"/>
        <v>767636.72042010725</v>
      </c>
      <c r="D51" s="117">
        <f t="shared" si="2"/>
        <v>1680424.5749339582</v>
      </c>
      <c r="E51" s="127">
        <f t="shared" si="3"/>
        <v>36701411.446071401</v>
      </c>
      <c r="G51" s="114">
        <v>18</v>
      </c>
      <c r="H51" s="117"/>
      <c r="I51" s="117"/>
      <c r="J51" s="117"/>
      <c r="K51" s="127">
        <f t="shared" si="4"/>
        <v>5640858.6540820049</v>
      </c>
    </row>
    <row r="52" spans="1:11" x14ac:dyDescent="0.25">
      <c r="A52" s="114">
        <v>19</v>
      </c>
      <c r="B52" s="117">
        <f t="shared" si="1"/>
        <v>2448061.2953540655</v>
      </c>
      <c r="C52" s="117">
        <f t="shared" si="0"/>
        <v>734028.22892142809</v>
      </c>
      <c r="D52" s="117">
        <f t="shared" si="2"/>
        <v>1714033.0664326374</v>
      </c>
      <c r="E52" s="127">
        <f t="shared" si="3"/>
        <v>34987378.379638761</v>
      </c>
      <c r="G52" s="114">
        <v>19</v>
      </c>
      <c r="H52" s="117"/>
      <c r="I52" s="117"/>
      <c r="J52" s="117"/>
      <c r="K52" s="127">
        <f t="shared" si="4"/>
        <v>5640858.6540820049</v>
      </c>
    </row>
    <row r="53" spans="1:11" x14ac:dyDescent="0.25">
      <c r="A53" s="114">
        <v>20</v>
      </c>
      <c r="B53" s="117">
        <f t="shared" si="1"/>
        <v>2448061.2953540655</v>
      </c>
      <c r="C53" s="117">
        <f t="shared" si="0"/>
        <v>699747.56759277522</v>
      </c>
      <c r="D53" s="117">
        <f t="shared" si="2"/>
        <v>1748313.7277612903</v>
      </c>
      <c r="E53" s="127">
        <f t="shared" si="3"/>
        <v>33239064.65187747</v>
      </c>
      <c r="G53" s="114">
        <v>20</v>
      </c>
      <c r="H53" s="117"/>
      <c r="I53" s="117"/>
      <c r="J53" s="117"/>
      <c r="K53" s="127">
        <f t="shared" si="4"/>
        <v>5640858.6540820049</v>
      </c>
    </row>
    <row r="54" spans="1:11" x14ac:dyDescent="0.25">
      <c r="A54" s="114">
        <v>21</v>
      </c>
      <c r="B54" s="117">
        <f t="shared" si="1"/>
        <v>2448061.2953540655</v>
      </c>
      <c r="C54" s="117">
        <f t="shared" si="0"/>
        <v>664781.29303754948</v>
      </c>
      <c r="D54" s="117">
        <f t="shared" si="2"/>
        <v>1783280.0023165159</v>
      </c>
      <c r="E54" s="127">
        <f t="shared" si="3"/>
        <v>31455784.649560954</v>
      </c>
      <c r="G54" s="114">
        <v>21</v>
      </c>
      <c r="H54" s="117"/>
      <c r="I54" s="117"/>
      <c r="J54" s="117"/>
      <c r="K54" s="127">
        <f t="shared" si="4"/>
        <v>5640858.6540820049</v>
      </c>
    </row>
    <row r="55" spans="1:11" x14ac:dyDescent="0.25">
      <c r="A55" s="114">
        <v>22</v>
      </c>
      <c r="B55" s="117">
        <f t="shared" si="1"/>
        <v>2448061.2953540655</v>
      </c>
      <c r="C55" s="117">
        <f t="shared" si="0"/>
        <v>629115.69299121911</v>
      </c>
      <c r="D55" s="117">
        <f t="shared" si="2"/>
        <v>1818945.6023628465</v>
      </c>
      <c r="E55" s="127">
        <f t="shared" si="3"/>
        <v>29636839.047198109</v>
      </c>
      <c r="G55" s="114">
        <v>22</v>
      </c>
      <c r="H55" s="117"/>
      <c r="I55" s="117"/>
      <c r="J55" s="117"/>
      <c r="K55" s="127">
        <f t="shared" si="4"/>
        <v>5640858.6540820049</v>
      </c>
    </row>
    <row r="56" spans="1:11" x14ac:dyDescent="0.25">
      <c r="A56" s="114">
        <v>23</v>
      </c>
      <c r="B56" s="117">
        <f t="shared" si="1"/>
        <v>2448061.2953540655</v>
      </c>
      <c r="C56" s="117">
        <f t="shared" si="0"/>
        <v>592736.78094396216</v>
      </c>
      <c r="D56" s="117">
        <f t="shared" si="2"/>
        <v>1855324.5144101032</v>
      </c>
      <c r="E56" s="127">
        <f t="shared" si="3"/>
        <v>27781514.532788005</v>
      </c>
      <c r="G56" s="114">
        <v>23</v>
      </c>
      <c r="H56" s="117"/>
      <c r="I56" s="117"/>
      <c r="J56" s="117"/>
      <c r="K56" s="127">
        <f t="shared" si="4"/>
        <v>5640858.6540820049</v>
      </c>
    </row>
    <row r="57" spans="1:11" x14ac:dyDescent="0.25">
      <c r="A57" s="114">
        <v>24</v>
      </c>
      <c r="B57" s="117">
        <f t="shared" si="1"/>
        <v>2448061.2953540655</v>
      </c>
      <c r="C57" s="117">
        <f t="shared" si="0"/>
        <v>555630.29065576009</v>
      </c>
      <c r="D57" s="117">
        <f t="shared" si="2"/>
        <v>1892431.0046983054</v>
      </c>
      <c r="E57" s="127">
        <f t="shared" si="3"/>
        <v>25889083.528089698</v>
      </c>
      <c r="G57" s="114">
        <v>24</v>
      </c>
      <c r="H57" s="117">
        <f>+$I$28</f>
        <v>4000000</v>
      </c>
      <c r="I57" s="117">
        <f>+K56*$G$28</f>
        <v>1513114.0482446207</v>
      </c>
      <c r="J57" s="117">
        <f>+H57-I57</f>
        <v>2486885.9517553793</v>
      </c>
      <c r="K57" s="127">
        <f t="shared" si="4"/>
        <v>3153972.7023266256</v>
      </c>
    </row>
    <row r="58" spans="1:11" x14ac:dyDescent="0.25">
      <c r="A58" s="114">
        <v>25</v>
      </c>
      <c r="B58" s="117">
        <f t="shared" si="1"/>
        <v>2448061.2953540655</v>
      </c>
      <c r="C58" s="117">
        <f t="shared" si="0"/>
        <v>517781.67056179396</v>
      </c>
      <c r="D58" s="117">
        <f t="shared" si="2"/>
        <v>1930279.6247922715</v>
      </c>
      <c r="E58" s="127">
        <f t="shared" si="3"/>
        <v>23958803.903297428</v>
      </c>
      <c r="G58" s="114">
        <v>25</v>
      </c>
      <c r="H58" s="117"/>
      <c r="I58" s="117"/>
      <c r="J58" s="117"/>
      <c r="K58" s="127">
        <f t="shared" si="4"/>
        <v>3153972.7023266256</v>
      </c>
    </row>
    <row r="59" spans="1:11" x14ac:dyDescent="0.25">
      <c r="A59" s="114">
        <v>26</v>
      </c>
      <c r="B59" s="117">
        <f t="shared" si="1"/>
        <v>2448061.2953540655</v>
      </c>
      <c r="C59" s="117">
        <f t="shared" si="0"/>
        <v>479176.07806594856</v>
      </c>
      <c r="D59" s="117">
        <f t="shared" si="2"/>
        <v>1968885.2172881169</v>
      </c>
      <c r="E59" s="127">
        <f t="shared" si="3"/>
        <v>21989918.68600931</v>
      </c>
      <c r="G59" s="114">
        <v>26</v>
      </c>
      <c r="H59" s="117"/>
      <c r="I59" s="117"/>
      <c r="J59" s="117"/>
      <c r="K59" s="127">
        <f t="shared" si="4"/>
        <v>3153972.7023266256</v>
      </c>
    </row>
    <row r="60" spans="1:11" x14ac:dyDescent="0.25">
      <c r="A60" s="114">
        <v>27</v>
      </c>
      <c r="B60" s="117">
        <f t="shared" si="1"/>
        <v>2448061.2953540655</v>
      </c>
      <c r="C60" s="117">
        <f t="shared" si="0"/>
        <v>439798.37372018624</v>
      </c>
      <c r="D60" s="117">
        <f t="shared" si="2"/>
        <v>2008262.9216338792</v>
      </c>
      <c r="E60" s="127">
        <f t="shared" si="3"/>
        <v>19981655.76437543</v>
      </c>
      <c r="G60" s="114">
        <v>27</v>
      </c>
      <c r="H60" s="117"/>
      <c r="I60" s="117"/>
      <c r="J60" s="117"/>
      <c r="K60" s="127">
        <f t="shared" si="4"/>
        <v>3153972.7023266256</v>
      </c>
    </row>
    <row r="61" spans="1:11" x14ac:dyDescent="0.25">
      <c r="A61" s="114">
        <v>28</v>
      </c>
      <c r="B61" s="117">
        <f t="shared" si="1"/>
        <v>2448061.2953540655</v>
      </c>
      <c r="C61" s="117">
        <f t="shared" si="0"/>
        <v>399633.11528750858</v>
      </c>
      <c r="D61" s="117">
        <f t="shared" si="2"/>
        <v>2048428.1800665569</v>
      </c>
      <c r="E61" s="127">
        <f t="shared" si="3"/>
        <v>17933227.584308874</v>
      </c>
      <c r="G61" s="114">
        <v>28</v>
      </c>
      <c r="H61" s="117"/>
      <c r="I61" s="117"/>
      <c r="J61" s="117"/>
      <c r="K61" s="127">
        <f t="shared" si="4"/>
        <v>3153972.7023266256</v>
      </c>
    </row>
    <row r="62" spans="1:11" x14ac:dyDescent="0.25">
      <c r="A62" s="114">
        <v>29</v>
      </c>
      <c r="B62" s="117">
        <f t="shared" si="1"/>
        <v>2448061.2953540655</v>
      </c>
      <c r="C62" s="117">
        <f t="shared" si="0"/>
        <v>358664.5516861775</v>
      </c>
      <c r="D62" s="117">
        <f t="shared" si="2"/>
        <v>2089396.743667888</v>
      </c>
      <c r="E62" s="127">
        <f t="shared" si="3"/>
        <v>15843830.840640986</v>
      </c>
      <c r="G62" s="114">
        <v>29</v>
      </c>
      <c r="H62" s="117"/>
      <c r="I62" s="117"/>
      <c r="J62" s="117"/>
      <c r="K62" s="127">
        <f t="shared" si="4"/>
        <v>3153972.7023266256</v>
      </c>
    </row>
    <row r="63" spans="1:11" x14ac:dyDescent="0.25">
      <c r="A63" s="114">
        <v>30</v>
      </c>
      <c r="B63" s="117">
        <f t="shared" si="1"/>
        <v>2448061.2953540655</v>
      </c>
      <c r="C63" s="117">
        <f t="shared" si="0"/>
        <v>316876.61681281973</v>
      </c>
      <c r="D63" s="117">
        <f t="shared" si="2"/>
        <v>2131184.6785412459</v>
      </c>
      <c r="E63" s="127">
        <f t="shared" si="3"/>
        <v>13712646.162099741</v>
      </c>
      <c r="G63" s="114">
        <v>30</v>
      </c>
      <c r="H63" s="117"/>
      <c r="I63" s="117"/>
      <c r="J63" s="117"/>
      <c r="K63" s="127">
        <f t="shared" si="4"/>
        <v>3153972.7023266256</v>
      </c>
    </row>
    <row r="64" spans="1:11" x14ac:dyDescent="0.25">
      <c r="A64" s="114">
        <v>31</v>
      </c>
      <c r="B64" s="117">
        <f t="shared" si="1"/>
        <v>2448061.2953540655</v>
      </c>
      <c r="C64" s="117">
        <f t="shared" si="0"/>
        <v>274252.92324199481</v>
      </c>
      <c r="D64" s="117">
        <f t="shared" si="2"/>
        <v>2173808.3721120707</v>
      </c>
      <c r="E64" s="127">
        <f t="shared" si="3"/>
        <v>11538837.78998767</v>
      </c>
      <c r="G64" s="114">
        <v>31</v>
      </c>
      <c r="H64" s="117"/>
      <c r="I64" s="117"/>
      <c r="J64" s="117"/>
      <c r="K64" s="127">
        <f t="shared" si="4"/>
        <v>3153972.7023266256</v>
      </c>
    </row>
    <row r="65" spans="1:11" x14ac:dyDescent="0.25">
      <c r="A65" s="114">
        <v>32</v>
      </c>
      <c r="B65" s="117">
        <f t="shared" si="1"/>
        <v>2448061.2953540655</v>
      </c>
      <c r="C65" s="117">
        <f t="shared" si="0"/>
        <v>230776.75579975342</v>
      </c>
      <c r="D65" s="117">
        <f t="shared" si="2"/>
        <v>2217284.5395543119</v>
      </c>
      <c r="E65" s="127">
        <f t="shared" si="3"/>
        <v>9321553.2504333593</v>
      </c>
      <c r="G65" s="114">
        <v>32</v>
      </c>
      <c r="H65" s="117"/>
      <c r="I65" s="117"/>
      <c r="J65" s="117"/>
      <c r="K65" s="127">
        <f t="shared" si="4"/>
        <v>3153972.7023266256</v>
      </c>
    </row>
    <row r="66" spans="1:11" x14ac:dyDescent="0.25">
      <c r="A66" s="114">
        <v>33</v>
      </c>
      <c r="B66" s="117">
        <f t="shared" si="1"/>
        <v>2448061.2953540655</v>
      </c>
      <c r="C66" s="117">
        <f t="shared" si="0"/>
        <v>186431.06500866718</v>
      </c>
      <c r="D66" s="117">
        <f t="shared" si="2"/>
        <v>2261630.2303453982</v>
      </c>
      <c r="E66" s="127">
        <f t="shared" si="3"/>
        <v>7059923.0200879611</v>
      </c>
      <c r="G66" s="114">
        <v>33</v>
      </c>
      <c r="H66" s="117"/>
      <c r="I66" s="117"/>
      <c r="J66" s="117"/>
      <c r="K66" s="127">
        <f t="shared" si="4"/>
        <v>3153972.7023266256</v>
      </c>
    </row>
    <row r="67" spans="1:11" x14ac:dyDescent="0.25">
      <c r="A67" s="114">
        <v>34</v>
      </c>
      <c r="B67" s="117">
        <f t="shared" si="1"/>
        <v>2448061.2953540655</v>
      </c>
      <c r="C67" s="117">
        <f t="shared" si="0"/>
        <v>141198.46040175922</v>
      </c>
      <c r="D67" s="117">
        <f t="shared" si="2"/>
        <v>2306862.8349523065</v>
      </c>
      <c r="E67" s="127">
        <f t="shared" si="3"/>
        <v>4753060.1851356551</v>
      </c>
      <c r="G67" s="114">
        <v>34</v>
      </c>
      <c r="H67" s="117"/>
      <c r="I67" s="117"/>
      <c r="J67" s="117"/>
      <c r="K67" s="127">
        <f t="shared" si="4"/>
        <v>3153972.7023266256</v>
      </c>
    </row>
    <row r="68" spans="1:11" x14ac:dyDescent="0.25">
      <c r="A68" s="114">
        <v>35</v>
      </c>
      <c r="B68" s="117">
        <f t="shared" si="1"/>
        <v>2448061.2953540655</v>
      </c>
      <c r="C68" s="117">
        <f t="shared" si="0"/>
        <v>95061.203702713101</v>
      </c>
      <c r="D68" s="117">
        <f t="shared" si="2"/>
        <v>2353000.0916513526</v>
      </c>
      <c r="E68" s="127">
        <f t="shared" si="3"/>
        <v>2400060.0934843025</v>
      </c>
      <c r="G68" s="114">
        <v>35</v>
      </c>
      <c r="H68" s="117"/>
      <c r="I68" s="117"/>
      <c r="J68" s="117"/>
      <c r="K68" s="127">
        <f t="shared" si="4"/>
        <v>3153972.7023266256</v>
      </c>
    </row>
    <row r="69" spans="1:11" x14ac:dyDescent="0.25">
      <c r="A69" s="114">
        <v>36</v>
      </c>
      <c r="B69" s="117">
        <f t="shared" si="1"/>
        <v>2448061.2953540655</v>
      </c>
      <c r="C69" s="117">
        <f t="shared" si="0"/>
        <v>48001.201869686054</v>
      </c>
      <c r="D69" s="117">
        <f t="shared" si="2"/>
        <v>2400060.0934843794</v>
      </c>
      <c r="E69" s="118">
        <f t="shared" si="3"/>
        <v>-7.6834112405776978E-8</v>
      </c>
      <c r="G69" s="114">
        <v>36</v>
      </c>
      <c r="H69" s="117">
        <f>+$I$28</f>
        <v>4000000</v>
      </c>
      <c r="I69" s="117">
        <f>+K68*$G$28</f>
        <v>846027.29767337441</v>
      </c>
      <c r="J69" s="117">
        <f>+H69-I69</f>
        <v>3153972.7023266256</v>
      </c>
      <c r="K69" s="118">
        <f t="shared" si="4"/>
        <v>0</v>
      </c>
    </row>
    <row r="71" spans="1:11" x14ac:dyDescent="0.25">
      <c r="A71" s="126" t="s">
        <v>145</v>
      </c>
    </row>
    <row r="72" spans="1:11" ht="15.75" x14ac:dyDescent="0.25">
      <c r="A72" s="125" t="s">
        <v>146</v>
      </c>
    </row>
    <row r="74" spans="1:11" ht="15.75" x14ac:dyDescent="0.25">
      <c r="A74" s="210" t="s">
        <v>147</v>
      </c>
      <c r="B74" s="210"/>
      <c r="C74" s="210"/>
      <c r="D74" s="210"/>
      <c r="E74" s="210"/>
    </row>
    <row r="75" spans="1:11" x14ac:dyDescent="0.25">
      <c r="A75" s="110" t="s">
        <v>129</v>
      </c>
      <c r="B75" s="111" t="s">
        <v>130</v>
      </c>
      <c r="C75" s="112" t="s">
        <v>131</v>
      </c>
      <c r="D75" s="112" t="s">
        <v>132</v>
      </c>
      <c r="E75" s="112" t="s">
        <v>133</v>
      </c>
    </row>
    <row r="76" spans="1:11" x14ac:dyDescent="0.25">
      <c r="A76" s="114">
        <v>0</v>
      </c>
      <c r="B76" s="115"/>
      <c r="C76" s="115"/>
      <c r="D76" s="115"/>
      <c r="E76" s="116">
        <f>+E33+K33</f>
        <v>70000000</v>
      </c>
    </row>
    <row r="77" spans="1:11" x14ac:dyDescent="0.25">
      <c r="A77" s="114">
        <v>1</v>
      </c>
      <c r="B77" s="117">
        <f t="shared" ref="B77:B112" si="5">+B34+H34</f>
        <v>2448061.2953540655</v>
      </c>
      <c r="C77" s="117">
        <f>+E76*$B$4</f>
        <v>1400000</v>
      </c>
      <c r="D77" s="117">
        <f t="shared" ref="D77:D112" si="6">+D34+J34</f>
        <v>1200096.3204638858</v>
      </c>
      <c r="E77" s="116">
        <f>+E34+K34</f>
        <v>68799903.679536119</v>
      </c>
    </row>
    <row r="78" spans="1:11" x14ac:dyDescent="0.25">
      <c r="A78" s="114">
        <v>2</v>
      </c>
      <c r="B78" s="117">
        <f t="shared" si="5"/>
        <v>2448061.2953540655</v>
      </c>
      <c r="C78" s="117">
        <f t="shared" ref="C78:C112" si="7">+E77*$B$4</f>
        <v>1375998.0735907224</v>
      </c>
      <c r="D78" s="117">
        <f t="shared" si="6"/>
        <v>1224098.2468731634</v>
      </c>
      <c r="E78" s="116">
        <f t="shared" ref="E78:E112" si="8">+E77-D78</f>
        <v>67575805.432662949</v>
      </c>
    </row>
    <row r="79" spans="1:11" x14ac:dyDescent="0.25">
      <c r="A79" s="114">
        <v>3</v>
      </c>
      <c r="B79" s="117">
        <f t="shared" si="5"/>
        <v>2448061.2953540655</v>
      </c>
      <c r="C79" s="117">
        <f t="shared" si="7"/>
        <v>1351516.108653259</v>
      </c>
      <c r="D79" s="117">
        <f t="shared" si="6"/>
        <v>1248580.2118106268</v>
      </c>
      <c r="E79" s="116">
        <f t="shared" si="8"/>
        <v>66327225.220852323</v>
      </c>
    </row>
    <row r="80" spans="1:11" x14ac:dyDescent="0.25">
      <c r="A80" s="114">
        <v>4</v>
      </c>
      <c r="B80" s="117">
        <f t="shared" si="5"/>
        <v>2448061.2953540655</v>
      </c>
      <c r="C80" s="117">
        <f t="shared" si="7"/>
        <v>1326544.5044170464</v>
      </c>
      <c r="D80" s="117">
        <f t="shared" si="6"/>
        <v>1273551.8160468391</v>
      </c>
      <c r="E80" s="116">
        <f t="shared" si="8"/>
        <v>65053673.404805481</v>
      </c>
    </row>
    <row r="81" spans="1:5" x14ac:dyDescent="0.25">
      <c r="A81" s="114">
        <v>5</v>
      </c>
      <c r="B81" s="117">
        <f t="shared" si="5"/>
        <v>2448061.2953540655</v>
      </c>
      <c r="C81" s="117">
        <f t="shared" si="7"/>
        <v>1301073.4680961096</v>
      </c>
      <c r="D81" s="117">
        <f t="shared" si="6"/>
        <v>1299022.852367776</v>
      </c>
      <c r="E81" s="116">
        <f t="shared" si="8"/>
        <v>63754650.552437708</v>
      </c>
    </row>
    <row r="82" spans="1:5" x14ac:dyDescent="0.25">
      <c r="A82" s="114">
        <v>6</v>
      </c>
      <c r="B82" s="117">
        <f t="shared" si="5"/>
        <v>2448061.2953540655</v>
      </c>
      <c r="C82" s="117">
        <f t="shared" si="7"/>
        <v>1275093.0110487542</v>
      </c>
      <c r="D82" s="117">
        <f t="shared" si="6"/>
        <v>1325003.3094151316</v>
      </c>
      <c r="E82" s="116">
        <f t="shared" si="8"/>
        <v>62429647.243022576</v>
      </c>
    </row>
    <row r="83" spans="1:5" x14ac:dyDescent="0.25">
      <c r="A83" s="114">
        <v>7</v>
      </c>
      <c r="B83" s="117">
        <f t="shared" si="5"/>
        <v>2448061.2953540655</v>
      </c>
      <c r="C83" s="117">
        <f t="shared" si="7"/>
        <v>1248592.9448604516</v>
      </c>
      <c r="D83" s="117">
        <f t="shared" si="6"/>
        <v>1351503.3756034342</v>
      </c>
      <c r="E83" s="116">
        <f t="shared" si="8"/>
        <v>61078143.867419139</v>
      </c>
    </row>
    <row r="84" spans="1:5" x14ac:dyDescent="0.25">
      <c r="A84" s="114">
        <v>8</v>
      </c>
      <c r="B84" s="117">
        <f t="shared" si="5"/>
        <v>2448061.2953540655</v>
      </c>
      <c r="C84" s="117">
        <f t="shared" si="7"/>
        <v>1221562.8773483827</v>
      </c>
      <c r="D84" s="117">
        <f t="shared" si="6"/>
        <v>1378533.4431155028</v>
      </c>
      <c r="E84" s="116">
        <f t="shared" si="8"/>
        <v>59699610.424303636</v>
      </c>
    </row>
    <row r="85" spans="1:5" x14ac:dyDescent="0.25">
      <c r="A85" s="114">
        <v>9</v>
      </c>
      <c r="B85" s="117">
        <f t="shared" si="5"/>
        <v>2448061.2953540655</v>
      </c>
      <c r="C85" s="117">
        <f t="shared" si="7"/>
        <v>1193992.2084860727</v>
      </c>
      <c r="D85" s="117">
        <f t="shared" si="6"/>
        <v>1406104.1119778128</v>
      </c>
      <c r="E85" s="116">
        <f t="shared" si="8"/>
        <v>58293506.31232582</v>
      </c>
    </row>
    <row r="86" spans="1:5" x14ac:dyDescent="0.25">
      <c r="A86" s="114">
        <v>10</v>
      </c>
      <c r="B86" s="117">
        <f t="shared" si="5"/>
        <v>2448061.2953540655</v>
      </c>
      <c r="C86" s="117">
        <f t="shared" si="7"/>
        <v>1165870.1262465164</v>
      </c>
      <c r="D86" s="117">
        <f t="shared" si="6"/>
        <v>1434226.1942173694</v>
      </c>
      <c r="E86" s="116">
        <f t="shared" si="8"/>
        <v>56859280.118108451</v>
      </c>
    </row>
    <row r="87" spans="1:5" x14ac:dyDescent="0.25">
      <c r="A87" s="114">
        <v>11</v>
      </c>
      <c r="B87" s="117">
        <f t="shared" si="5"/>
        <v>2448061.2953540655</v>
      </c>
      <c r="C87" s="117">
        <f t="shared" si="7"/>
        <v>1137185.602362169</v>
      </c>
      <c r="D87" s="117">
        <f t="shared" si="6"/>
        <v>1462910.7181017166</v>
      </c>
      <c r="E87" s="116">
        <f t="shared" si="8"/>
        <v>55396369.400006734</v>
      </c>
    </row>
    <row r="88" spans="1:5" x14ac:dyDescent="0.25">
      <c r="A88" s="128">
        <v>12</v>
      </c>
      <c r="B88" s="129">
        <f t="shared" si="5"/>
        <v>6448061.2953540655</v>
      </c>
      <c r="C88" s="129">
        <f t="shared" si="7"/>
        <v>1107927.3880001346</v>
      </c>
      <c r="D88" s="129">
        <f t="shared" si="6"/>
        <v>3453061.5338727599</v>
      </c>
      <c r="E88" s="130">
        <f t="shared" si="8"/>
        <v>51943307.866133973</v>
      </c>
    </row>
    <row r="89" spans="1:5" x14ac:dyDescent="0.25">
      <c r="A89" s="114">
        <v>13</v>
      </c>
      <c r="B89" s="117">
        <f t="shared" si="5"/>
        <v>2448061.2953540655</v>
      </c>
      <c r="C89" s="117">
        <f t="shared" si="7"/>
        <v>1038866.1573226795</v>
      </c>
      <c r="D89" s="117">
        <f t="shared" si="6"/>
        <v>1522012.311113026</v>
      </c>
      <c r="E89" s="127">
        <f t="shared" si="8"/>
        <v>50421295.555020943</v>
      </c>
    </row>
    <row r="90" spans="1:5" x14ac:dyDescent="0.25">
      <c r="A90" s="114">
        <v>14</v>
      </c>
      <c r="B90" s="117">
        <f t="shared" si="5"/>
        <v>2448061.2953540655</v>
      </c>
      <c r="C90" s="117">
        <f t="shared" si="7"/>
        <v>1008425.9111004189</v>
      </c>
      <c r="D90" s="117">
        <f t="shared" si="6"/>
        <v>1552452.5573352866</v>
      </c>
      <c r="E90" s="127">
        <f t="shared" si="8"/>
        <v>48868842.997685656</v>
      </c>
    </row>
    <row r="91" spans="1:5" x14ac:dyDescent="0.25">
      <c r="A91" s="114">
        <v>15</v>
      </c>
      <c r="B91" s="117">
        <f t="shared" si="5"/>
        <v>2448061.2953540655</v>
      </c>
      <c r="C91" s="117">
        <f t="shared" si="7"/>
        <v>977376.85995371314</v>
      </c>
      <c r="D91" s="117">
        <f t="shared" si="6"/>
        <v>1583501.6084819925</v>
      </c>
      <c r="E91" s="127">
        <f t="shared" si="8"/>
        <v>47285341.38920366</v>
      </c>
    </row>
    <row r="92" spans="1:5" x14ac:dyDescent="0.25">
      <c r="A92" s="114">
        <v>16</v>
      </c>
      <c r="B92" s="117">
        <f t="shared" si="5"/>
        <v>2448061.2953540655</v>
      </c>
      <c r="C92" s="117">
        <f t="shared" si="7"/>
        <v>945706.82778407319</v>
      </c>
      <c r="D92" s="117">
        <f t="shared" si="6"/>
        <v>1615171.6406516321</v>
      </c>
      <c r="E92" s="127">
        <f t="shared" si="8"/>
        <v>45670169.748552024</v>
      </c>
    </row>
    <row r="93" spans="1:5" x14ac:dyDescent="0.25">
      <c r="A93" s="114">
        <v>17</v>
      </c>
      <c r="B93" s="117">
        <f t="shared" si="5"/>
        <v>2448061.2953540655</v>
      </c>
      <c r="C93" s="117">
        <f t="shared" si="7"/>
        <v>913403.39497104054</v>
      </c>
      <c r="D93" s="117">
        <f t="shared" si="6"/>
        <v>1647475.0734646651</v>
      </c>
      <c r="E93" s="127">
        <f t="shared" si="8"/>
        <v>44022694.675087363</v>
      </c>
    </row>
    <row r="94" spans="1:5" x14ac:dyDescent="0.25">
      <c r="A94" s="114">
        <v>18</v>
      </c>
      <c r="B94" s="117">
        <f t="shared" si="5"/>
        <v>2448061.2953540655</v>
      </c>
      <c r="C94" s="117">
        <f t="shared" si="7"/>
        <v>880453.89350174728</v>
      </c>
      <c r="D94" s="117">
        <f t="shared" si="6"/>
        <v>1680424.5749339582</v>
      </c>
      <c r="E94" s="127">
        <f t="shared" si="8"/>
        <v>42342270.100153401</v>
      </c>
    </row>
    <row r="95" spans="1:5" x14ac:dyDescent="0.25">
      <c r="A95" s="114">
        <v>19</v>
      </c>
      <c r="B95" s="117">
        <f t="shared" si="5"/>
        <v>2448061.2953540655</v>
      </c>
      <c r="C95" s="117">
        <f t="shared" si="7"/>
        <v>846845.40200306801</v>
      </c>
      <c r="D95" s="117">
        <f t="shared" si="6"/>
        <v>1714033.0664326374</v>
      </c>
      <c r="E95" s="127">
        <f t="shared" si="8"/>
        <v>40628237.033720762</v>
      </c>
    </row>
    <row r="96" spans="1:5" x14ac:dyDescent="0.25">
      <c r="A96" s="114">
        <v>20</v>
      </c>
      <c r="B96" s="117">
        <f t="shared" si="5"/>
        <v>2448061.2953540655</v>
      </c>
      <c r="C96" s="117">
        <f t="shared" si="7"/>
        <v>812564.74067441525</v>
      </c>
      <c r="D96" s="117">
        <f t="shared" si="6"/>
        <v>1748313.7277612903</v>
      </c>
      <c r="E96" s="127">
        <f t="shared" si="8"/>
        <v>38879923.305959471</v>
      </c>
    </row>
    <row r="97" spans="1:5" x14ac:dyDescent="0.25">
      <c r="A97" s="114">
        <v>21</v>
      </c>
      <c r="B97" s="117">
        <f t="shared" si="5"/>
        <v>2448061.2953540655</v>
      </c>
      <c r="C97" s="117">
        <f t="shared" si="7"/>
        <v>777598.4661191894</v>
      </c>
      <c r="D97" s="117">
        <f t="shared" si="6"/>
        <v>1783280.0023165159</v>
      </c>
      <c r="E97" s="127">
        <f t="shared" si="8"/>
        <v>37096643.303642958</v>
      </c>
    </row>
    <row r="98" spans="1:5" x14ac:dyDescent="0.25">
      <c r="A98" s="114">
        <v>22</v>
      </c>
      <c r="B98" s="117">
        <f t="shared" si="5"/>
        <v>2448061.2953540655</v>
      </c>
      <c r="C98" s="117">
        <f t="shared" si="7"/>
        <v>741932.86607285915</v>
      </c>
      <c r="D98" s="117">
        <f t="shared" si="6"/>
        <v>1818945.6023628465</v>
      </c>
      <c r="E98" s="127">
        <f t="shared" si="8"/>
        <v>35277697.70128011</v>
      </c>
    </row>
    <row r="99" spans="1:5" x14ac:dyDescent="0.25">
      <c r="A99" s="114">
        <v>23</v>
      </c>
      <c r="B99" s="117">
        <f t="shared" si="5"/>
        <v>2448061.2953540655</v>
      </c>
      <c r="C99" s="117">
        <f t="shared" si="7"/>
        <v>705553.9540256022</v>
      </c>
      <c r="D99" s="117">
        <f t="shared" si="6"/>
        <v>1855324.5144101032</v>
      </c>
      <c r="E99" s="127">
        <f t="shared" si="8"/>
        <v>33422373.186870005</v>
      </c>
    </row>
    <row r="100" spans="1:5" x14ac:dyDescent="0.25">
      <c r="A100" s="128">
        <v>24</v>
      </c>
      <c r="B100" s="129">
        <f t="shared" si="5"/>
        <v>6448061.2953540655</v>
      </c>
      <c r="C100" s="129">
        <f t="shared" si="7"/>
        <v>668447.46373740013</v>
      </c>
      <c r="D100" s="129">
        <f t="shared" si="6"/>
        <v>4379316.9564536847</v>
      </c>
      <c r="E100" s="130">
        <f t="shared" si="8"/>
        <v>29043056.23041632</v>
      </c>
    </row>
    <row r="101" spans="1:5" x14ac:dyDescent="0.25">
      <c r="A101" s="114">
        <v>25</v>
      </c>
      <c r="B101" s="117">
        <f t="shared" si="5"/>
        <v>2448061.2953540655</v>
      </c>
      <c r="C101" s="117">
        <f t="shared" si="7"/>
        <v>580861.12460832647</v>
      </c>
      <c r="D101" s="117">
        <f t="shared" si="6"/>
        <v>1930279.6247922715</v>
      </c>
      <c r="E101" s="127">
        <f t="shared" si="8"/>
        <v>27112776.60562405</v>
      </c>
    </row>
    <row r="102" spans="1:5" x14ac:dyDescent="0.25">
      <c r="A102" s="114">
        <v>26</v>
      </c>
      <c r="B102" s="117">
        <f t="shared" si="5"/>
        <v>2448061.2953540655</v>
      </c>
      <c r="C102" s="117">
        <f t="shared" si="7"/>
        <v>542255.53211248096</v>
      </c>
      <c r="D102" s="117">
        <f t="shared" si="6"/>
        <v>1968885.2172881169</v>
      </c>
      <c r="E102" s="127">
        <f t="shared" si="8"/>
        <v>25143891.388335932</v>
      </c>
    </row>
    <row r="103" spans="1:5" x14ac:dyDescent="0.25">
      <c r="A103" s="114">
        <v>27</v>
      </c>
      <c r="B103" s="117">
        <f t="shared" si="5"/>
        <v>2448061.2953540655</v>
      </c>
      <c r="C103" s="117">
        <f t="shared" si="7"/>
        <v>502877.82776671863</v>
      </c>
      <c r="D103" s="117">
        <f t="shared" si="6"/>
        <v>2008262.9216338792</v>
      </c>
      <c r="E103" s="127">
        <f t="shared" si="8"/>
        <v>23135628.466702051</v>
      </c>
    </row>
    <row r="104" spans="1:5" x14ac:dyDescent="0.25">
      <c r="A104" s="114">
        <v>28</v>
      </c>
      <c r="B104" s="117">
        <f t="shared" si="5"/>
        <v>2448061.2953540655</v>
      </c>
      <c r="C104" s="117">
        <f t="shared" si="7"/>
        <v>462712.56933404104</v>
      </c>
      <c r="D104" s="117">
        <f t="shared" si="6"/>
        <v>2048428.1800665569</v>
      </c>
      <c r="E104" s="127">
        <f t="shared" si="8"/>
        <v>21087200.286635496</v>
      </c>
    </row>
    <row r="105" spans="1:5" x14ac:dyDescent="0.25">
      <c r="A105" s="114">
        <v>29</v>
      </c>
      <c r="B105" s="117">
        <f t="shared" si="5"/>
        <v>2448061.2953540655</v>
      </c>
      <c r="C105" s="117">
        <f t="shared" si="7"/>
        <v>421744.00573270995</v>
      </c>
      <c r="D105" s="117">
        <f t="shared" si="6"/>
        <v>2089396.743667888</v>
      </c>
      <c r="E105" s="127">
        <f t="shared" si="8"/>
        <v>18997803.542967606</v>
      </c>
    </row>
    <row r="106" spans="1:5" x14ac:dyDescent="0.25">
      <c r="A106" s="114">
        <v>30</v>
      </c>
      <c r="B106" s="117">
        <f t="shared" si="5"/>
        <v>2448061.2953540655</v>
      </c>
      <c r="C106" s="117">
        <f t="shared" si="7"/>
        <v>379956.07085935213</v>
      </c>
      <c r="D106" s="117">
        <f t="shared" si="6"/>
        <v>2131184.6785412459</v>
      </c>
      <c r="E106" s="127">
        <f t="shared" si="8"/>
        <v>16866618.86442636</v>
      </c>
    </row>
    <row r="107" spans="1:5" x14ac:dyDescent="0.25">
      <c r="A107" s="114">
        <v>31</v>
      </c>
      <c r="B107" s="117">
        <f t="shared" si="5"/>
        <v>2448061.2953540655</v>
      </c>
      <c r="C107" s="117">
        <f t="shared" si="7"/>
        <v>337332.3772885272</v>
      </c>
      <c r="D107" s="117">
        <f t="shared" si="6"/>
        <v>2173808.3721120707</v>
      </c>
      <c r="E107" s="127">
        <f t="shared" si="8"/>
        <v>14692810.492314288</v>
      </c>
    </row>
    <row r="108" spans="1:5" x14ac:dyDescent="0.25">
      <c r="A108" s="114">
        <v>32</v>
      </c>
      <c r="B108" s="117">
        <f t="shared" si="5"/>
        <v>2448061.2953540655</v>
      </c>
      <c r="C108" s="117">
        <f t="shared" si="7"/>
        <v>293856.20984628575</v>
      </c>
      <c r="D108" s="117">
        <f t="shared" si="6"/>
        <v>2217284.5395543119</v>
      </c>
      <c r="E108" s="127">
        <f t="shared" si="8"/>
        <v>12475525.952759977</v>
      </c>
    </row>
    <row r="109" spans="1:5" x14ac:dyDescent="0.25">
      <c r="A109" s="114">
        <v>33</v>
      </c>
      <c r="B109" s="117">
        <f t="shared" si="5"/>
        <v>2448061.2953540655</v>
      </c>
      <c r="C109" s="117">
        <f t="shared" si="7"/>
        <v>249510.51905519955</v>
      </c>
      <c r="D109" s="117">
        <f t="shared" si="6"/>
        <v>2261630.2303453982</v>
      </c>
      <c r="E109" s="127">
        <f t="shared" si="8"/>
        <v>10213895.722414579</v>
      </c>
    </row>
    <row r="110" spans="1:5" x14ac:dyDescent="0.25">
      <c r="A110" s="114">
        <v>34</v>
      </c>
      <c r="B110" s="117">
        <f t="shared" si="5"/>
        <v>2448061.2953540655</v>
      </c>
      <c r="C110" s="117">
        <f t="shared" si="7"/>
        <v>204277.91444829159</v>
      </c>
      <c r="D110" s="117">
        <f t="shared" si="6"/>
        <v>2306862.8349523065</v>
      </c>
      <c r="E110" s="127">
        <f t="shared" si="8"/>
        <v>7907032.8874622732</v>
      </c>
    </row>
    <row r="111" spans="1:5" x14ac:dyDescent="0.25">
      <c r="A111" s="114">
        <v>35</v>
      </c>
      <c r="B111" s="117">
        <f t="shared" si="5"/>
        <v>2448061.2953540655</v>
      </c>
      <c r="C111" s="117">
        <f t="shared" si="7"/>
        <v>158140.65774924547</v>
      </c>
      <c r="D111" s="117">
        <f t="shared" si="6"/>
        <v>2353000.0916513526</v>
      </c>
      <c r="E111" s="127">
        <f t="shared" si="8"/>
        <v>5554032.7958109211</v>
      </c>
    </row>
    <row r="112" spans="1:5" x14ac:dyDescent="0.25">
      <c r="A112" s="128">
        <v>36</v>
      </c>
      <c r="B112" s="129">
        <f t="shared" si="5"/>
        <v>6448061.2953540655</v>
      </c>
      <c r="C112" s="129">
        <f t="shared" si="7"/>
        <v>111080.65591621843</v>
      </c>
      <c r="D112" s="129">
        <f t="shared" si="6"/>
        <v>5554032.7958110049</v>
      </c>
      <c r="E112" s="118">
        <f t="shared" si="8"/>
        <v>-8.3819031715393066E-8</v>
      </c>
    </row>
    <row r="114" spans="1:16" x14ac:dyDescent="0.25">
      <c r="A114" s="76"/>
      <c r="B114" s="131"/>
      <c r="C114" s="131"/>
      <c r="D114" s="131"/>
      <c r="E114" s="131"/>
      <c r="F114" s="76"/>
      <c r="G114" s="131"/>
      <c r="H114" s="131"/>
      <c r="I114" s="131"/>
      <c r="J114" s="131"/>
      <c r="L114" s="76"/>
      <c r="M114" s="131"/>
      <c r="N114" s="131"/>
      <c r="O114" s="131"/>
      <c r="P114" s="131"/>
    </row>
    <row r="115" spans="1:16" x14ac:dyDescent="0.25">
      <c r="A115" s="76"/>
      <c r="B115" s="131"/>
      <c r="C115" s="131"/>
      <c r="D115" s="131"/>
      <c r="E115" s="131"/>
      <c r="F115" s="76"/>
      <c r="G115" s="131"/>
      <c r="H115" s="131"/>
      <c r="I115" s="131"/>
      <c r="J115" s="131"/>
      <c r="L115" s="76"/>
      <c r="M115" s="131"/>
      <c r="N115" s="131"/>
      <c r="O115" s="131"/>
      <c r="P115" s="131"/>
    </row>
    <row r="116" spans="1:16" x14ac:dyDescent="0.25">
      <c r="A116" s="76"/>
      <c r="B116" s="131"/>
      <c r="D116" s="131"/>
      <c r="E116" s="131"/>
      <c r="F116" s="76"/>
      <c r="G116" s="131"/>
      <c r="H116" s="131"/>
      <c r="I116" s="131"/>
      <c r="J116" s="131"/>
      <c r="L116" s="76"/>
      <c r="M116" s="131"/>
      <c r="N116" s="131"/>
      <c r="O116" s="131"/>
      <c r="P116" s="131"/>
    </row>
    <row r="117" spans="1:16" x14ac:dyDescent="0.25">
      <c r="A117" s="76"/>
      <c r="B117" s="131"/>
      <c r="C117" s="131"/>
      <c r="D117" s="131"/>
      <c r="E117" s="131"/>
      <c r="F117" s="76"/>
      <c r="G117" s="131"/>
      <c r="H117" s="131"/>
      <c r="I117" s="131"/>
      <c r="J117" s="131"/>
      <c r="L117" s="76"/>
      <c r="M117" s="131"/>
      <c r="N117" s="131"/>
      <c r="O117" s="131"/>
      <c r="P117" s="131"/>
    </row>
    <row r="118" spans="1:16" x14ac:dyDescent="0.25">
      <c r="A118" s="76"/>
      <c r="B118" s="131"/>
      <c r="C118" s="131"/>
      <c r="D118" s="131"/>
      <c r="E118" s="131"/>
      <c r="F118" s="76"/>
      <c r="G118" s="131"/>
      <c r="H118" s="131"/>
      <c r="I118" s="131"/>
      <c r="J118" s="131"/>
      <c r="L118" s="76"/>
      <c r="M118" s="131"/>
      <c r="N118" s="131"/>
      <c r="O118" s="131"/>
      <c r="P118" s="131"/>
    </row>
    <row r="119" spans="1:16" x14ac:dyDescent="0.25">
      <c r="A119" s="76"/>
      <c r="B119" s="131"/>
      <c r="C119" s="131"/>
      <c r="D119" s="131"/>
      <c r="E119" s="131"/>
      <c r="F119" s="76"/>
      <c r="G119" s="131"/>
      <c r="H119" s="131"/>
      <c r="I119" s="131"/>
      <c r="J119" s="131"/>
      <c r="L119" s="76"/>
      <c r="M119" s="131"/>
      <c r="N119" s="131"/>
      <c r="O119" s="131"/>
      <c r="P119" s="131"/>
    </row>
    <row r="120" spans="1:16" x14ac:dyDescent="0.25">
      <c r="A120" s="76"/>
      <c r="B120" s="131"/>
      <c r="C120" s="131"/>
      <c r="D120" s="131"/>
      <c r="E120" s="131"/>
      <c r="F120" s="76"/>
      <c r="G120" s="131"/>
      <c r="H120" s="131"/>
      <c r="I120" s="131"/>
      <c r="J120" s="131"/>
      <c r="L120" s="76"/>
      <c r="M120" s="131"/>
      <c r="N120" s="131"/>
      <c r="O120" s="131"/>
      <c r="P120" s="131"/>
    </row>
    <row r="121" spans="1:16" x14ac:dyDescent="0.25">
      <c r="A121" s="76"/>
      <c r="B121" s="131"/>
      <c r="C121" s="131"/>
      <c r="D121" s="131"/>
      <c r="E121" s="131"/>
      <c r="F121" s="76"/>
      <c r="G121" s="131"/>
      <c r="H121" s="131"/>
      <c r="I121" s="131"/>
      <c r="J121" s="131"/>
      <c r="L121" s="76"/>
      <c r="M121" s="131"/>
      <c r="N121" s="131"/>
      <c r="O121" s="131"/>
      <c r="P121" s="131"/>
    </row>
    <row r="122" spans="1:16" x14ac:dyDescent="0.25">
      <c r="A122" s="76"/>
      <c r="B122" s="131"/>
      <c r="C122" s="131"/>
      <c r="D122" s="131"/>
      <c r="E122" s="131"/>
      <c r="F122" s="76"/>
      <c r="G122" s="131"/>
      <c r="H122" s="131"/>
      <c r="I122" s="131"/>
      <c r="J122" s="131"/>
      <c r="L122" s="76"/>
      <c r="M122" s="131"/>
      <c r="N122" s="131"/>
      <c r="O122" s="131"/>
      <c r="P122" s="131"/>
    </row>
    <row r="123" spans="1:16" x14ac:dyDescent="0.25">
      <c r="A123" s="76"/>
      <c r="B123" s="131"/>
      <c r="C123" s="131"/>
      <c r="D123" s="131"/>
      <c r="E123" s="131"/>
      <c r="F123" s="76"/>
      <c r="G123" s="131"/>
      <c r="H123" s="131"/>
      <c r="I123" s="131"/>
      <c r="J123" s="131"/>
      <c r="L123" s="76"/>
      <c r="M123" s="131"/>
      <c r="N123" s="131"/>
      <c r="O123" s="131"/>
      <c r="P123" s="131"/>
    </row>
    <row r="124" spans="1:16" x14ac:dyDescent="0.25">
      <c r="A124" s="76"/>
      <c r="B124" s="131"/>
      <c r="C124" s="131"/>
      <c r="D124" s="131"/>
      <c r="E124" s="131"/>
      <c r="F124" s="76"/>
      <c r="G124" s="131"/>
      <c r="H124" s="131"/>
      <c r="I124" s="131"/>
      <c r="J124" s="131"/>
      <c r="L124" s="76"/>
      <c r="M124" s="131"/>
      <c r="N124" s="131"/>
      <c r="O124" s="131"/>
      <c r="P124" s="131"/>
    </row>
    <row r="125" spans="1:16" x14ac:dyDescent="0.25">
      <c r="A125" s="76"/>
      <c r="B125" s="131"/>
      <c r="C125" s="131"/>
      <c r="D125" s="131"/>
      <c r="E125" s="131"/>
      <c r="F125" s="76"/>
      <c r="G125" s="131"/>
      <c r="H125" s="131"/>
      <c r="I125" s="131"/>
      <c r="J125" s="131"/>
      <c r="L125" s="76"/>
      <c r="M125" s="131"/>
      <c r="N125" s="131"/>
      <c r="O125" s="131"/>
      <c r="P125" s="131"/>
    </row>
    <row r="126" spans="1:16" x14ac:dyDescent="0.25">
      <c r="A126" s="76"/>
      <c r="B126" s="131"/>
      <c r="C126" s="131"/>
      <c r="D126" s="131"/>
      <c r="E126" s="131"/>
      <c r="F126" s="76"/>
      <c r="G126" s="131"/>
      <c r="H126" s="131"/>
      <c r="I126" s="131"/>
      <c r="J126" s="131"/>
      <c r="L126" s="76"/>
      <c r="M126" s="131"/>
      <c r="N126" s="131"/>
      <c r="O126" s="131"/>
      <c r="P126" s="131"/>
    </row>
    <row r="127" spans="1:16" x14ac:dyDescent="0.25">
      <c r="A127" s="76"/>
      <c r="B127" s="131"/>
      <c r="C127" s="131"/>
      <c r="D127" s="131"/>
      <c r="E127" s="131"/>
      <c r="F127" s="76"/>
      <c r="G127" s="131"/>
      <c r="H127" s="131"/>
      <c r="I127" s="131"/>
      <c r="J127" s="131"/>
      <c r="L127" s="76"/>
      <c r="M127" s="131"/>
      <c r="N127" s="131"/>
      <c r="O127" s="131"/>
      <c r="P127" s="131"/>
    </row>
    <row r="128" spans="1:16" x14ac:dyDescent="0.25">
      <c r="A128" s="76"/>
      <c r="B128" s="131"/>
      <c r="C128" s="131"/>
      <c r="D128" s="131"/>
      <c r="E128" s="131"/>
      <c r="F128" s="76"/>
      <c r="G128" s="131"/>
      <c r="H128" s="131"/>
      <c r="I128" s="131"/>
      <c r="J128" s="131"/>
      <c r="L128" s="76"/>
      <c r="M128" s="131"/>
      <c r="N128" s="131"/>
      <c r="O128" s="131"/>
      <c r="P128" s="131"/>
    </row>
    <row r="129" spans="1:16" x14ac:dyDescent="0.25">
      <c r="A129" s="76"/>
      <c r="B129" s="131"/>
      <c r="C129" s="131"/>
      <c r="D129" s="131"/>
      <c r="E129" s="131"/>
      <c r="F129" s="76"/>
      <c r="G129" s="131"/>
      <c r="H129" s="131"/>
      <c r="I129" s="131"/>
      <c r="J129" s="131"/>
      <c r="L129" s="76"/>
      <c r="M129" s="131"/>
      <c r="N129" s="131"/>
      <c r="O129" s="131"/>
      <c r="P129" s="131"/>
    </row>
    <row r="130" spans="1:16" x14ac:dyDescent="0.25">
      <c r="A130" s="76"/>
      <c r="B130" s="131"/>
      <c r="C130" s="131"/>
      <c r="D130" s="131"/>
      <c r="E130" s="131"/>
      <c r="F130" s="76"/>
      <c r="G130" s="131"/>
      <c r="H130" s="131"/>
      <c r="I130" s="131"/>
      <c r="J130" s="131"/>
      <c r="L130" s="76"/>
      <c r="M130" s="131"/>
      <c r="N130" s="131"/>
      <c r="O130" s="131"/>
      <c r="P130" s="131"/>
    </row>
    <row r="131" spans="1:16" x14ac:dyDescent="0.25">
      <c r="A131" s="76"/>
      <c r="B131" s="131"/>
      <c r="C131" s="131"/>
      <c r="D131" s="131"/>
      <c r="E131" s="131"/>
      <c r="F131" s="76"/>
      <c r="G131" s="131"/>
      <c r="H131" s="131"/>
      <c r="I131" s="131"/>
      <c r="J131" s="131"/>
      <c r="L131" s="76"/>
      <c r="M131" s="131"/>
      <c r="N131" s="131"/>
      <c r="O131" s="131"/>
      <c r="P131" s="131"/>
    </row>
    <row r="132" spans="1:16" x14ac:dyDescent="0.25">
      <c r="A132" s="76"/>
      <c r="B132" s="131"/>
      <c r="C132" s="131"/>
      <c r="D132" s="131"/>
      <c r="E132" s="131"/>
      <c r="F132" s="76"/>
      <c r="G132" s="131"/>
      <c r="H132" s="131"/>
      <c r="I132" s="131"/>
      <c r="J132" s="131"/>
      <c r="L132" s="76"/>
      <c r="M132" s="131"/>
      <c r="N132" s="131"/>
      <c r="O132" s="131"/>
      <c r="P132" s="131"/>
    </row>
    <row r="133" spans="1:16" x14ac:dyDescent="0.25">
      <c r="A133" s="76"/>
      <c r="B133" s="131"/>
      <c r="C133" s="131"/>
      <c r="D133" s="131"/>
      <c r="E133" s="131"/>
      <c r="F133" s="76"/>
      <c r="G133" s="131"/>
      <c r="H133" s="131"/>
      <c r="I133" s="131"/>
      <c r="J133" s="131"/>
      <c r="L133" s="76"/>
      <c r="M133" s="131"/>
      <c r="N133" s="131"/>
      <c r="O133" s="131"/>
      <c r="P133" s="131"/>
    </row>
    <row r="134" spans="1:16" x14ac:dyDescent="0.25">
      <c r="A134" s="76"/>
      <c r="B134" s="131"/>
      <c r="C134" s="131"/>
      <c r="D134" s="131"/>
      <c r="E134" s="131"/>
      <c r="F134" s="76"/>
      <c r="G134" s="131"/>
      <c r="H134" s="131"/>
      <c r="I134" s="131"/>
      <c r="J134" s="131"/>
      <c r="L134" s="76"/>
      <c r="M134" s="131"/>
      <c r="N134" s="131"/>
      <c r="O134" s="131"/>
      <c r="P134" s="131"/>
    </row>
    <row r="135" spans="1:16" x14ac:dyDescent="0.25">
      <c r="A135" s="76"/>
      <c r="B135" s="131"/>
      <c r="C135" s="131"/>
      <c r="D135" s="131"/>
      <c r="E135" s="131"/>
      <c r="F135" s="76"/>
      <c r="G135" s="131"/>
      <c r="H135" s="131"/>
      <c r="I135" s="131"/>
      <c r="J135" s="131"/>
      <c r="L135" s="76"/>
      <c r="M135" s="131"/>
      <c r="N135" s="131"/>
      <c r="O135" s="131"/>
      <c r="P135" s="131"/>
    </row>
    <row r="136" spans="1:16" x14ac:dyDescent="0.25">
      <c r="A136" s="76"/>
      <c r="B136" s="131"/>
      <c r="C136" s="131"/>
      <c r="D136" s="131"/>
      <c r="E136" s="131"/>
      <c r="F136" s="76"/>
      <c r="G136" s="131"/>
      <c r="H136" s="131"/>
      <c r="I136" s="131"/>
      <c r="J136" s="131"/>
      <c r="L136" s="76"/>
      <c r="M136" s="131"/>
      <c r="N136" s="131"/>
      <c r="O136" s="131"/>
      <c r="P136" s="131"/>
    </row>
    <row r="137" spans="1:16" x14ac:dyDescent="0.25">
      <c r="A137" s="76"/>
      <c r="B137" s="131"/>
      <c r="C137" s="131"/>
      <c r="D137" s="131"/>
      <c r="E137" s="131"/>
      <c r="F137" s="76"/>
      <c r="G137" s="131"/>
      <c r="H137" s="131"/>
      <c r="I137" s="131"/>
      <c r="J137" s="131"/>
      <c r="L137" s="76"/>
      <c r="M137" s="131"/>
      <c r="N137" s="131"/>
      <c r="O137" s="131"/>
      <c r="P137" s="131"/>
    </row>
    <row r="138" spans="1:16" x14ac:dyDescent="0.25">
      <c r="A138" s="76"/>
      <c r="B138" s="131"/>
      <c r="C138" s="131"/>
      <c r="D138" s="131"/>
      <c r="E138" s="131"/>
      <c r="F138" s="76"/>
      <c r="G138" s="131"/>
      <c r="H138" s="131"/>
      <c r="I138" s="131"/>
      <c r="J138" s="131"/>
      <c r="L138" s="76"/>
      <c r="M138" s="131"/>
      <c r="N138" s="131"/>
      <c r="O138" s="131"/>
      <c r="P138" s="131"/>
    </row>
    <row r="139" spans="1:16" x14ac:dyDescent="0.25">
      <c r="A139" s="76"/>
      <c r="B139" s="131"/>
      <c r="C139" s="131"/>
      <c r="D139" s="131"/>
      <c r="E139" s="131"/>
      <c r="F139" s="76"/>
      <c r="G139" s="131"/>
      <c r="H139" s="131"/>
      <c r="I139" s="131"/>
      <c r="J139" s="131"/>
      <c r="L139" s="76"/>
      <c r="M139" s="131"/>
      <c r="N139" s="131"/>
      <c r="O139" s="131"/>
      <c r="P139" s="131"/>
    </row>
    <row r="140" spans="1:16" x14ac:dyDescent="0.25">
      <c r="A140" s="76"/>
      <c r="B140" s="131"/>
      <c r="C140" s="131"/>
      <c r="D140" s="131"/>
      <c r="E140" s="131"/>
      <c r="F140" s="76"/>
      <c r="G140" s="131"/>
      <c r="H140" s="131"/>
      <c r="I140" s="131"/>
      <c r="J140" s="131"/>
      <c r="L140" s="76"/>
      <c r="M140" s="131"/>
      <c r="N140" s="131"/>
      <c r="O140" s="131"/>
      <c r="P140" s="131"/>
    </row>
    <row r="141" spans="1:16" x14ac:dyDescent="0.25">
      <c r="A141" s="76"/>
      <c r="B141" s="131"/>
      <c r="C141" s="131"/>
      <c r="D141" s="131"/>
      <c r="E141" s="131"/>
      <c r="F141" s="76"/>
      <c r="G141" s="131"/>
      <c r="H141" s="131"/>
      <c r="I141" s="131"/>
      <c r="J141" s="131"/>
      <c r="L141" s="76"/>
      <c r="M141" s="131"/>
      <c r="N141" s="131"/>
      <c r="O141" s="131"/>
      <c r="P141" s="131"/>
    </row>
    <row r="142" spans="1:16" x14ac:dyDescent="0.25">
      <c r="A142" s="76"/>
      <c r="B142" s="131"/>
      <c r="C142" s="131"/>
      <c r="D142" s="131"/>
      <c r="E142" s="131"/>
      <c r="F142" s="76"/>
      <c r="G142" s="131"/>
      <c r="H142" s="131"/>
      <c r="I142" s="131"/>
      <c r="J142" s="131"/>
      <c r="L142" s="76"/>
      <c r="M142" s="131"/>
      <c r="N142" s="131"/>
      <c r="O142" s="131"/>
      <c r="P142" s="131"/>
    </row>
    <row r="143" spans="1:16" x14ac:dyDescent="0.25">
      <c r="A143" s="76"/>
      <c r="B143" s="131"/>
      <c r="C143" s="131"/>
      <c r="D143" s="131"/>
      <c r="E143" s="131"/>
      <c r="F143" s="76"/>
      <c r="G143" s="131"/>
      <c r="H143" s="131"/>
      <c r="I143" s="131"/>
      <c r="J143" s="131"/>
      <c r="L143" s="76"/>
      <c r="M143" s="131"/>
      <c r="N143" s="131"/>
      <c r="O143" s="131"/>
      <c r="P143" s="131"/>
    </row>
    <row r="144" spans="1:16" x14ac:dyDescent="0.25">
      <c r="A144" s="76"/>
      <c r="B144" s="131"/>
      <c r="C144" s="131"/>
      <c r="D144" s="131"/>
      <c r="E144" s="131"/>
      <c r="F144" s="76"/>
      <c r="G144" s="131"/>
      <c r="H144" s="131"/>
      <c r="I144" s="131"/>
      <c r="J144" s="131"/>
      <c r="L144" s="76"/>
      <c r="M144" s="131"/>
      <c r="N144" s="131"/>
      <c r="O144" s="131"/>
      <c r="P144" s="131"/>
    </row>
    <row r="145" spans="1:16" x14ac:dyDescent="0.25">
      <c r="A145" s="76"/>
      <c r="B145" s="131"/>
      <c r="C145" s="131"/>
      <c r="D145" s="131"/>
      <c r="E145" s="131"/>
      <c r="F145" s="76"/>
      <c r="G145" s="131"/>
      <c r="H145" s="131"/>
      <c r="I145" s="131"/>
      <c r="J145" s="131"/>
      <c r="L145" s="76"/>
      <c r="M145" s="131"/>
      <c r="N145" s="131"/>
      <c r="O145" s="131"/>
      <c r="P145" s="131"/>
    </row>
    <row r="146" spans="1:16" x14ac:dyDescent="0.25">
      <c r="A146" s="76"/>
      <c r="B146" s="131"/>
      <c r="C146" s="131"/>
      <c r="D146" s="131"/>
      <c r="E146" s="131"/>
      <c r="F146" s="76"/>
      <c r="G146" s="131"/>
      <c r="H146" s="131"/>
      <c r="I146" s="131"/>
      <c r="J146" s="131"/>
      <c r="L146" s="76"/>
      <c r="M146" s="131"/>
      <c r="N146" s="131"/>
      <c r="O146" s="131"/>
      <c r="P146" s="131"/>
    </row>
    <row r="147" spans="1:16" x14ac:dyDescent="0.25">
      <c r="A147" s="76"/>
      <c r="B147" s="131"/>
      <c r="C147" s="131"/>
      <c r="D147" s="131"/>
      <c r="E147" s="131"/>
      <c r="F147" s="76"/>
      <c r="G147" s="131"/>
      <c r="H147" s="131"/>
      <c r="I147" s="131"/>
      <c r="J147" s="131"/>
      <c r="L147" s="76"/>
      <c r="M147" s="131"/>
      <c r="N147" s="131"/>
      <c r="O147" s="131"/>
      <c r="P147" s="131"/>
    </row>
    <row r="148" spans="1:16" x14ac:dyDescent="0.25">
      <c r="A148" s="76"/>
      <c r="B148" s="131"/>
      <c r="C148" s="131"/>
      <c r="D148" s="131"/>
      <c r="E148" s="131"/>
      <c r="F148" s="76"/>
      <c r="G148" s="131"/>
      <c r="H148" s="131"/>
      <c r="I148" s="131"/>
      <c r="J148" s="131"/>
      <c r="L148" s="76"/>
      <c r="M148" s="131"/>
      <c r="N148" s="131"/>
      <c r="O148" s="131"/>
      <c r="P148" s="131"/>
    </row>
    <row r="149" spans="1:16" x14ac:dyDescent="0.25">
      <c r="A149" s="76"/>
      <c r="B149" s="131"/>
      <c r="C149" s="131"/>
      <c r="D149" s="131"/>
      <c r="E149" s="131"/>
      <c r="F149" s="76"/>
      <c r="G149" s="131"/>
      <c r="H149" s="131"/>
      <c r="I149" s="131"/>
      <c r="J149" s="131"/>
      <c r="L149" s="76"/>
      <c r="M149" s="131"/>
      <c r="N149" s="131"/>
      <c r="O149" s="131"/>
      <c r="P149" s="131"/>
    </row>
    <row r="150" spans="1:16" x14ac:dyDescent="0.25">
      <c r="A150" s="76"/>
      <c r="B150" s="131"/>
      <c r="C150" s="131"/>
      <c r="D150" s="131"/>
      <c r="E150" s="131"/>
      <c r="F150" s="76"/>
      <c r="G150" s="131"/>
      <c r="H150" s="131"/>
      <c r="I150" s="131"/>
      <c r="J150" s="131"/>
      <c r="L150" s="76"/>
      <c r="M150" s="131"/>
      <c r="N150" s="131"/>
      <c r="O150" s="131"/>
      <c r="P150" s="131"/>
    </row>
    <row r="151" spans="1:16" x14ac:dyDescent="0.25">
      <c r="A151" s="76"/>
      <c r="B151" s="131"/>
      <c r="C151" s="131"/>
      <c r="D151" s="131"/>
      <c r="E151" s="131"/>
      <c r="F151" s="76"/>
      <c r="G151" s="131"/>
      <c r="H151" s="131"/>
      <c r="I151" s="131"/>
      <c r="J151" s="131"/>
      <c r="L151" s="76"/>
      <c r="M151" s="131"/>
      <c r="N151" s="131"/>
      <c r="O151" s="131"/>
      <c r="P151" s="131"/>
    </row>
    <row r="152" spans="1:16" x14ac:dyDescent="0.25">
      <c r="A152" s="76"/>
      <c r="B152" s="131"/>
      <c r="C152" s="131"/>
      <c r="D152" s="131"/>
      <c r="E152" s="131"/>
      <c r="F152" s="76"/>
      <c r="G152" s="131"/>
      <c r="H152" s="131"/>
      <c r="I152" s="131"/>
      <c r="J152" s="131"/>
      <c r="L152" s="76"/>
      <c r="M152" s="131"/>
      <c r="N152" s="131"/>
      <c r="O152" s="131"/>
      <c r="P152" s="131"/>
    </row>
    <row r="153" spans="1:16" x14ac:dyDescent="0.25">
      <c r="A153" s="76"/>
      <c r="B153" s="131"/>
      <c r="C153" s="131"/>
      <c r="D153" s="131"/>
      <c r="E153" s="131"/>
      <c r="F153" s="76"/>
      <c r="G153" s="131"/>
      <c r="H153" s="131"/>
      <c r="I153" s="131"/>
      <c r="J153" s="131"/>
      <c r="L153" s="76"/>
      <c r="M153" s="131"/>
      <c r="N153" s="131"/>
      <c r="O153" s="131"/>
      <c r="P153" s="131"/>
    </row>
    <row r="154" spans="1:16" x14ac:dyDescent="0.25">
      <c r="A154" s="76"/>
      <c r="B154" s="131"/>
      <c r="C154" s="131"/>
      <c r="D154" s="131"/>
      <c r="E154" s="131"/>
      <c r="F154" s="76"/>
      <c r="G154" s="131"/>
      <c r="H154" s="131"/>
      <c r="I154" s="131"/>
      <c r="J154" s="131"/>
      <c r="L154" s="76"/>
      <c r="M154" s="131"/>
      <c r="N154" s="131"/>
      <c r="O154" s="131"/>
      <c r="P154" s="131"/>
    </row>
    <row r="155" spans="1:16" x14ac:dyDescent="0.25">
      <c r="A155" s="76"/>
      <c r="B155" s="131"/>
      <c r="C155" s="131"/>
      <c r="D155" s="131"/>
      <c r="E155" s="131"/>
      <c r="F155" s="76"/>
      <c r="G155" s="131"/>
      <c r="H155" s="131"/>
      <c r="I155" s="131"/>
      <c r="J155" s="131"/>
      <c r="L155" s="76"/>
      <c r="M155" s="131"/>
      <c r="N155" s="131"/>
      <c r="O155" s="131"/>
      <c r="P155" s="131"/>
    </row>
    <row r="156" spans="1:16" x14ac:dyDescent="0.25">
      <c r="A156" s="76"/>
      <c r="B156" s="131"/>
      <c r="C156" s="131"/>
      <c r="D156" s="131"/>
      <c r="E156" s="131"/>
      <c r="F156" s="76"/>
      <c r="G156" s="131"/>
      <c r="H156" s="131"/>
      <c r="I156" s="131"/>
      <c r="J156" s="131"/>
      <c r="L156" s="76"/>
      <c r="M156" s="131"/>
      <c r="N156" s="131"/>
      <c r="O156" s="131"/>
      <c r="P156" s="131"/>
    </row>
    <row r="157" spans="1:16" x14ac:dyDescent="0.25">
      <c r="A157" s="76"/>
      <c r="B157" s="131"/>
      <c r="C157" s="131"/>
      <c r="D157" s="131"/>
      <c r="E157" s="131"/>
      <c r="F157" s="76"/>
      <c r="G157" s="131"/>
      <c r="H157" s="131"/>
      <c r="I157" s="131"/>
      <c r="J157" s="131"/>
      <c r="L157" s="76"/>
      <c r="M157" s="131"/>
      <c r="N157" s="131"/>
      <c r="O157" s="131"/>
      <c r="P157" s="131"/>
    </row>
    <row r="158" spans="1:16" x14ac:dyDescent="0.25">
      <c r="A158" s="76"/>
      <c r="B158" s="131"/>
      <c r="C158" s="131"/>
      <c r="D158" s="131"/>
      <c r="E158" s="131"/>
      <c r="F158" s="76"/>
      <c r="G158" s="131"/>
      <c r="H158" s="131"/>
      <c r="I158" s="131"/>
      <c r="J158" s="131"/>
      <c r="L158" s="76"/>
      <c r="M158" s="131"/>
      <c r="N158" s="131"/>
      <c r="O158" s="131"/>
      <c r="P158" s="131"/>
    </row>
    <row r="159" spans="1:16" x14ac:dyDescent="0.25">
      <c r="A159" s="76"/>
      <c r="B159" s="131"/>
      <c r="C159" s="131"/>
      <c r="D159" s="131"/>
      <c r="E159" s="131"/>
      <c r="F159" s="76"/>
      <c r="G159" s="131"/>
      <c r="H159" s="131"/>
      <c r="I159" s="131"/>
      <c r="J159" s="131"/>
      <c r="L159" s="76"/>
      <c r="M159" s="131"/>
      <c r="N159" s="131"/>
      <c r="O159" s="131"/>
      <c r="P159" s="131"/>
    </row>
    <row r="160" spans="1:16" x14ac:dyDescent="0.25">
      <c r="A160" s="76"/>
      <c r="B160" s="131"/>
      <c r="C160" s="131"/>
      <c r="D160" s="131"/>
      <c r="E160" s="131"/>
      <c r="F160" s="76"/>
      <c r="G160" s="131"/>
      <c r="H160" s="131"/>
      <c r="I160" s="131"/>
      <c r="J160" s="131"/>
      <c r="L160" s="76"/>
      <c r="M160" s="131"/>
      <c r="N160" s="131"/>
      <c r="O160" s="131"/>
      <c r="P160" s="131"/>
    </row>
    <row r="161" spans="1:16" x14ac:dyDescent="0.25">
      <c r="A161" s="76"/>
      <c r="B161" s="131"/>
      <c r="C161" s="131"/>
      <c r="D161" s="131"/>
      <c r="E161" s="131"/>
      <c r="F161" s="76"/>
      <c r="G161" s="131"/>
      <c r="H161" s="131"/>
      <c r="I161" s="131"/>
      <c r="J161" s="131"/>
      <c r="L161" s="76"/>
      <c r="M161" s="131"/>
      <c r="N161" s="131"/>
      <c r="O161" s="131"/>
      <c r="P161" s="131"/>
    </row>
    <row r="162" spans="1:16" x14ac:dyDescent="0.25">
      <c r="A162" s="76"/>
      <c r="B162" s="131"/>
      <c r="C162" s="131"/>
      <c r="D162" s="131"/>
      <c r="E162" s="131"/>
      <c r="F162" s="76"/>
      <c r="G162" s="131"/>
      <c r="H162" s="131"/>
      <c r="I162" s="131"/>
      <c r="J162" s="131"/>
      <c r="L162" s="76"/>
      <c r="M162" s="131"/>
      <c r="N162" s="131"/>
      <c r="O162" s="131"/>
      <c r="P162" s="131"/>
    </row>
    <row r="163" spans="1:16" x14ac:dyDescent="0.25">
      <c r="A163" s="76"/>
      <c r="B163" s="131"/>
      <c r="C163" s="131"/>
      <c r="D163" s="131"/>
      <c r="E163" s="131"/>
      <c r="F163" s="76"/>
      <c r="G163" s="131"/>
      <c r="H163" s="131"/>
      <c r="I163" s="131"/>
      <c r="J163" s="131"/>
      <c r="L163" s="76"/>
      <c r="M163" s="131"/>
      <c r="N163" s="131"/>
      <c r="O163" s="131"/>
      <c r="P163" s="131"/>
    </row>
    <row r="164" spans="1:16" x14ac:dyDescent="0.25">
      <c r="A164" s="76"/>
      <c r="B164" s="131"/>
      <c r="C164" s="131"/>
      <c r="D164" s="131"/>
      <c r="E164" s="131"/>
      <c r="F164" s="76"/>
      <c r="G164" s="131"/>
      <c r="H164" s="131"/>
      <c r="I164" s="131"/>
      <c r="J164" s="131"/>
      <c r="L164" s="76"/>
      <c r="M164" s="131"/>
      <c r="N164" s="131"/>
      <c r="O164" s="131"/>
      <c r="P164" s="131"/>
    </row>
    <row r="165" spans="1:16" x14ac:dyDescent="0.25">
      <c r="A165" s="76"/>
      <c r="B165" s="131"/>
      <c r="C165" s="131"/>
      <c r="D165" s="131"/>
      <c r="E165" s="131"/>
      <c r="F165" s="76"/>
      <c r="G165" s="131"/>
      <c r="H165" s="131"/>
      <c r="I165" s="131"/>
      <c r="J165" s="131"/>
      <c r="L165" s="76"/>
      <c r="M165" s="131"/>
      <c r="N165" s="131"/>
      <c r="O165" s="131"/>
      <c r="P165" s="131"/>
    </row>
    <row r="166" spans="1:16" x14ac:dyDescent="0.25">
      <c r="A166" s="76"/>
      <c r="B166" s="131"/>
      <c r="C166" s="131"/>
      <c r="D166" s="131"/>
      <c r="E166" s="131"/>
      <c r="F166" s="76"/>
      <c r="G166" s="131"/>
      <c r="H166" s="131"/>
      <c r="I166" s="131"/>
      <c r="J166" s="131"/>
      <c r="L166" s="76"/>
      <c r="M166" s="131"/>
      <c r="N166" s="131"/>
      <c r="O166" s="131"/>
      <c r="P166" s="131"/>
    </row>
    <row r="167" spans="1:16" x14ac:dyDescent="0.25">
      <c r="A167" s="76"/>
      <c r="B167" s="131"/>
      <c r="C167" s="131"/>
      <c r="D167" s="131"/>
      <c r="E167" s="131"/>
      <c r="F167" s="76"/>
      <c r="G167" s="131"/>
      <c r="H167" s="131"/>
      <c r="I167" s="131"/>
      <c r="J167" s="131"/>
      <c r="L167" s="76"/>
      <c r="M167" s="131"/>
      <c r="N167" s="131"/>
      <c r="O167" s="131"/>
      <c r="P167" s="131"/>
    </row>
    <row r="168" spans="1:16" x14ac:dyDescent="0.25">
      <c r="A168" s="76"/>
      <c r="B168" s="131"/>
      <c r="C168" s="131"/>
      <c r="D168" s="131"/>
      <c r="E168" s="131"/>
      <c r="F168" s="76"/>
      <c r="G168" s="131"/>
      <c r="H168" s="131"/>
      <c r="I168" s="131"/>
      <c r="J168" s="131"/>
      <c r="L168" s="76"/>
      <c r="M168" s="131"/>
      <c r="N168" s="131"/>
      <c r="O168" s="131"/>
      <c r="P168" s="131"/>
    </row>
    <row r="169" spans="1:16" x14ac:dyDescent="0.25">
      <c r="A169" s="76"/>
      <c r="B169" s="131"/>
      <c r="C169" s="131"/>
      <c r="D169" s="131"/>
      <c r="E169" s="131"/>
      <c r="F169" s="76"/>
      <c r="G169" s="131"/>
      <c r="H169" s="131"/>
      <c r="I169" s="131"/>
      <c r="J169" s="131"/>
      <c r="L169" s="76"/>
      <c r="M169" s="131"/>
      <c r="N169" s="131"/>
      <c r="O169" s="131"/>
      <c r="P169" s="131"/>
    </row>
    <row r="170" spans="1:16" x14ac:dyDescent="0.25">
      <c r="A170" s="76"/>
      <c r="B170" s="131"/>
      <c r="C170" s="131"/>
      <c r="D170" s="131"/>
      <c r="E170" s="131"/>
      <c r="F170" s="76"/>
      <c r="G170" s="131"/>
      <c r="H170" s="131"/>
      <c r="I170" s="131"/>
      <c r="J170" s="131"/>
      <c r="L170" s="76"/>
      <c r="M170" s="131"/>
      <c r="N170" s="131"/>
      <c r="O170" s="131"/>
      <c r="P170" s="131"/>
    </row>
    <row r="171" spans="1:16" x14ac:dyDescent="0.25">
      <c r="A171" s="76"/>
      <c r="B171" s="131"/>
      <c r="C171" s="131"/>
      <c r="D171" s="131"/>
      <c r="E171" s="131"/>
      <c r="F171" s="76"/>
      <c r="G171" s="131"/>
      <c r="H171" s="131"/>
      <c r="I171" s="131"/>
      <c r="J171" s="131"/>
      <c r="L171" s="76"/>
      <c r="M171" s="131"/>
      <c r="N171" s="131"/>
      <c r="O171" s="131"/>
      <c r="P171" s="131"/>
    </row>
    <row r="172" spans="1:16" x14ac:dyDescent="0.25">
      <c r="A172" s="76"/>
      <c r="B172" s="131"/>
      <c r="C172" s="131"/>
      <c r="D172" s="131"/>
      <c r="E172" s="131"/>
      <c r="F172" s="76"/>
      <c r="G172" s="131"/>
      <c r="H172" s="131"/>
      <c r="I172" s="131"/>
      <c r="J172" s="131"/>
      <c r="L172" s="76"/>
      <c r="M172" s="131"/>
      <c r="N172" s="131"/>
      <c r="O172" s="131"/>
      <c r="P172" s="131"/>
    </row>
    <row r="173" spans="1:16" x14ac:dyDescent="0.25">
      <c r="A173" s="76"/>
      <c r="B173" s="131"/>
      <c r="C173" s="131"/>
      <c r="D173" s="131"/>
      <c r="E173" s="131"/>
      <c r="F173" s="76"/>
      <c r="G173" s="131"/>
      <c r="H173" s="131"/>
      <c r="I173" s="131"/>
      <c r="J173" s="131"/>
      <c r="L173" s="76"/>
      <c r="M173" s="131"/>
      <c r="N173" s="131"/>
      <c r="O173" s="131"/>
      <c r="P173" s="131"/>
    </row>
    <row r="174" spans="1:16" x14ac:dyDescent="0.25">
      <c r="A174" s="76"/>
      <c r="B174" s="131"/>
      <c r="C174" s="131"/>
      <c r="D174" s="131"/>
      <c r="E174" s="131"/>
      <c r="F174" s="76"/>
      <c r="G174" s="131"/>
      <c r="H174" s="131"/>
      <c r="I174" s="131"/>
      <c r="J174" s="131"/>
      <c r="L174" s="76"/>
      <c r="M174" s="131"/>
      <c r="N174" s="131"/>
      <c r="O174" s="131"/>
      <c r="P174" s="131"/>
    </row>
    <row r="175" spans="1:16" x14ac:dyDescent="0.25">
      <c r="A175" s="76"/>
      <c r="B175" s="131"/>
      <c r="C175" s="131"/>
      <c r="D175" s="131"/>
      <c r="E175" s="131"/>
      <c r="F175" s="76"/>
      <c r="G175" s="131"/>
      <c r="H175" s="131"/>
      <c r="I175" s="131"/>
      <c r="J175" s="131"/>
      <c r="L175" s="76"/>
      <c r="M175" s="131"/>
      <c r="N175" s="131"/>
      <c r="O175" s="131"/>
      <c r="P175" s="131"/>
    </row>
    <row r="176" spans="1:16" x14ac:dyDescent="0.25">
      <c r="A176" s="76"/>
      <c r="B176" s="131"/>
      <c r="C176" s="131"/>
      <c r="D176" s="131"/>
      <c r="E176" s="131"/>
      <c r="F176" s="76"/>
      <c r="G176" s="131"/>
      <c r="H176" s="131"/>
      <c r="I176" s="131"/>
      <c r="J176" s="131"/>
      <c r="L176" s="76"/>
      <c r="M176" s="131"/>
      <c r="N176" s="131"/>
      <c r="O176" s="131"/>
      <c r="P176" s="131"/>
    </row>
    <row r="177" spans="1:16" x14ac:dyDescent="0.25">
      <c r="A177" s="76"/>
      <c r="B177" s="131"/>
      <c r="C177" s="131"/>
      <c r="D177" s="131"/>
      <c r="E177" s="131"/>
      <c r="F177" s="76"/>
      <c r="G177" s="131"/>
      <c r="H177" s="131"/>
      <c r="I177" s="131"/>
      <c r="J177" s="131"/>
      <c r="L177" s="76"/>
      <c r="M177" s="131"/>
      <c r="N177" s="131"/>
      <c r="O177" s="131"/>
      <c r="P177" s="131"/>
    </row>
    <row r="178" spans="1:16" x14ac:dyDescent="0.25">
      <c r="A178" s="76"/>
      <c r="B178" s="131"/>
      <c r="C178" s="131"/>
      <c r="D178" s="131"/>
      <c r="E178" s="131"/>
      <c r="F178" s="76"/>
      <c r="G178" s="131"/>
      <c r="H178" s="131"/>
      <c r="I178" s="131"/>
      <c r="J178" s="131"/>
      <c r="L178" s="76"/>
      <c r="M178" s="131"/>
      <c r="N178" s="131"/>
      <c r="O178" s="131"/>
      <c r="P178" s="131"/>
    </row>
    <row r="179" spans="1:16" x14ac:dyDescent="0.25">
      <c r="A179" s="76"/>
      <c r="B179" s="131"/>
      <c r="C179" s="131"/>
      <c r="D179" s="131"/>
      <c r="E179" s="131"/>
      <c r="F179" s="76"/>
      <c r="G179" s="131"/>
      <c r="H179" s="131"/>
      <c r="I179" s="131"/>
      <c r="J179" s="131"/>
      <c r="L179" s="76"/>
      <c r="M179" s="131"/>
      <c r="N179" s="131"/>
      <c r="O179" s="131"/>
      <c r="P179" s="131"/>
    </row>
    <row r="180" spans="1:16" x14ac:dyDescent="0.25">
      <c r="A180" s="76"/>
      <c r="B180" s="131"/>
      <c r="C180" s="131"/>
      <c r="D180" s="131"/>
      <c r="E180" s="131"/>
      <c r="F180" s="76"/>
      <c r="G180" s="131"/>
      <c r="H180" s="131"/>
      <c r="I180" s="131"/>
      <c r="J180" s="131"/>
      <c r="L180" s="76"/>
      <c r="M180" s="131"/>
      <c r="N180" s="131"/>
      <c r="O180" s="131"/>
      <c r="P180" s="131"/>
    </row>
    <row r="181" spans="1:16" x14ac:dyDescent="0.25">
      <c r="A181" s="76"/>
      <c r="B181" s="131"/>
      <c r="C181" s="131"/>
      <c r="D181" s="131"/>
      <c r="E181" s="131"/>
      <c r="F181" s="76"/>
      <c r="G181" s="131"/>
      <c r="H181" s="131"/>
      <c r="I181" s="131"/>
      <c r="J181" s="131"/>
      <c r="L181" s="76"/>
      <c r="M181" s="131"/>
      <c r="N181" s="131"/>
      <c r="O181" s="131"/>
      <c r="P181" s="131"/>
    </row>
    <row r="182" spans="1:16" x14ac:dyDescent="0.25">
      <c r="A182" s="76"/>
      <c r="B182" s="131"/>
      <c r="C182" s="131"/>
      <c r="D182" s="131"/>
      <c r="E182" s="131"/>
      <c r="F182" s="76"/>
      <c r="G182" s="131"/>
      <c r="H182" s="131"/>
      <c r="I182" s="131"/>
      <c r="J182" s="131"/>
      <c r="L182" s="76"/>
      <c r="M182" s="131"/>
      <c r="N182" s="131"/>
      <c r="O182" s="131"/>
      <c r="P182" s="131"/>
    </row>
    <row r="183" spans="1:16" x14ac:dyDescent="0.25">
      <c r="A183" s="76"/>
      <c r="B183" s="131"/>
      <c r="C183" s="131"/>
      <c r="D183" s="131"/>
      <c r="E183" s="131"/>
      <c r="F183" s="76"/>
      <c r="G183" s="131"/>
      <c r="H183" s="131"/>
      <c r="I183" s="131"/>
      <c r="J183" s="131"/>
      <c r="L183" s="76"/>
      <c r="M183" s="131"/>
      <c r="N183" s="131"/>
      <c r="O183" s="131"/>
      <c r="P183" s="131"/>
    </row>
    <row r="184" spans="1:16" x14ac:dyDescent="0.25">
      <c r="A184" s="76"/>
      <c r="B184" s="131"/>
      <c r="C184" s="131"/>
      <c r="D184" s="131"/>
      <c r="E184" s="131"/>
      <c r="F184" s="76"/>
      <c r="G184" s="131"/>
      <c r="H184" s="131"/>
      <c r="I184" s="131"/>
      <c r="J184" s="131"/>
      <c r="L184" s="76"/>
      <c r="M184" s="131"/>
      <c r="N184" s="131"/>
      <c r="O184" s="131"/>
      <c r="P184" s="131"/>
    </row>
    <row r="185" spans="1:16" x14ac:dyDescent="0.25">
      <c r="A185" s="76"/>
      <c r="B185" s="131"/>
      <c r="C185" s="131"/>
      <c r="D185" s="131"/>
      <c r="E185" s="131"/>
      <c r="F185" s="76"/>
      <c r="G185" s="131"/>
      <c r="H185" s="131"/>
      <c r="I185" s="131"/>
      <c r="J185" s="131"/>
      <c r="L185" s="76"/>
      <c r="M185" s="131"/>
      <c r="N185" s="131"/>
      <c r="O185" s="131"/>
      <c r="P185" s="131"/>
    </row>
    <row r="186" spans="1:16" x14ac:dyDescent="0.25">
      <c r="A186" s="76"/>
      <c r="B186" s="131"/>
      <c r="C186" s="131"/>
      <c r="D186" s="131"/>
      <c r="E186" s="131"/>
      <c r="F186" s="76"/>
      <c r="G186" s="131"/>
      <c r="H186" s="131"/>
      <c r="I186" s="131"/>
      <c r="J186" s="131"/>
      <c r="L186" s="76"/>
      <c r="M186" s="131"/>
      <c r="N186" s="131"/>
      <c r="O186" s="131"/>
      <c r="P186" s="131"/>
    </row>
    <row r="187" spans="1:16" x14ac:dyDescent="0.25">
      <c r="A187" s="76"/>
      <c r="B187" s="131"/>
      <c r="C187" s="131"/>
      <c r="D187" s="131"/>
      <c r="E187" s="131"/>
      <c r="F187" s="76"/>
      <c r="G187" s="131"/>
      <c r="H187" s="131"/>
      <c r="I187" s="131"/>
      <c r="J187" s="131"/>
      <c r="L187" s="76"/>
      <c r="M187" s="131"/>
      <c r="N187" s="131"/>
      <c r="O187" s="131"/>
      <c r="P187" s="131"/>
    </row>
    <row r="188" spans="1:16" x14ac:dyDescent="0.25">
      <c r="A188" s="76"/>
      <c r="B188" s="131"/>
      <c r="C188" s="131"/>
      <c r="D188" s="131"/>
      <c r="E188" s="131"/>
      <c r="F188" s="76"/>
      <c r="G188" s="131"/>
      <c r="H188" s="131"/>
      <c r="I188" s="131"/>
      <c r="J188" s="131"/>
      <c r="L188" s="76"/>
      <c r="M188" s="131"/>
      <c r="N188" s="131"/>
      <c r="O188" s="131"/>
      <c r="P188" s="131"/>
    </row>
    <row r="189" spans="1:16" x14ac:dyDescent="0.25">
      <c r="A189" s="76"/>
      <c r="B189" s="131"/>
      <c r="C189" s="131"/>
      <c r="D189" s="131"/>
      <c r="E189" s="131"/>
      <c r="F189" s="76"/>
      <c r="G189" s="131"/>
      <c r="H189" s="131"/>
      <c r="I189" s="131"/>
      <c r="J189" s="131"/>
      <c r="L189" s="76"/>
      <c r="M189" s="131"/>
      <c r="N189" s="131"/>
      <c r="O189" s="131"/>
      <c r="P189" s="131"/>
    </row>
    <row r="190" spans="1:16" x14ac:dyDescent="0.25">
      <c r="A190" s="76"/>
      <c r="B190" s="131"/>
      <c r="C190" s="131"/>
      <c r="D190" s="131"/>
      <c r="E190" s="131"/>
      <c r="F190" s="76"/>
      <c r="G190" s="131"/>
      <c r="H190" s="131"/>
      <c r="I190" s="131"/>
      <c r="J190" s="131"/>
      <c r="L190" s="76"/>
      <c r="M190" s="131"/>
      <c r="N190" s="131"/>
      <c r="O190" s="131"/>
      <c r="P190" s="131"/>
    </row>
    <row r="191" spans="1:16" x14ac:dyDescent="0.25">
      <c r="A191" s="76"/>
      <c r="B191" s="131"/>
      <c r="C191" s="131"/>
      <c r="D191" s="131"/>
      <c r="E191" s="131"/>
      <c r="F191" s="76"/>
      <c r="G191" s="131"/>
      <c r="H191" s="131"/>
      <c r="I191" s="131"/>
      <c r="J191" s="131"/>
      <c r="L191" s="76"/>
      <c r="M191" s="131"/>
      <c r="N191" s="131"/>
      <c r="O191" s="131"/>
      <c r="P191" s="131"/>
    </row>
    <row r="192" spans="1:16" x14ac:dyDescent="0.25">
      <c r="A192" s="76"/>
      <c r="B192" s="131"/>
      <c r="C192" s="131"/>
      <c r="D192" s="131"/>
      <c r="E192" s="131"/>
      <c r="F192" s="76"/>
      <c r="G192" s="131"/>
      <c r="H192" s="131"/>
      <c r="I192" s="131"/>
      <c r="J192" s="131"/>
      <c r="L192" s="76"/>
      <c r="M192" s="131"/>
      <c r="N192" s="131"/>
      <c r="O192" s="131"/>
      <c r="P192" s="131"/>
    </row>
    <row r="193" spans="1:16" x14ac:dyDescent="0.25">
      <c r="A193" s="76"/>
      <c r="B193" s="131"/>
      <c r="C193" s="131"/>
      <c r="D193" s="131"/>
      <c r="E193" s="131"/>
      <c r="F193" s="76"/>
      <c r="G193" s="131"/>
      <c r="H193" s="131"/>
      <c r="I193" s="131"/>
      <c r="J193" s="131"/>
      <c r="L193" s="76"/>
      <c r="M193" s="131"/>
      <c r="N193" s="131"/>
      <c r="O193" s="131"/>
      <c r="P193" s="131"/>
    </row>
    <row r="194" spans="1:16" x14ac:dyDescent="0.25">
      <c r="A194" s="76"/>
      <c r="B194" s="131"/>
      <c r="C194" s="131"/>
      <c r="D194" s="131"/>
      <c r="E194" s="131"/>
      <c r="F194" s="76"/>
      <c r="G194" s="131"/>
      <c r="H194" s="131"/>
      <c r="I194" s="131"/>
      <c r="J194" s="131"/>
      <c r="L194" s="76"/>
      <c r="M194" s="131"/>
      <c r="N194" s="131"/>
      <c r="O194" s="131"/>
      <c r="P194" s="131"/>
    </row>
    <row r="195" spans="1:16" x14ac:dyDescent="0.25">
      <c r="A195" s="76"/>
      <c r="B195" s="131"/>
      <c r="C195" s="131"/>
      <c r="D195" s="131"/>
      <c r="E195" s="131"/>
      <c r="F195" s="76"/>
      <c r="G195" s="131"/>
      <c r="H195" s="131"/>
      <c r="I195" s="131"/>
      <c r="J195" s="131"/>
      <c r="L195" s="76"/>
      <c r="M195" s="131"/>
      <c r="N195" s="131"/>
      <c r="O195" s="131"/>
      <c r="P195" s="131"/>
    </row>
    <row r="196" spans="1:16" x14ac:dyDescent="0.25">
      <c r="A196" s="76"/>
      <c r="B196" s="131"/>
      <c r="C196" s="131"/>
      <c r="D196" s="131"/>
      <c r="E196" s="131"/>
      <c r="F196" s="76"/>
      <c r="G196" s="131"/>
      <c r="H196" s="131"/>
      <c r="I196" s="131"/>
      <c r="J196" s="131"/>
      <c r="L196" s="76"/>
      <c r="M196" s="131"/>
      <c r="N196" s="131"/>
      <c r="O196" s="131"/>
      <c r="P196" s="131"/>
    </row>
    <row r="197" spans="1:16" x14ac:dyDescent="0.25">
      <c r="A197" s="76"/>
      <c r="B197" s="131"/>
      <c r="C197" s="131"/>
      <c r="D197" s="131"/>
      <c r="E197" s="131"/>
      <c r="F197" s="76"/>
      <c r="G197" s="131"/>
      <c r="H197" s="131"/>
      <c r="I197" s="131"/>
      <c r="J197" s="131"/>
      <c r="L197" s="76"/>
      <c r="M197" s="131"/>
      <c r="N197" s="131"/>
      <c r="O197" s="131"/>
      <c r="P197" s="131"/>
    </row>
    <row r="198" spans="1:16" x14ac:dyDescent="0.25">
      <c r="A198" s="76"/>
      <c r="B198" s="131"/>
      <c r="C198" s="131"/>
      <c r="D198" s="131"/>
      <c r="E198" s="132"/>
      <c r="F198" s="76"/>
      <c r="G198" s="131"/>
      <c r="H198" s="131"/>
      <c r="I198" s="131"/>
      <c r="J198" s="132"/>
      <c r="L198" s="76"/>
      <c r="M198" s="131"/>
      <c r="N198" s="131"/>
      <c r="O198" s="131"/>
      <c r="P198" s="132"/>
    </row>
  </sheetData>
  <mergeCells count="16">
    <mergeCell ref="A19:A20"/>
    <mergeCell ref="A1:F1"/>
    <mergeCell ref="A12:A13"/>
    <mergeCell ref="B12:B13"/>
    <mergeCell ref="C12:C13"/>
    <mergeCell ref="D12:E12"/>
    <mergeCell ref="I26:I27"/>
    <mergeCell ref="A31:E31"/>
    <mergeCell ref="G31:K31"/>
    <mergeCell ref="A74:E74"/>
    <mergeCell ref="A26:A27"/>
    <mergeCell ref="B26:B27"/>
    <mergeCell ref="C26:C27"/>
    <mergeCell ref="D26:E26"/>
    <mergeCell ref="G26:G27"/>
    <mergeCell ref="H26:H27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G70"/>
  <sheetViews>
    <sheetView showGridLines="0" zoomScale="120" zoomScaleNormal="120" workbookViewId="0">
      <selection activeCell="I9" sqref="I9"/>
    </sheetView>
  </sheetViews>
  <sheetFormatPr baseColWidth="10" defaultRowHeight="15" x14ac:dyDescent="0.25"/>
  <cols>
    <col min="1" max="1" width="13.28515625" customWidth="1"/>
    <col min="2" max="2" width="11.28515625" bestFit="1" customWidth="1"/>
    <col min="3" max="3" width="11.85546875" bestFit="1" customWidth="1"/>
    <col min="4" max="4" width="13.7109375" bestFit="1" customWidth="1"/>
    <col min="5" max="5" width="14.140625" bestFit="1" customWidth="1"/>
    <col min="7" max="7" width="14.85546875" bestFit="1" customWidth="1"/>
    <col min="8" max="8" width="14.140625" bestFit="1" customWidth="1"/>
    <col min="9" max="9" width="11.85546875" bestFit="1" customWidth="1"/>
    <col min="10" max="10" width="13.85546875" bestFit="1" customWidth="1"/>
    <col min="11" max="11" width="12.5703125" bestFit="1" customWidth="1"/>
  </cols>
  <sheetData>
    <row r="1" spans="1:5" ht="27" customHeight="1" x14ac:dyDescent="0.25">
      <c r="A1" s="211" t="s">
        <v>148</v>
      </c>
      <c r="B1" s="212"/>
      <c r="C1" s="212"/>
      <c r="D1" s="212"/>
      <c r="E1" s="212"/>
    </row>
    <row r="3" spans="1:5" x14ac:dyDescent="0.25">
      <c r="A3" s="133" t="s">
        <v>149</v>
      </c>
      <c r="B3" s="134">
        <v>50000000</v>
      </c>
      <c r="C3" s="131"/>
    </row>
    <row r="4" spans="1:5" x14ac:dyDescent="0.25">
      <c r="A4" s="133" t="s">
        <v>150</v>
      </c>
      <c r="B4" s="135">
        <f>3*12</f>
        <v>36</v>
      </c>
    </row>
    <row r="5" spans="1:5" x14ac:dyDescent="0.25">
      <c r="A5" s="133" t="s">
        <v>151</v>
      </c>
      <c r="B5" s="135">
        <v>12</v>
      </c>
    </row>
    <row r="6" spans="1:5" x14ac:dyDescent="0.25">
      <c r="A6" s="133" t="s">
        <v>152</v>
      </c>
      <c r="B6" s="135">
        <f>+B4-B5</f>
        <v>24</v>
      </c>
    </row>
    <row r="7" spans="1:5" x14ac:dyDescent="0.25">
      <c r="A7" s="133" t="s">
        <v>153</v>
      </c>
      <c r="B7" s="136">
        <v>0.21</v>
      </c>
    </row>
    <row r="8" spans="1:5" x14ac:dyDescent="0.25">
      <c r="A8" s="133" t="s">
        <v>154</v>
      </c>
      <c r="B8" s="137">
        <f>+B7/12</f>
        <v>1.7499999999999998E-2</v>
      </c>
    </row>
    <row r="10" spans="1:5" x14ac:dyDescent="0.25">
      <c r="A10" s="124" t="s">
        <v>155</v>
      </c>
    </row>
    <row r="11" spans="1:5" ht="15.75" x14ac:dyDescent="0.25">
      <c r="A11" s="125" t="s">
        <v>156</v>
      </c>
    </row>
    <row r="13" spans="1:5" ht="53.25" customHeight="1" x14ac:dyDescent="0.25">
      <c r="A13" s="221" t="s">
        <v>66</v>
      </c>
      <c r="B13" s="221"/>
      <c r="C13" s="221"/>
      <c r="D13" s="221"/>
      <c r="E13" s="221"/>
    </row>
    <row r="14" spans="1:5" x14ac:dyDescent="0.25">
      <c r="A14" s="138" t="s">
        <v>5</v>
      </c>
      <c r="B14" s="138" t="s">
        <v>62</v>
      </c>
      <c r="C14" s="138" t="s">
        <v>63</v>
      </c>
      <c r="D14" s="138" t="s">
        <v>8</v>
      </c>
      <c r="E14" s="138" t="s">
        <v>64</v>
      </c>
    </row>
    <row r="15" spans="1:5" ht="15.75" x14ac:dyDescent="0.3">
      <c r="A15" s="139">
        <f>+B8</f>
        <v>1.7499999999999998E-2</v>
      </c>
      <c r="B15" s="106">
        <f>+B5</f>
        <v>12</v>
      </c>
      <c r="C15" s="106">
        <f>+B6</f>
        <v>24</v>
      </c>
      <c r="D15" s="106">
        <f>+B3</f>
        <v>50000000</v>
      </c>
      <c r="E15" s="44">
        <f>(D15*(1+A15)^B15)*((A15*(1+A15)^C15))/((1+A15)^C15-1)</f>
        <v>3163915.5407516253</v>
      </c>
    </row>
    <row r="17" spans="1:7" ht="15.75" x14ac:dyDescent="0.25">
      <c r="G17" s="125"/>
    </row>
    <row r="18" spans="1:7" ht="15.75" x14ac:dyDescent="0.25">
      <c r="A18" s="124" t="s">
        <v>157</v>
      </c>
      <c r="G18" s="125"/>
    </row>
    <row r="19" spans="1:7" ht="15.75" x14ac:dyDescent="0.25">
      <c r="A19" s="125" t="s">
        <v>158</v>
      </c>
      <c r="G19" s="125"/>
    </row>
    <row r="20" spans="1:7" ht="15.75" x14ac:dyDescent="0.25">
      <c r="G20" s="125"/>
    </row>
    <row r="21" spans="1:7" ht="15.75" x14ac:dyDescent="0.25">
      <c r="A21" s="140" t="s">
        <v>5</v>
      </c>
      <c r="B21" s="140" t="s">
        <v>77</v>
      </c>
      <c r="C21" s="140" t="s">
        <v>8</v>
      </c>
      <c r="D21" s="140" t="s">
        <v>1</v>
      </c>
      <c r="G21" s="125"/>
    </row>
    <row r="22" spans="1:7" ht="16.5" x14ac:dyDescent="0.3">
      <c r="A22" s="139">
        <f>+B8</f>
        <v>1.7499999999999998E-2</v>
      </c>
      <c r="B22" s="106">
        <v>12</v>
      </c>
      <c r="C22" s="106">
        <v>50000000</v>
      </c>
      <c r="D22" s="44">
        <f>+C22*(1+A22)^B22</f>
        <v>61571965.747239619</v>
      </c>
      <c r="G22" s="125"/>
    </row>
    <row r="23" spans="1:7" ht="15.75" x14ac:dyDescent="0.25">
      <c r="G23" s="125"/>
    </row>
    <row r="24" spans="1:7" ht="15.75" x14ac:dyDescent="0.25">
      <c r="A24" s="125" t="s">
        <v>159</v>
      </c>
      <c r="G24" s="125"/>
    </row>
    <row r="25" spans="1:7" ht="15.75" x14ac:dyDescent="0.25">
      <c r="G25" s="125"/>
    </row>
    <row r="26" spans="1:7" ht="15.75" x14ac:dyDescent="0.25">
      <c r="A26" s="221" t="s">
        <v>16</v>
      </c>
      <c r="B26" s="221"/>
      <c r="C26" s="221"/>
      <c r="D26" s="221"/>
      <c r="E26" s="221"/>
      <c r="G26" s="125"/>
    </row>
    <row r="27" spans="1:7" ht="15.75" x14ac:dyDescent="0.25">
      <c r="A27" s="222" t="s">
        <v>5</v>
      </c>
      <c r="B27" s="222" t="s">
        <v>2</v>
      </c>
      <c r="C27" s="222" t="s">
        <v>8</v>
      </c>
      <c r="D27" s="206" t="s">
        <v>64</v>
      </c>
      <c r="E27" s="206"/>
      <c r="G27" s="125"/>
    </row>
    <row r="28" spans="1:7" ht="15.75" x14ac:dyDescent="0.25">
      <c r="A28" s="222"/>
      <c r="B28" s="222"/>
      <c r="C28" s="222"/>
      <c r="D28" s="105" t="s">
        <v>126</v>
      </c>
      <c r="E28" s="105" t="s">
        <v>127</v>
      </c>
      <c r="G28" s="125"/>
    </row>
    <row r="29" spans="1:7" ht="16.5" x14ac:dyDescent="0.3">
      <c r="A29" s="42">
        <f>+A22</f>
        <v>1.7499999999999998E-2</v>
      </c>
      <c r="B29" s="106">
        <f>+B6</f>
        <v>24</v>
      </c>
      <c r="C29" s="106">
        <f>+D22</f>
        <v>61571965.747239619</v>
      </c>
      <c r="D29" s="44">
        <f>(((C29*((A29*(1+A29)^(B29))))/((1+A29)^(B29)-1)))</f>
        <v>3163915.5407516253</v>
      </c>
      <c r="E29" s="44">
        <f>+PMT(A29,B29,-C29)</f>
        <v>3163915.5407516365</v>
      </c>
      <c r="G29" s="125"/>
    </row>
    <row r="30" spans="1:7" ht="15.75" x14ac:dyDescent="0.25">
      <c r="G30" s="125"/>
    </row>
    <row r="31" spans="1:7" ht="15.75" x14ac:dyDescent="0.25">
      <c r="G31" s="125"/>
    </row>
    <row r="32" spans="1:7" x14ac:dyDescent="0.25">
      <c r="A32" s="215" t="s">
        <v>160</v>
      </c>
      <c r="B32" s="216"/>
      <c r="C32" s="216"/>
      <c r="D32" s="216"/>
      <c r="E32" s="217"/>
    </row>
    <row r="33" spans="1:5" x14ac:dyDescent="0.25">
      <c r="A33" s="110" t="s">
        <v>129</v>
      </c>
      <c r="B33" s="141" t="s">
        <v>130</v>
      </c>
      <c r="C33" s="112" t="s">
        <v>131</v>
      </c>
      <c r="D33" s="112" t="s">
        <v>132</v>
      </c>
      <c r="E33" s="112" t="s">
        <v>133</v>
      </c>
    </row>
    <row r="34" spans="1:5" x14ac:dyDescent="0.25">
      <c r="A34" s="142">
        <v>0</v>
      </c>
      <c r="B34" s="218" t="s">
        <v>161</v>
      </c>
      <c r="C34" s="143"/>
      <c r="D34" s="218" t="s">
        <v>161</v>
      </c>
      <c r="E34" s="116">
        <f>+D15</f>
        <v>50000000</v>
      </c>
    </row>
    <row r="35" spans="1:5" x14ac:dyDescent="0.25">
      <c r="A35" s="142">
        <v>1</v>
      </c>
      <c r="B35" s="219"/>
      <c r="C35" s="144">
        <f>+E34*$A$15</f>
        <v>874999.99999999988</v>
      </c>
      <c r="D35" s="219"/>
      <c r="E35" s="116">
        <f>+E34+C35</f>
        <v>50875000</v>
      </c>
    </row>
    <row r="36" spans="1:5" x14ac:dyDescent="0.25">
      <c r="A36" s="142">
        <v>2</v>
      </c>
      <c r="B36" s="219"/>
      <c r="C36" s="144">
        <f t="shared" ref="C36:C70" si="0">+E35*$A$15</f>
        <v>890312.49999999988</v>
      </c>
      <c r="D36" s="219"/>
      <c r="E36" s="116">
        <f t="shared" ref="E36:E46" si="1">+E35+C36</f>
        <v>51765312.5</v>
      </c>
    </row>
    <row r="37" spans="1:5" x14ac:dyDescent="0.25">
      <c r="A37" s="142">
        <v>3</v>
      </c>
      <c r="B37" s="219"/>
      <c r="C37" s="144">
        <f t="shared" si="0"/>
        <v>905892.96874999988</v>
      </c>
      <c r="D37" s="219"/>
      <c r="E37" s="116">
        <f t="shared" si="1"/>
        <v>52671205.46875</v>
      </c>
    </row>
    <row r="38" spans="1:5" x14ac:dyDescent="0.25">
      <c r="A38" s="142">
        <v>4</v>
      </c>
      <c r="B38" s="219"/>
      <c r="C38" s="144">
        <f t="shared" si="0"/>
        <v>921746.09570312488</v>
      </c>
      <c r="D38" s="219"/>
      <c r="E38" s="116">
        <f t="shared" si="1"/>
        <v>53592951.564453125</v>
      </c>
    </row>
    <row r="39" spans="1:5" x14ac:dyDescent="0.25">
      <c r="A39" s="142">
        <v>5</v>
      </c>
      <c r="B39" s="219"/>
      <c r="C39" s="144">
        <f t="shared" si="0"/>
        <v>937876.65237792954</v>
      </c>
      <c r="D39" s="219"/>
      <c r="E39" s="116">
        <f t="shared" si="1"/>
        <v>54530828.216831058</v>
      </c>
    </row>
    <row r="40" spans="1:5" x14ac:dyDescent="0.25">
      <c r="A40" s="142">
        <v>6</v>
      </c>
      <c r="B40" s="219"/>
      <c r="C40" s="144">
        <f t="shared" si="0"/>
        <v>954289.49379454344</v>
      </c>
      <c r="D40" s="219"/>
      <c r="E40" s="116">
        <f t="shared" si="1"/>
        <v>55485117.710625604</v>
      </c>
    </row>
    <row r="41" spans="1:5" x14ac:dyDescent="0.25">
      <c r="A41" s="142">
        <v>7</v>
      </c>
      <c r="B41" s="219"/>
      <c r="C41" s="144">
        <f t="shared" si="0"/>
        <v>970989.559935948</v>
      </c>
      <c r="D41" s="219"/>
      <c r="E41" s="116">
        <f t="shared" si="1"/>
        <v>56456107.270561554</v>
      </c>
    </row>
    <row r="42" spans="1:5" x14ac:dyDescent="0.25">
      <c r="A42" s="142">
        <v>8</v>
      </c>
      <c r="B42" s="219"/>
      <c r="C42" s="144">
        <f t="shared" si="0"/>
        <v>987981.87723482703</v>
      </c>
      <c r="D42" s="219"/>
      <c r="E42" s="116">
        <f t="shared" si="1"/>
        <v>57444089.147796378</v>
      </c>
    </row>
    <row r="43" spans="1:5" x14ac:dyDescent="0.25">
      <c r="A43" s="142">
        <v>9</v>
      </c>
      <c r="B43" s="219"/>
      <c r="C43" s="144">
        <f t="shared" si="0"/>
        <v>1005271.5600864365</v>
      </c>
      <c r="D43" s="219"/>
      <c r="E43" s="116">
        <f t="shared" si="1"/>
        <v>58449360.707882814</v>
      </c>
    </row>
    <row r="44" spans="1:5" x14ac:dyDescent="0.25">
      <c r="A44" s="142">
        <v>10</v>
      </c>
      <c r="B44" s="219"/>
      <c r="C44" s="144">
        <f t="shared" si="0"/>
        <v>1022863.8123879491</v>
      </c>
      <c r="D44" s="219"/>
      <c r="E44" s="116">
        <f t="shared" si="1"/>
        <v>59472224.520270765</v>
      </c>
    </row>
    <row r="45" spans="1:5" x14ac:dyDescent="0.25">
      <c r="A45" s="142">
        <v>11</v>
      </c>
      <c r="B45" s="219"/>
      <c r="C45" s="144">
        <f t="shared" si="0"/>
        <v>1040763.9291047383</v>
      </c>
      <c r="D45" s="219"/>
      <c r="E45" s="116">
        <f t="shared" si="1"/>
        <v>60512988.449375503</v>
      </c>
    </row>
    <row r="46" spans="1:5" x14ac:dyDescent="0.25">
      <c r="A46" s="142">
        <v>12</v>
      </c>
      <c r="B46" s="220"/>
      <c r="C46" s="144">
        <f t="shared" si="0"/>
        <v>1058977.2978640711</v>
      </c>
      <c r="D46" s="220"/>
      <c r="E46" s="118">
        <f t="shared" si="1"/>
        <v>61571965.747239575</v>
      </c>
    </row>
    <row r="47" spans="1:5" x14ac:dyDescent="0.25">
      <c r="A47" s="114">
        <v>13</v>
      </c>
      <c r="B47" s="145">
        <f>+$E$15</f>
        <v>3163915.5407516253</v>
      </c>
      <c r="C47" s="117">
        <f t="shared" si="0"/>
        <v>1077509.4005766925</v>
      </c>
      <c r="D47" s="117">
        <f>+B47-C47</f>
        <v>2086406.1401749328</v>
      </c>
      <c r="E47" s="116">
        <f>+E46-D47</f>
        <v>59485559.607064642</v>
      </c>
    </row>
    <row r="48" spans="1:5" x14ac:dyDescent="0.25">
      <c r="A48" s="114">
        <v>14</v>
      </c>
      <c r="B48" s="117">
        <f t="shared" ref="B48:B70" si="2">+$E$15</f>
        <v>3163915.5407516253</v>
      </c>
      <c r="C48" s="117">
        <f t="shared" si="0"/>
        <v>1040997.2931236312</v>
      </c>
      <c r="D48" s="117">
        <f t="shared" ref="D48:D70" si="3">+B48-C48</f>
        <v>2122918.247627994</v>
      </c>
      <c r="E48" s="116">
        <f t="shared" ref="E48:E70" si="4">+E47-D48</f>
        <v>57362641.359436646</v>
      </c>
    </row>
    <row r="49" spans="1:5" x14ac:dyDescent="0.25">
      <c r="A49" s="114">
        <v>15</v>
      </c>
      <c r="B49" s="117">
        <f t="shared" si="2"/>
        <v>3163915.5407516253</v>
      </c>
      <c r="C49" s="117">
        <f t="shared" si="0"/>
        <v>1003846.2237901412</v>
      </c>
      <c r="D49" s="117">
        <f t="shared" si="3"/>
        <v>2160069.316961484</v>
      </c>
      <c r="E49" s="116">
        <f t="shared" si="4"/>
        <v>55202572.042475164</v>
      </c>
    </row>
    <row r="50" spans="1:5" x14ac:dyDescent="0.25">
      <c r="A50" s="114">
        <v>16</v>
      </c>
      <c r="B50" s="117">
        <f t="shared" si="2"/>
        <v>3163915.5407516253</v>
      </c>
      <c r="C50" s="117">
        <f t="shared" si="0"/>
        <v>966045.01074331522</v>
      </c>
      <c r="D50" s="117">
        <f t="shared" si="3"/>
        <v>2197870.53000831</v>
      </c>
      <c r="E50" s="116">
        <f t="shared" si="4"/>
        <v>53004701.512466855</v>
      </c>
    </row>
    <row r="51" spans="1:5" x14ac:dyDescent="0.25">
      <c r="A51" s="114">
        <v>17</v>
      </c>
      <c r="B51" s="117">
        <f t="shared" si="2"/>
        <v>3163915.5407516253</v>
      </c>
      <c r="C51" s="117">
        <f t="shared" si="0"/>
        <v>927582.27646816988</v>
      </c>
      <c r="D51" s="117">
        <f t="shared" si="3"/>
        <v>2236333.2642834554</v>
      </c>
      <c r="E51" s="116">
        <f t="shared" si="4"/>
        <v>50768368.248183399</v>
      </c>
    </row>
    <row r="52" spans="1:5" x14ac:dyDescent="0.25">
      <c r="A52" s="114">
        <v>18</v>
      </c>
      <c r="B52" s="117">
        <f t="shared" si="2"/>
        <v>3163915.5407516253</v>
      </c>
      <c r="C52" s="117">
        <f t="shared" si="0"/>
        <v>888446.44434320938</v>
      </c>
      <c r="D52" s="117">
        <f t="shared" si="3"/>
        <v>2275469.0964084161</v>
      </c>
      <c r="E52" s="116">
        <f t="shared" si="4"/>
        <v>48492899.15177498</v>
      </c>
    </row>
    <row r="53" spans="1:5" x14ac:dyDescent="0.25">
      <c r="A53" s="114">
        <v>19</v>
      </c>
      <c r="B53" s="117">
        <f t="shared" si="2"/>
        <v>3163915.5407516253</v>
      </c>
      <c r="C53" s="117">
        <f t="shared" si="0"/>
        <v>848625.73515606206</v>
      </c>
      <c r="D53" s="117">
        <f t="shared" si="3"/>
        <v>2315289.8055955633</v>
      </c>
      <c r="E53" s="116">
        <f t="shared" si="4"/>
        <v>46177609.346179418</v>
      </c>
    </row>
    <row r="54" spans="1:5" x14ac:dyDescent="0.25">
      <c r="A54" s="114">
        <v>20</v>
      </c>
      <c r="B54" s="117">
        <f t="shared" si="2"/>
        <v>3163915.5407516253</v>
      </c>
      <c r="C54" s="117">
        <f t="shared" si="0"/>
        <v>808108.1635581397</v>
      </c>
      <c r="D54" s="117">
        <f t="shared" si="3"/>
        <v>2355807.3771934854</v>
      </c>
      <c r="E54" s="116">
        <f t="shared" si="4"/>
        <v>43821801.96898593</v>
      </c>
    </row>
    <row r="55" spans="1:5" x14ac:dyDescent="0.25">
      <c r="A55" s="114">
        <v>21</v>
      </c>
      <c r="B55" s="117">
        <f t="shared" si="2"/>
        <v>3163915.5407516253</v>
      </c>
      <c r="C55" s="117">
        <f t="shared" si="0"/>
        <v>766881.53445725364</v>
      </c>
      <c r="D55" s="117">
        <f t="shared" si="3"/>
        <v>2397034.0062943716</v>
      </c>
      <c r="E55" s="116">
        <f t="shared" si="4"/>
        <v>41424767.96269156</v>
      </c>
    </row>
    <row r="56" spans="1:5" x14ac:dyDescent="0.25">
      <c r="A56" s="114">
        <v>22</v>
      </c>
      <c r="B56" s="117">
        <f t="shared" si="2"/>
        <v>3163915.5407516253</v>
      </c>
      <c r="C56" s="117">
        <f t="shared" si="0"/>
        <v>724933.43934710219</v>
      </c>
      <c r="D56" s="117">
        <f t="shared" si="3"/>
        <v>2438982.101404523</v>
      </c>
      <c r="E56" s="116">
        <f t="shared" si="4"/>
        <v>38985785.861287035</v>
      </c>
    </row>
    <row r="57" spans="1:5" x14ac:dyDescent="0.25">
      <c r="A57" s="114">
        <v>23</v>
      </c>
      <c r="B57" s="117">
        <f t="shared" si="2"/>
        <v>3163915.5407516253</v>
      </c>
      <c r="C57" s="117">
        <f t="shared" si="0"/>
        <v>682251.25257252308</v>
      </c>
      <c r="D57" s="117">
        <f t="shared" si="3"/>
        <v>2481664.2881791024</v>
      </c>
      <c r="E57" s="116">
        <f t="shared" si="4"/>
        <v>36504121.573107935</v>
      </c>
    </row>
    <row r="58" spans="1:5" x14ac:dyDescent="0.25">
      <c r="A58" s="114">
        <v>24</v>
      </c>
      <c r="B58" s="117">
        <f t="shared" si="2"/>
        <v>3163915.5407516253</v>
      </c>
      <c r="C58" s="117">
        <f t="shared" si="0"/>
        <v>638822.12752938876</v>
      </c>
      <c r="D58" s="117">
        <f t="shared" si="3"/>
        <v>2525093.4132222366</v>
      </c>
      <c r="E58" s="116">
        <f t="shared" si="4"/>
        <v>33979028.159885697</v>
      </c>
    </row>
    <row r="59" spans="1:5" x14ac:dyDescent="0.25">
      <c r="A59" s="114">
        <v>25</v>
      </c>
      <c r="B59" s="117">
        <f t="shared" si="2"/>
        <v>3163915.5407516253</v>
      </c>
      <c r="C59" s="117">
        <f t="shared" si="0"/>
        <v>594632.99279799964</v>
      </c>
      <c r="D59" s="117">
        <f t="shared" si="3"/>
        <v>2569282.5479536257</v>
      </c>
      <c r="E59" s="116">
        <f t="shared" si="4"/>
        <v>31409745.611932073</v>
      </c>
    </row>
    <row r="60" spans="1:5" x14ac:dyDescent="0.25">
      <c r="A60" s="114">
        <v>26</v>
      </c>
      <c r="B60" s="117">
        <f t="shared" si="2"/>
        <v>3163915.5407516253</v>
      </c>
      <c r="C60" s="117">
        <f t="shared" si="0"/>
        <v>549670.5482088112</v>
      </c>
      <c r="D60" s="117">
        <f t="shared" si="3"/>
        <v>2614244.992542814</v>
      </c>
      <c r="E60" s="116">
        <f t="shared" si="4"/>
        <v>28795500.619389258</v>
      </c>
    </row>
    <row r="61" spans="1:5" x14ac:dyDescent="0.25">
      <c r="A61" s="114">
        <v>27</v>
      </c>
      <c r="B61" s="117">
        <f t="shared" si="2"/>
        <v>3163915.5407516253</v>
      </c>
      <c r="C61" s="117">
        <f t="shared" si="0"/>
        <v>503921.26083931199</v>
      </c>
      <c r="D61" s="117">
        <f t="shared" si="3"/>
        <v>2659994.2799123134</v>
      </c>
      <c r="E61" s="116">
        <f t="shared" si="4"/>
        <v>26135506.339476943</v>
      </c>
    </row>
    <row r="62" spans="1:5" x14ac:dyDescent="0.25">
      <c r="A62" s="114">
        <v>28</v>
      </c>
      <c r="B62" s="117">
        <f t="shared" si="2"/>
        <v>3163915.5407516253</v>
      </c>
      <c r="C62" s="117">
        <f t="shared" si="0"/>
        <v>457371.36094084644</v>
      </c>
      <c r="D62" s="117">
        <f t="shared" si="3"/>
        <v>2706544.1798107787</v>
      </c>
      <c r="E62" s="116">
        <f t="shared" si="4"/>
        <v>23428962.159666166</v>
      </c>
    </row>
    <row r="63" spans="1:5" x14ac:dyDescent="0.25">
      <c r="A63" s="114">
        <v>29</v>
      </c>
      <c r="B63" s="117">
        <f t="shared" si="2"/>
        <v>3163915.5407516253</v>
      </c>
      <c r="C63" s="117">
        <f t="shared" si="0"/>
        <v>410006.83779415785</v>
      </c>
      <c r="D63" s="117">
        <f t="shared" si="3"/>
        <v>2753908.7029574676</v>
      </c>
      <c r="E63" s="116">
        <f t="shared" si="4"/>
        <v>20675053.456708699</v>
      </c>
    </row>
    <row r="64" spans="1:5" x14ac:dyDescent="0.25">
      <c r="A64" s="114">
        <v>30</v>
      </c>
      <c r="B64" s="117">
        <f t="shared" si="2"/>
        <v>3163915.5407516253</v>
      </c>
      <c r="C64" s="117">
        <f t="shared" si="0"/>
        <v>361813.43549240218</v>
      </c>
      <c r="D64" s="117">
        <f t="shared" si="3"/>
        <v>2802102.1052592229</v>
      </c>
      <c r="E64" s="116">
        <f t="shared" si="4"/>
        <v>17872951.351449475</v>
      </c>
    </row>
    <row r="65" spans="1:5" x14ac:dyDescent="0.25">
      <c r="A65" s="114">
        <v>31</v>
      </c>
      <c r="B65" s="117">
        <f t="shared" si="2"/>
        <v>3163915.5407516253</v>
      </c>
      <c r="C65" s="117">
        <f t="shared" si="0"/>
        <v>312776.64865036577</v>
      </c>
      <c r="D65" s="117">
        <f t="shared" si="3"/>
        <v>2851138.8921012594</v>
      </c>
      <c r="E65" s="116">
        <f t="shared" si="4"/>
        <v>15021812.459348215</v>
      </c>
    </row>
    <row r="66" spans="1:5" x14ac:dyDescent="0.25">
      <c r="A66" s="114">
        <v>32</v>
      </c>
      <c r="B66" s="117">
        <f t="shared" si="2"/>
        <v>3163915.5407516253</v>
      </c>
      <c r="C66" s="117">
        <f t="shared" si="0"/>
        <v>262881.71803859371</v>
      </c>
      <c r="D66" s="117">
        <f t="shared" si="3"/>
        <v>2901033.8227130314</v>
      </c>
      <c r="E66" s="116">
        <f t="shared" si="4"/>
        <v>12120778.636635184</v>
      </c>
    </row>
    <row r="67" spans="1:5" x14ac:dyDescent="0.25">
      <c r="A67" s="114">
        <v>33</v>
      </c>
      <c r="B67" s="117">
        <f t="shared" si="2"/>
        <v>3163915.5407516253</v>
      </c>
      <c r="C67" s="117">
        <f t="shared" si="0"/>
        <v>212113.6261411157</v>
      </c>
      <c r="D67" s="117">
        <f t="shared" si="3"/>
        <v>2951801.9146105098</v>
      </c>
      <c r="E67" s="116">
        <f t="shared" si="4"/>
        <v>9168976.7220246755</v>
      </c>
    </row>
    <row r="68" spans="1:5" x14ac:dyDescent="0.25">
      <c r="A68" s="114">
        <v>34</v>
      </c>
      <c r="B68" s="117">
        <f t="shared" si="2"/>
        <v>3163915.5407516253</v>
      </c>
      <c r="C68" s="117">
        <f t="shared" si="0"/>
        <v>160457.09263543179</v>
      </c>
      <c r="D68" s="117">
        <f t="shared" si="3"/>
        <v>3003458.4481161935</v>
      </c>
      <c r="E68" s="116">
        <f t="shared" si="4"/>
        <v>6165518.2739084819</v>
      </c>
    </row>
    <row r="69" spans="1:5" x14ac:dyDescent="0.25">
      <c r="A69" s="114">
        <v>35</v>
      </c>
      <c r="B69" s="117">
        <f t="shared" si="2"/>
        <v>3163915.5407516253</v>
      </c>
      <c r="C69" s="117">
        <f t="shared" si="0"/>
        <v>107896.56979339842</v>
      </c>
      <c r="D69" s="117">
        <f t="shared" si="3"/>
        <v>3056018.9709582268</v>
      </c>
      <c r="E69" s="116">
        <f t="shared" si="4"/>
        <v>3109499.3029502551</v>
      </c>
    </row>
    <row r="70" spans="1:5" x14ac:dyDescent="0.25">
      <c r="A70" s="114">
        <v>36</v>
      </c>
      <c r="B70" s="117">
        <f t="shared" si="2"/>
        <v>3163915.5407516253</v>
      </c>
      <c r="C70" s="117">
        <f t="shared" si="0"/>
        <v>54416.237801629461</v>
      </c>
      <c r="D70" s="117">
        <f t="shared" si="3"/>
        <v>3109499.3029499957</v>
      </c>
      <c r="E70" s="118">
        <f t="shared" si="4"/>
        <v>2.5937333703041077E-7</v>
      </c>
    </row>
  </sheetData>
  <mergeCells count="10">
    <mergeCell ref="A1:E1"/>
    <mergeCell ref="A32:E32"/>
    <mergeCell ref="B34:B46"/>
    <mergeCell ref="D34:D46"/>
    <mergeCell ref="A13:E13"/>
    <mergeCell ref="A26:E26"/>
    <mergeCell ref="A27:A28"/>
    <mergeCell ref="B27:B28"/>
    <mergeCell ref="C27:C28"/>
    <mergeCell ref="D27:E2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F194"/>
  <sheetViews>
    <sheetView showGridLines="0" zoomScale="120" zoomScaleNormal="120" workbookViewId="0">
      <selection activeCell="G17" sqref="G17"/>
    </sheetView>
  </sheetViews>
  <sheetFormatPr baseColWidth="10" defaultRowHeight="15" x14ac:dyDescent="0.25"/>
  <cols>
    <col min="1" max="1" width="13.85546875" bestFit="1" customWidth="1"/>
    <col min="2" max="2" width="12" bestFit="1" customWidth="1"/>
    <col min="3" max="3" width="13" bestFit="1" customWidth="1"/>
    <col min="5" max="5" width="14.140625" bestFit="1" customWidth="1"/>
  </cols>
  <sheetData>
    <row r="1" spans="1:6" ht="30" customHeight="1" x14ac:dyDescent="0.25">
      <c r="A1" s="211" t="s">
        <v>162</v>
      </c>
      <c r="B1" s="212"/>
      <c r="C1" s="212"/>
      <c r="D1" s="212"/>
      <c r="E1" s="212"/>
      <c r="F1" s="212"/>
    </row>
    <row r="3" spans="1:6" x14ac:dyDescent="0.25">
      <c r="A3" s="133" t="s">
        <v>149</v>
      </c>
      <c r="B3" s="134">
        <v>224000000</v>
      </c>
    </row>
    <row r="4" spans="1:6" x14ac:dyDescent="0.25">
      <c r="A4" s="133" t="s">
        <v>150</v>
      </c>
      <c r="B4" s="135">
        <v>180</v>
      </c>
    </row>
    <row r="5" spans="1:6" x14ac:dyDescent="0.25">
      <c r="A5" s="133" t="s">
        <v>19</v>
      </c>
      <c r="B5" s="134">
        <v>5000</v>
      </c>
    </row>
    <row r="6" spans="1:6" x14ac:dyDescent="0.25">
      <c r="A6" s="133" t="s">
        <v>163</v>
      </c>
      <c r="B6" s="146">
        <v>1.02368443581764E-2</v>
      </c>
    </row>
    <row r="8" spans="1:6" ht="28.5" customHeight="1" x14ac:dyDescent="0.25">
      <c r="A8" s="221" t="s">
        <v>29</v>
      </c>
      <c r="B8" s="221"/>
      <c r="C8" s="221"/>
      <c r="D8" s="221"/>
      <c r="E8" s="221"/>
    </row>
    <row r="9" spans="1:6" x14ac:dyDescent="0.25">
      <c r="A9" s="105" t="s">
        <v>5</v>
      </c>
      <c r="B9" s="105" t="s">
        <v>2</v>
      </c>
      <c r="C9" s="105" t="s">
        <v>8</v>
      </c>
      <c r="D9" s="105" t="s">
        <v>19</v>
      </c>
      <c r="E9" s="105" t="s">
        <v>164</v>
      </c>
    </row>
    <row r="10" spans="1:6" ht="15.75" x14ac:dyDescent="0.3">
      <c r="A10" s="42">
        <f>+B6</f>
        <v>1.02368443581764E-2</v>
      </c>
      <c r="B10" s="106">
        <f>+B4</f>
        <v>180</v>
      </c>
      <c r="C10" s="106">
        <f>+B3</f>
        <v>224000000</v>
      </c>
      <c r="D10" s="106">
        <f>+B5</f>
        <v>5000</v>
      </c>
      <c r="E10" s="57">
        <f>+C10*(A10*(1+A10)^B10)/((1+A10)^B10-1)-D10*((1/A10)-((B10/((1+A10)^B10-1))))</f>
        <v>2412327.6529967943</v>
      </c>
    </row>
    <row r="12" spans="1:6" x14ac:dyDescent="0.25">
      <c r="A12" s="215" t="s">
        <v>165</v>
      </c>
      <c r="B12" s="216"/>
      <c r="C12" s="216"/>
      <c r="D12" s="216"/>
      <c r="E12" s="217"/>
    </row>
    <row r="13" spans="1:6" x14ac:dyDescent="0.25">
      <c r="A13" s="110" t="s">
        <v>129</v>
      </c>
      <c r="B13" s="111" t="s">
        <v>130</v>
      </c>
      <c r="C13" s="112" t="s">
        <v>131</v>
      </c>
      <c r="D13" s="112" t="s">
        <v>132</v>
      </c>
      <c r="E13" s="112" t="s">
        <v>133</v>
      </c>
    </row>
    <row r="14" spans="1:6" x14ac:dyDescent="0.25">
      <c r="A14" s="114">
        <v>0</v>
      </c>
      <c r="B14" s="115"/>
      <c r="C14" s="115"/>
      <c r="D14" s="115"/>
      <c r="E14" s="116">
        <f>+C10</f>
        <v>224000000</v>
      </c>
    </row>
    <row r="15" spans="1:6" x14ac:dyDescent="0.25">
      <c r="A15" s="114">
        <v>1</v>
      </c>
      <c r="B15" s="117">
        <f>+E10</f>
        <v>2412327.6529967943</v>
      </c>
      <c r="C15" s="117">
        <f>+E14*$A$10</f>
        <v>2293053.1362315137</v>
      </c>
      <c r="D15" s="117">
        <f>+B15-C15</f>
        <v>119274.51676528063</v>
      </c>
      <c r="E15" s="116">
        <f>+E14-D15</f>
        <v>223880725.48323473</v>
      </c>
    </row>
    <row r="16" spans="1:6" x14ac:dyDescent="0.25">
      <c r="A16" s="114">
        <v>2</v>
      </c>
      <c r="B16" s="117">
        <f>+B15+$D$10</f>
        <v>2417327.6529967943</v>
      </c>
      <c r="C16" s="117">
        <f t="shared" ref="C16:C79" si="0">+E15*$A$10</f>
        <v>2291832.141567491</v>
      </c>
      <c r="D16" s="117">
        <f t="shared" ref="D16:D79" si="1">+B16-C16</f>
        <v>125495.51142930333</v>
      </c>
      <c r="E16" s="116">
        <f t="shared" ref="E16:E79" si="2">+E15-D16</f>
        <v>223755229.97180542</v>
      </c>
    </row>
    <row r="17" spans="1:5" x14ac:dyDescent="0.25">
      <c r="A17" s="114">
        <v>3</v>
      </c>
      <c r="B17" s="117">
        <f t="shared" ref="B17:B80" si="3">+B16+$D$10</f>
        <v>2422327.6529967943</v>
      </c>
      <c r="C17" s="117">
        <f t="shared" si="0"/>
        <v>2290547.4635493392</v>
      </c>
      <c r="D17" s="117">
        <f t="shared" si="1"/>
        <v>131780.18944745511</v>
      </c>
      <c r="E17" s="116">
        <f t="shared" si="2"/>
        <v>223623449.78235796</v>
      </c>
    </row>
    <row r="18" spans="1:5" x14ac:dyDescent="0.25">
      <c r="A18" s="114">
        <v>4</v>
      </c>
      <c r="B18" s="117">
        <f t="shared" si="3"/>
        <v>2427327.6529967943</v>
      </c>
      <c r="C18" s="117">
        <f t="shared" si="0"/>
        <v>2289198.4502604748</v>
      </c>
      <c r="D18" s="117">
        <f t="shared" si="1"/>
        <v>138129.20273631951</v>
      </c>
      <c r="E18" s="116">
        <f t="shared" si="2"/>
        <v>223485320.57962164</v>
      </c>
    </row>
    <row r="19" spans="1:5" x14ac:dyDescent="0.25">
      <c r="A19" s="114">
        <v>5</v>
      </c>
      <c r="B19" s="117">
        <f t="shared" si="3"/>
        <v>2432327.6529967943</v>
      </c>
      <c r="C19" s="117">
        <f t="shared" si="0"/>
        <v>2287784.443110744</v>
      </c>
      <c r="D19" s="117">
        <f t="shared" si="1"/>
        <v>144543.20988605032</v>
      </c>
      <c r="E19" s="116">
        <f t="shared" si="2"/>
        <v>223340777.3697356</v>
      </c>
    </row>
    <row r="20" spans="1:5" x14ac:dyDescent="0.25">
      <c r="A20" s="114">
        <v>6</v>
      </c>
      <c r="B20" s="117">
        <f t="shared" si="3"/>
        <v>2437327.6529967943</v>
      </c>
      <c r="C20" s="117">
        <f t="shared" si="0"/>
        <v>2286304.7767681093</v>
      </c>
      <c r="D20" s="117">
        <f t="shared" si="1"/>
        <v>151022.87622868503</v>
      </c>
      <c r="E20" s="116">
        <f t="shared" si="2"/>
        <v>223189754.49350691</v>
      </c>
    </row>
    <row r="21" spans="1:5" x14ac:dyDescent="0.25">
      <c r="A21" s="114">
        <v>7</v>
      </c>
      <c r="B21" s="117">
        <f t="shared" si="3"/>
        <v>2442327.6529967943</v>
      </c>
      <c r="C21" s="117">
        <f t="shared" si="0"/>
        <v>2284758.779089632</v>
      </c>
      <c r="D21" s="117">
        <f t="shared" si="1"/>
        <v>157568.87390716234</v>
      </c>
      <c r="E21" s="116">
        <f t="shared" si="2"/>
        <v>223032185.61959976</v>
      </c>
    </row>
    <row r="22" spans="1:5" x14ac:dyDescent="0.25">
      <c r="A22" s="114">
        <v>8</v>
      </c>
      <c r="B22" s="117">
        <f t="shared" si="3"/>
        <v>2447327.6529967943</v>
      </c>
      <c r="C22" s="117">
        <f t="shared" si="0"/>
        <v>2283145.7710517514</v>
      </c>
      <c r="D22" s="117">
        <f t="shared" si="1"/>
        <v>164181.88194504287</v>
      </c>
      <c r="E22" s="116">
        <f t="shared" si="2"/>
        <v>222868003.73765472</v>
      </c>
    </row>
    <row r="23" spans="1:5" x14ac:dyDescent="0.25">
      <c r="A23" s="114">
        <v>9</v>
      </c>
      <c r="B23" s="117">
        <f t="shared" si="3"/>
        <v>2452327.6529967943</v>
      </c>
      <c r="C23" s="117">
        <f t="shared" si="0"/>
        <v>2281465.0666798474</v>
      </c>
      <c r="D23" s="117">
        <f t="shared" si="1"/>
        <v>170862.58631694689</v>
      </c>
      <c r="E23" s="116">
        <f t="shared" si="2"/>
        <v>222697141.15133777</v>
      </c>
    </row>
    <row r="24" spans="1:5" x14ac:dyDescent="0.25">
      <c r="A24" s="114">
        <v>10</v>
      </c>
      <c r="B24" s="117">
        <f t="shared" si="3"/>
        <v>2457327.6529967943</v>
      </c>
      <c r="C24" s="117">
        <f t="shared" si="0"/>
        <v>2279715.9729770855</v>
      </c>
      <c r="D24" s="117">
        <f t="shared" si="1"/>
        <v>177611.68001970882</v>
      </c>
      <c r="E24" s="116">
        <f t="shared" si="2"/>
        <v>222519529.47131807</v>
      </c>
    </row>
    <row r="25" spans="1:5" x14ac:dyDescent="0.25">
      <c r="A25" s="114">
        <v>11</v>
      </c>
      <c r="B25" s="117">
        <f t="shared" si="3"/>
        <v>2462327.6529967943</v>
      </c>
      <c r="C25" s="117">
        <f t="shared" si="0"/>
        <v>2277897.7898525298</v>
      </c>
      <c r="D25" s="117">
        <f t="shared" si="1"/>
        <v>184429.86314426456</v>
      </c>
      <c r="E25" s="116">
        <f t="shared" si="2"/>
        <v>222335099.60817379</v>
      </c>
    </row>
    <row r="26" spans="1:5" x14ac:dyDescent="0.25">
      <c r="A26" s="114">
        <v>12</v>
      </c>
      <c r="B26" s="117">
        <f t="shared" si="3"/>
        <v>2467327.6529967943</v>
      </c>
      <c r="C26" s="117">
        <f t="shared" si="0"/>
        <v>2276009.810048522</v>
      </c>
      <c r="D26" s="117">
        <f t="shared" si="1"/>
        <v>191317.84294827236</v>
      </c>
      <c r="E26" s="116">
        <f t="shared" si="2"/>
        <v>222143781.76522553</v>
      </c>
    </row>
    <row r="27" spans="1:5" x14ac:dyDescent="0.25">
      <c r="A27" s="114">
        <v>13</v>
      </c>
      <c r="B27" s="117">
        <f t="shared" si="3"/>
        <v>2472327.6529967943</v>
      </c>
      <c r="C27" s="117">
        <f t="shared" si="0"/>
        <v>2274051.3190673185</v>
      </c>
      <c r="D27" s="117">
        <f t="shared" si="1"/>
        <v>198276.33392947586</v>
      </c>
      <c r="E27" s="116">
        <f t="shared" si="2"/>
        <v>221945505.43129605</v>
      </c>
    </row>
    <row r="28" spans="1:5" x14ac:dyDescent="0.25">
      <c r="A28" s="114">
        <v>14</v>
      </c>
      <c r="B28" s="117">
        <f t="shared" si="3"/>
        <v>2477327.6529967943</v>
      </c>
      <c r="C28" s="117">
        <f t="shared" si="0"/>
        <v>2272021.5950969728</v>
      </c>
      <c r="D28" s="117">
        <f t="shared" si="1"/>
        <v>205306.05789982155</v>
      </c>
      <c r="E28" s="116">
        <f t="shared" si="2"/>
        <v>221740199.37339622</v>
      </c>
    </row>
    <row r="29" spans="1:5" x14ac:dyDescent="0.25">
      <c r="A29" s="114">
        <v>15</v>
      </c>
      <c r="B29" s="117">
        <f t="shared" si="3"/>
        <v>2482327.6529967943</v>
      </c>
      <c r="C29" s="117">
        <f t="shared" si="0"/>
        <v>2269919.9089364614</v>
      </c>
      <c r="D29" s="117">
        <f t="shared" si="1"/>
        <v>212407.74406033289</v>
      </c>
      <c r="E29" s="116">
        <f t="shared" si="2"/>
        <v>221527791.62933588</v>
      </c>
    </row>
    <row r="30" spans="1:5" x14ac:dyDescent="0.25">
      <c r="A30" s="114">
        <v>16</v>
      </c>
      <c r="B30" s="117">
        <f t="shared" si="3"/>
        <v>2487327.6529967943</v>
      </c>
      <c r="C30" s="117">
        <f t="shared" si="0"/>
        <v>2267745.5239200443</v>
      </c>
      <c r="D30" s="117">
        <f t="shared" si="1"/>
        <v>219582.12907675002</v>
      </c>
      <c r="E30" s="116">
        <f t="shared" si="2"/>
        <v>221308209.50025913</v>
      </c>
    </row>
    <row r="31" spans="1:5" x14ac:dyDescent="0.25">
      <c r="A31" s="114">
        <v>17</v>
      </c>
      <c r="B31" s="117">
        <f t="shared" si="3"/>
        <v>2492327.6529967943</v>
      </c>
      <c r="C31" s="117">
        <f t="shared" si="0"/>
        <v>2265497.6958408486</v>
      </c>
      <c r="D31" s="117">
        <f t="shared" si="1"/>
        <v>226829.95715594571</v>
      </c>
      <c r="E31" s="116">
        <f t="shared" si="2"/>
        <v>221081379.54310319</v>
      </c>
    </row>
    <row r="32" spans="1:5" x14ac:dyDescent="0.25">
      <c r="A32" s="114">
        <v>18</v>
      </c>
      <c r="B32" s="117">
        <f t="shared" si="3"/>
        <v>2497327.6529967943</v>
      </c>
      <c r="C32" s="117">
        <f t="shared" si="0"/>
        <v>2263175.6728736712</v>
      </c>
      <c r="D32" s="117">
        <f t="shared" si="1"/>
        <v>234151.98012312315</v>
      </c>
      <c r="E32" s="116">
        <f t="shared" si="2"/>
        <v>220847227.56298006</v>
      </c>
    </row>
    <row r="33" spans="1:5" x14ac:dyDescent="0.25">
      <c r="A33" s="114">
        <v>19</v>
      </c>
      <c r="B33" s="117">
        <f t="shared" si="3"/>
        <v>2502327.6529967943</v>
      </c>
      <c r="C33" s="117">
        <f t="shared" si="0"/>
        <v>2260778.6954969917</v>
      </c>
      <c r="D33" s="117">
        <f t="shared" si="1"/>
        <v>241548.95749980258</v>
      </c>
      <c r="E33" s="116">
        <f t="shared" si="2"/>
        <v>220605678.60548025</v>
      </c>
    </row>
    <row r="34" spans="1:5" x14ac:dyDescent="0.25">
      <c r="A34" s="114">
        <v>20</v>
      </c>
      <c r="B34" s="117">
        <f t="shared" si="3"/>
        <v>2507327.6529967943</v>
      </c>
      <c r="C34" s="117">
        <f t="shared" si="0"/>
        <v>2258305.9964141869</v>
      </c>
      <c r="D34" s="117">
        <f t="shared" si="1"/>
        <v>249021.65658260742</v>
      </c>
      <c r="E34" s="116">
        <f t="shared" si="2"/>
        <v>220356656.94889766</v>
      </c>
    </row>
    <row r="35" spans="1:5" x14ac:dyDescent="0.25">
      <c r="A35" s="114">
        <v>21</v>
      </c>
      <c r="B35" s="117">
        <f t="shared" si="3"/>
        <v>2512327.6529967943</v>
      </c>
      <c r="C35" s="117">
        <f t="shared" si="0"/>
        <v>2255756.8004739354</v>
      </c>
      <c r="D35" s="117">
        <f t="shared" si="1"/>
        <v>256570.85252285888</v>
      </c>
      <c r="E35" s="116">
        <f t="shared" si="2"/>
        <v>220100086.09637481</v>
      </c>
    </row>
    <row r="36" spans="1:5" x14ac:dyDescent="0.25">
      <c r="A36" s="114">
        <v>22</v>
      </c>
      <c r="B36" s="117">
        <f t="shared" si="3"/>
        <v>2517327.6529967943</v>
      </c>
      <c r="C36" s="117">
        <f t="shared" si="0"/>
        <v>2253130.3245898145</v>
      </c>
      <c r="D36" s="117">
        <f t="shared" si="1"/>
        <v>264197.3284069798</v>
      </c>
      <c r="E36" s="116">
        <f t="shared" si="2"/>
        <v>219835888.76796782</v>
      </c>
    </row>
    <row r="37" spans="1:5" x14ac:dyDescent="0.25">
      <c r="A37" s="114">
        <v>23</v>
      </c>
      <c r="B37" s="117">
        <f t="shared" si="3"/>
        <v>2522327.6529967943</v>
      </c>
      <c r="C37" s="117">
        <f t="shared" si="0"/>
        <v>2250425.777659066</v>
      </c>
      <c r="D37" s="117">
        <f t="shared" si="1"/>
        <v>271901.8753377283</v>
      </c>
      <c r="E37" s="116">
        <f t="shared" si="2"/>
        <v>219563986.8926301</v>
      </c>
    </row>
    <row r="38" spans="1:5" x14ac:dyDescent="0.25">
      <c r="A38" s="114">
        <v>24</v>
      </c>
      <c r="B38" s="117">
        <f t="shared" si="3"/>
        <v>2527327.6529967943</v>
      </c>
      <c r="C38" s="117">
        <f t="shared" si="0"/>
        <v>2247642.3604805376</v>
      </c>
      <c r="D38" s="117">
        <f t="shared" si="1"/>
        <v>279685.29251625668</v>
      </c>
      <c r="E38" s="116">
        <f t="shared" si="2"/>
        <v>219284301.60011384</v>
      </c>
    </row>
    <row r="39" spans="1:5" x14ac:dyDescent="0.25">
      <c r="A39" s="114">
        <v>25</v>
      </c>
      <c r="B39" s="117">
        <f t="shared" si="3"/>
        <v>2532327.6529967943</v>
      </c>
      <c r="C39" s="117">
        <f t="shared" si="0"/>
        <v>2244779.2656717775</v>
      </c>
      <c r="D39" s="117">
        <f t="shared" si="1"/>
        <v>287548.38732501678</v>
      </c>
      <c r="E39" s="116">
        <f t="shared" si="2"/>
        <v>218996753.21278882</v>
      </c>
    </row>
    <row r="40" spans="1:5" x14ac:dyDescent="0.25">
      <c r="A40" s="114">
        <v>26</v>
      </c>
      <c r="B40" s="117">
        <f t="shared" si="3"/>
        <v>2537327.6529967943</v>
      </c>
      <c r="C40" s="117">
        <f t="shared" si="0"/>
        <v>2241835.6775852866</v>
      </c>
      <c r="D40" s="117">
        <f t="shared" si="1"/>
        <v>295491.97541150777</v>
      </c>
      <c r="E40" s="116">
        <f t="shared" si="2"/>
        <v>218701261.23737732</v>
      </c>
    </row>
    <row r="41" spans="1:5" x14ac:dyDescent="0.25">
      <c r="A41" s="114">
        <v>27</v>
      </c>
      <c r="B41" s="117">
        <f t="shared" si="3"/>
        <v>2542327.6529967943</v>
      </c>
      <c r="C41" s="117">
        <f t="shared" si="0"/>
        <v>2238810.7722239089</v>
      </c>
      <c r="D41" s="117">
        <f t="shared" si="1"/>
        <v>303516.8807728854</v>
      </c>
      <c r="E41" s="116">
        <f t="shared" si="2"/>
        <v>218397744.35660443</v>
      </c>
    </row>
    <row r="42" spans="1:5" x14ac:dyDescent="0.25">
      <c r="A42" s="114">
        <v>28</v>
      </c>
      <c r="B42" s="117">
        <f t="shared" si="3"/>
        <v>2547327.6529967943</v>
      </c>
      <c r="C42" s="117">
        <f t="shared" si="0"/>
        <v>2235703.7171553578</v>
      </c>
      <c r="D42" s="117">
        <f t="shared" si="1"/>
        <v>311623.9358414365</v>
      </c>
      <c r="E42" s="116">
        <f t="shared" si="2"/>
        <v>218086120.42076299</v>
      </c>
    </row>
    <row r="43" spans="1:5" x14ac:dyDescent="0.25">
      <c r="A43" s="114">
        <v>29</v>
      </c>
      <c r="B43" s="117">
        <f t="shared" si="3"/>
        <v>2552327.6529967943</v>
      </c>
      <c r="C43" s="117">
        <f t="shared" si="0"/>
        <v>2232513.6714258664</v>
      </c>
      <c r="D43" s="117">
        <f t="shared" si="1"/>
        <v>319813.98157092789</v>
      </c>
      <c r="E43" s="116">
        <f t="shared" si="2"/>
        <v>217766306.43919206</v>
      </c>
    </row>
    <row r="44" spans="1:5" x14ac:dyDescent="0.25">
      <c r="A44" s="114">
        <v>30</v>
      </c>
      <c r="B44" s="117">
        <f t="shared" si="3"/>
        <v>2557327.6529967943</v>
      </c>
      <c r="C44" s="117">
        <f t="shared" si="0"/>
        <v>2229239.7854729565</v>
      </c>
      <c r="D44" s="117">
        <f t="shared" si="1"/>
        <v>328087.86752383783</v>
      </c>
      <c r="E44" s="116">
        <f t="shared" si="2"/>
        <v>217438218.57166821</v>
      </c>
    </row>
    <row r="45" spans="1:5" x14ac:dyDescent="0.25">
      <c r="A45" s="114">
        <v>31</v>
      </c>
      <c r="B45" s="117">
        <f t="shared" si="3"/>
        <v>2562327.6529967943</v>
      </c>
      <c r="C45" s="117">
        <f t="shared" si="0"/>
        <v>2225881.2010373087</v>
      </c>
      <c r="D45" s="117">
        <f t="shared" si="1"/>
        <v>336446.45195948565</v>
      </c>
      <c r="E45" s="116">
        <f t="shared" si="2"/>
        <v>217101772.11970872</v>
      </c>
    </row>
    <row r="46" spans="1:5" x14ac:dyDescent="0.25">
      <c r="A46" s="114">
        <v>32</v>
      </c>
      <c r="B46" s="117">
        <f t="shared" si="3"/>
        <v>2567327.6529967943</v>
      </c>
      <c r="C46" s="117">
        <f t="shared" si="0"/>
        <v>2222437.0510737388</v>
      </c>
      <c r="D46" s="117">
        <f t="shared" si="1"/>
        <v>344890.60192305548</v>
      </c>
      <c r="E46" s="116">
        <f t="shared" si="2"/>
        <v>216756881.51778567</v>
      </c>
    </row>
    <row r="47" spans="1:5" x14ac:dyDescent="0.25">
      <c r="A47" s="114">
        <v>33</v>
      </c>
      <c r="B47" s="117">
        <f t="shared" si="3"/>
        <v>2572327.6529967943</v>
      </c>
      <c r="C47" s="117">
        <f t="shared" si="0"/>
        <v>2218906.4596612547</v>
      </c>
      <c r="D47" s="117">
        <f t="shared" si="1"/>
        <v>353421.19333553966</v>
      </c>
      <c r="E47" s="116">
        <f t="shared" si="2"/>
        <v>216403460.32445014</v>
      </c>
    </row>
    <row r="48" spans="1:5" x14ac:dyDescent="0.25">
      <c r="A48" s="114">
        <v>34</v>
      </c>
      <c r="B48" s="117">
        <f t="shared" si="3"/>
        <v>2577327.6529967943</v>
      </c>
      <c r="C48" s="117">
        <f t="shared" si="0"/>
        <v>2215288.5419121976</v>
      </c>
      <c r="D48" s="117">
        <f t="shared" si="1"/>
        <v>362039.11108459672</v>
      </c>
      <c r="E48" s="116">
        <f t="shared" si="2"/>
        <v>216041421.21336553</v>
      </c>
    </row>
    <row r="49" spans="1:5" x14ac:dyDescent="0.25">
      <c r="A49" s="114">
        <v>35</v>
      </c>
      <c r="B49" s="117">
        <f t="shared" si="3"/>
        <v>2582327.6529967943</v>
      </c>
      <c r="C49" s="117">
        <f t="shared" si="0"/>
        <v>2211582.4038804523</v>
      </c>
      <c r="D49" s="117">
        <f t="shared" si="1"/>
        <v>370745.24911634205</v>
      </c>
      <c r="E49" s="116">
        <f t="shared" si="2"/>
        <v>215670675.96424919</v>
      </c>
    </row>
    <row r="50" spans="1:5" x14ac:dyDescent="0.25">
      <c r="A50" s="114">
        <v>36</v>
      </c>
      <c r="B50" s="117">
        <f t="shared" si="3"/>
        <v>2587327.6529967943</v>
      </c>
      <c r="C50" s="117">
        <f t="shared" si="0"/>
        <v>2207787.1424687151</v>
      </c>
      <c r="D50" s="117">
        <f t="shared" si="1"/>
        <v>379540.51052807923</v>
      </c>
      <c r="E50" s="116">
        <f t="shared" si="2"/>
        <v>215291135.45372111</v>
      </c>
    </row>
    <row r="51" spans="1:5" x14ac:dyDescent="0.25">
      <c r="A51" s="114">
        <v>37</v>
      </c>
      <c r="B51" s="117">
        <f t="shared" si="3"/>
        <v>2592327.6529967943</v>
      </c>
      <c r="C51" s="117">
        <f t="shared" si="0"/>
        <v>2203901.8453348163</v>
      </c>
      <c r="D51" s="117">
        <f t="shared" si="1"/>
        <v>388425.80766197806</v>
      </c>
      <c r="E51" s="116">
        <f t="shared" si="2"/>
        <v>214902709.64605913</v>
      </c>
    </row>
    <row r="52" spans="1:5" x14ac:dyDescent="0.25">
      <c r="A52" s="114">
        <v>38</v>
      </c>
      <c r="B52" s="117">
        <f t="shared" si="3"/>
        <v>2597327.6529967943</v>
      </c>
      <c r="C52" s="117">
        <f t="shared" si="0"/>
        <v>2199925.5907970816</v>
      </c>
      <c r="D52" s="117">
        <f t="shared" si="1"/>
        <v>397402.06219971273</v>
      </c>
      <c r="E52" s="116">
        <f t="shared" si="2"/>
        <v>214505307.58385941</v>
      </c>
    </row>
    <row r="53" spans="1:5" x14ac:dyDescent="0.25">
      <c r="A53" s="114">
        <v>39</v>
      </c>
      <c r="B53" s="117">
        <f t="shared" si="3"/>
        <v>2602327.6529967943</v>
      </c>
      <c r="C53" s="117">
        <f t="shared" si="0"/>
        <v>2195857.4477387248</v>
      </c>
      <c r="D53" s="117">
        <f t="shared" si="1"/>
        <v>406470.20525806956</v>
      </c>
      <c r="E53" s="116">
        <f t="shared" si="2"/>
        <v>214098837.37860134</v>
      </c>
    </row>
    <row r="54" spans="1:5" x14ac:dyDescent="0.25">
      <c r="A54" s="114">
        <v>40</v>
      </c>
      <c r="B54" s="117">
        <f t="shared" si="3"/>
        <v>2607327.6529967943</v>
      </c>
      <c r="C54" s="117">
        <f t="shared" si="0"/>
        <v>2191696.4755112617</v>
      </c>
      <c r="D54" s="117">
        <f t="shared" si="1"/>
        <v>415631.17748553259</v>
      </c>
      <c r="E54" s="116">
        <f t="shared" si="2"/>
        <v>213683206.20111582</v>
      </c>
    </row>
    <row r="55" spans="1:5" x14ac:dyDescent="0.25">
      <c r="A55" s="114">
        <v>41</v>
      </c>
      <c r="B55" s="117">
        <f t="shared" si="3"/>
        <v>2612327.6529967943</v>
      </c>
      <c r="C55" s="117">
        <f t="shared" si="0"/>
        <v>2187441.723836937</v>
      </c>
      <c r="D55" s="117">
        <f t="shared" si="1"/>
        <v>424885.92915985733</v>
      </c>
      <c r="E55" s="116">
        <f t="shared" si="2"/>
        <v>213258320.27195597</v>
      </c>
    </row>
    <row r="56" spans="1:5" x14ac:dyDescent="0.25">
      <c r="A56" s="114">
        <v>42</v>
      </c>
      <c r="B56" s="117">
        <f t="shared" si="3"/>
        <v>2617327.6529967943</v>
      </c>
      <c r="C56" s="117">
        <f t="shared" si="0"/>
        <v>2183092.2327101482</v>
      </c>
      <c r="D56" s="117">
        <f t="shared" si="1"/>
        <v>434235.42028664611</v>
      </c>
      <c r="E56" s="116">
        <f t="shared" si="2"/>
        <v>212824084.85166931</v>
      </c>
    </row>
    <row r="57" spans="1:5" x14ac:dyDescent="0.25">
      <c r="A57" s="114">
        <v>43</v>
      </c>
      <c r="B57" s="117">
        <f t="shared" si="3"/>
        <v>2622327.6529967943</v>
      </c>
      <c r="C57" s="117">
        <f t="shared" si="0"/>
        <v>2178647.0322978664</v>
      </c>
      <c r="D57" s="117">
        <f t="shared" si="1"/>
        <v>443680.6206989279</v>
      </c>
      <c r="E57" s="116">
        <f t="shared" si="2"/>
        <v>212380404.23097038</v>
      </c>
    </row>
    <row r="58" spans="1:5" x14ac:dyDescent="0.25">
      <c r="A58" s="114">
        <v>44</v>
      </c>
      <c r="B58" s="117">
        <f t="shared" si="3"/>
        <v>2627327.6529967943</v>
      </c>
      <c r="C58" s="117">
        <f t="shared" si="0"/>
        <v>2174105.1428390322</v>
      </c>
      <c r="D58" s="117">
        <f t="shared" si="1"/>
        <v>453222.5101577621</v>
      </c>
      <c r="E58" s="116">
        <f t="shared" si="2"/>
        <v>211927181.72081262</v>
      </c>
    </row>
    <row r="59" spans="1:5" x14ac:dyDescent="0.25">
      <c r="A59" s="114">
        <v>45</v>
      </c>
      <c r="B59" s="117">
        <f t="shared" si="3"/>
        <v>2632327.6529967943</v>
      </c>
      <c r="C59" s="117">
        <f t="shared" si="0"/>
        <v>2169465.5745429252</v>
      </c>
      <c r="D59" s="117">
        <f t="shared" si="1"/>
        <v>462862.07845386909</v>
      </c>
      <c r="E59" s="116">
        <f t="shared" si="2"/>
        <v>211464319.64235875</v>
      </c>
    </row>
    <row r="60" spans="1:5" x14ac:dyDescent="0.25">
      <c r="A60" s="114">
        <v>46</v>
      </c>
      <c r="B60" s="117">
        <f t="shared" si="3"/>
        <v>2637327.6529967943</v>
      </c>
      <c r="C60" s="117">
        <f t="shared" si="0"/>
        <v>2164727.3274864913</v>
      </c>
      <c r="D60" s="117">
        <f t="shared" si="1"/>
        <v>472600.32551030302</v>
      </c>
      <c r="E60" s="116">
        <f t="shared" si="2"/>
        <v>210991719.31684846</v>
      </c>
    </row>
    <row r="61" spans="1:5" x14ac:dyDescent="0.25">
      <c r="A61" s="114">
        <v>47</v>
      </c>
      <c r="B61" s="117">
        <f t="shared" si="3"/>
        <v>2642327.6529967943</v>
      </c>
      <c r="C61" s="117">
        <f t="shared" si="0"/>
        <v>2159889.3915106189</v>
      </c>
      <c r="D61" s="117">
        <f t="shared" si="1"/>
        <v>482438.26148617547</v>
      </c>
      <c r="E61" s="116">
        <f t="shared" si="2"/>
        <v>210509281.05536228</v>
      </c>
    </row>
    <row r="62" spans="1:5" x14ac:dyDescent="0.25">
      <c r="A62" s="114">
        <v>48</v>
      </c>
      <c r="B62" s="117">
        <f t="shared" si="3"/>
        <v>2647327.6529967943</v>
      </c>
      <c r="C62" s="117">
        <f t="shared" si="0"/>
        <v>2154950.7461153558</v>
      </c>
      <c r="D62" s="117">
        <f t="shared" si="1"/>
        <v>492376.90688143857</v>
      </c>
      <c r="E62" s="116">
        <f t="shared" si="2"/>
        <v>210016904.14848083</v>
      </c>
    </row>
    <row r="63" spans="1:5" x14ac:dyDescent="0.25">
      <c r="A63" s="114">
        <v>49</v>
      </c>
      <c r="B63" s="117">
        <f t="shared" si="3"/>
        <v>2652327.6529967943</v>
      </c>
      <c r="C63" s="117">
        <f t="shared" si="0"/>
        <v>2149910.3603540496</v>
      </c>
      <c r="D63" s="117">
        <f t="shared" si="1"/>
        <v>502417.29264274472</v>
      </c>
      <c r="E63" s="116">
        <f t="shared" si="2"/>
        <v>209514486.85583809</v>
      </c>
    </row>
    <row r="64" spans="1:5" x14ac:dyDescent="0.25">
      <c r="A64" s="114">
        <v>50</v>
      </c>
      <c r="B64" s="117">
        <f t="shared" si="3"/>
        <v>2657327.6529967943</v>
      </c>
      <c r="C64" s="117">
        <f t="shared" si="0"/>
        <v>2144767.1927264095</v>
      </c>
      <c r="D64" s="117">
        <f t="shared" si="1"/>
        <v>512560.46027038479</v>
      </c>
      <c r="E64" s="116">
        <f t="shared" si="2"/>
        <v>209001926.39556772</v>
      </c>
    </row>
    <row r="65" spans="1:5" x14ac:dyDescent="0.25">
      <c r="A65" s="114">
        <v>51</v>
      </c>
      <c r="B65" s="117">
        <f t="shared" si="3"/>
        <v>2662327.6529967943</v>
      </c>
      <c r="C65" s="117">
        <f t="shared" si="0"/>
        <v>2139520.1910704668</v>
      </c>
      <c r="D65" s="117">
        <f t="shared" si="1"/>
        <v>522807.46192632755</v>
      </c>
      <c r="E65" s="116">
        <f t="shared" si="2"/>
        <v>208479118.93364137</v>
      </c>
    </row>
    <row r="66" spans="1:5" x14ac:dyDescent="0.25">
      <c r="A66" s="114">
        <v>52</v>
      </c>
      <c r="B66" s="117">
        <f t="shared" si="3"/>
        <v>2667327.6529967943</v>
      </c>
      <c r="C66" s="117">
        <f t="shared" si="0"/>
        <v>2134168.2924534334</v>
      </c>
      <c r="D66" s="117">
        <f t="shared" si="1"/>
        <v>533159.36054336093</v>
      </c>
      <c r="E66" s="116">
        <f t="shared" si="2"/>
        <v>207945959.573098</v>
      </c>
    </row>
    <row r="67" spans="1:5" x14ac:dyDescent="0.25">
      <c r="A67" s="114">
        <v>53</v>
      </c>
      <c r="B67" s="117">
        <f t="shared" si="3"/>
        <v>2672327.6529967943</v>
      </c>
      <c r="C67" s="117">
        <f t="shared" si="0"/>
        <v>2128710.4230614463</v>
      </c>
      <c r="D67" s="117">
        <f t="shared" si="1"/>
        <v>543617.22993534803</v>
      </c>
      <c r="E67" s="116">
        <f t="shared" si="2"/>
        <v>207402342.34316266</v>
      </c>
    </row>
    <row r="68" spans="1:5" x14ac:dyDescent="0.25">
      <c r="A68" s="114">
        <v>54</v>
      </c>
      <c r="B68" s="117">
        <f t="shared" si="3"/>
        <v>2677327.6529967943</v>
      </c>
      <c r="C68" s="117">
        <f t="shared" si="0"/>
        <v>2123145.498088175</v>
      </c>
      <c r="D68" s="117">
        <f t="shared" si="1"/>
        <v>554182.15490861936</v>
      </c>
      <c r="E68" s="116">
        <f t="shared" si="2"/>
        <v>206848160.18825403</v>
      </c>
    </row>
    <row r="69" spans="1:5" x14ac:dyDescent="0.25">
      <c r="A69" s="114">
        <v>55</v>
      </c>
      <c r="B69" s="117">
        <f t="shared" si="3"/>
        <v>2682327.6529967943</v>
      </c>
      <c r="C69" s="117">
        <f t="shared" si="0"/>
        <v>2117472.4216222963</v>
      </c>
      <c r="D69" s="117">
        <f t="shared" si="1"/>
        <v>564855.23137449799</v>
      </c>
      <c r="E69" s="116">
        <f t="shared" si="2"/>
        <v>206283304.95687953</v>
      </c>
    </row>
    <row r="70" spans="1:5" x14ac:dyDescent="0.25">
      <c r="A70" s="114">
        <v>56</v>
      </c>
      <c r="B70" s="117">
        <f t="shared" si="3"/>
        <v>2687327.6529967943</v>
      </c>
      <c r="C70" s="117">
        <f t="shared" si="0"/>
        <v>2111690.0865338142</v>
      </c>
      <c r="D70" s="117">
        <f t="shared" si="1"/>
        <v>575637.56646298012</v>
      </c>
      <c r="E70" s="116">
        <f t="shared" si="2"/>
        <v>205707667.39041653</v>
      </c>
    </row>
    <row r="71" spans="1:5" x14ac:dyDescent="0.25">
      <c r="A71" s="114">
        <v>57</v>
      </c>
      <c r="B71" s="117">
        <f t="shared" si="3"/>
        <v>2692327.6529967943</v>
      </c>
      <c r="C71" s="117">
        <f t="shared" si="0"/>
        <v>2105797.3743592128</v>
      </c>
      <c r="D71" s="117">
        <f t="shared" si="1"/>
        <v>586530.2786375815</v>
      </c>
      <c r="E71" s="116">
        <f t="shared" si="2"/>
        <v>205121137.11177894</v>
      </c>
    </row>
    <row r="72" spans="1:5" x14ac:dyDescent="0.25">
      <c r="A72" s="114">
        <v>58</v>
      </c>
      <c r="B72" s="117">
        <f t="shared" si="3"/>
        <v>2697327.6529967943</v>
      </c>
      <c r="C72" s="117">
        <f t="shared" si="0"/>
        <v>2099793.155185442</v>
      </c>
      <c r="D72" s="117">
        <f t="shared" si="1"/>
        <v>597534.49781135237</v>
      </c>
      <c r="E72" s="116">
        <f t="shared" si="2"/>
        <v>204523602.6139676</v>
      </c>
    </row>
    <row r="73" spans="1:5" x14ac:dyDescent="0.25">
      <c r="A73" s="114">
        <v>59</v>
      </c>
      <c r="B73" s="117">
        <f t="shared" si="3"/>
        <v>2702327.6529967943</v>
      </c>
      <c r="C73" s="117">
        <f t="shared" si="0"/>
        <v>2093676.2875327063</v>
      </c>
      <c r="D73" s="117">
        <f t="shared" si="1"/>
        <v>608651.36546408804</v>
      </c>
      <c r="E73" s="116">
        <f t="shared" si="2"/>
        <v>203914951.24850351</v>
      </c>
    </row>
    <row r="74" spans="1:5" x14ac:dyDescent="0.25">
      <c r="A74" s="114">
        <v>60</v>
      </c>
      <c r="B74" s="117">
        <f t="shared" si="3"/>
        <v>2707327.6529967943</v>
      </c>
      <c r="C74" s="117">
        <f t="shared" si="0"/>
        <v>2087445.6182360589</v>
      </c>
      <c r="D74" s="117">
        <f t="shared" si="1"/>
        <v>619882.03476073546</v>
      </c>
      <c r="E74" s="116">
        <f t="shared" si="2"/>
        <v>203295069.21374276</v>
      </c>
    </row>
    <row r="75" spans="1:5" x14ac:dyDescent="0.25">
      <c r="A75" s="114">
        <v>61</v>
      </c>
      <c r="B75" s="117">
        <f t="shared" si="3"/>
        <v>2712327.6529967943</v>
      </c>
      <c r="C75" s="117">
        <f t="shared" si="0"/>
        <v>2081099.9823257835</v>
      </c>
      <c r="D75" s="117">
        <f t="shared" si="1"/>
        <v>631227.67067101086</v>
      </c>
      <c r="E75" s="116">
        <f t="shared" si="2"/>
        <v>202663841.54307175</v>
      </c>
    </row>
    <row r="76" spans="1:5" x14ac:dyDescent="0.25">
      <c r="A76" s="114">
        <v>62</v>
      </c>
      <c r="B76" s="117">
        <f t="shared" si="3"/>
        <v>2717327.6529967943</v>
      </c>
      <c r="C76" s="117">
        <f t="shared" si="0"/>
        <v>2074638.2029065499</v>
      </c>
      <c r="D76" s="117">
        <f t="shared" si="1"/>
        <v>642689.45009024441</v>
      </c>
      <c r="E76" s="116">
        <f t="shared" si="2"/>
        <v>202021152.09298152</v>
      </c>
    </row>
    <row r="77" spans="1:5" x14ac:dyDescent="0.25">
      <c r="A77" s="114">
        <v>63</v>
      </c>
      <c r="B77" s="117">
        <f t="shared" si="3"/>
        <v>2722327.6529967943</v>
      </c>
      <c r="C77" s="117">
        <f t="shared" si="0"/>
        <v>2068059.0910353344</v>
      </c>
      <c r="D77" s="117">
        <f t="shared" si="1"/>
        <v>654268.56196145993</v>
      </c>
      <c r="E77" s="116">
        <f t="shared" si="2"/>
        <v>201366883.53102005</v>
      </c>
    </row>
    <row r="78" spans="1:5" x14ac:dyDescent="0.25">
      <c r="A78" s="114">
        <v>64</v>
      </c>
      <c r="B78" s="117">
        <f t="shared" si="3"/>
        <v>2727327.6529967943</v>
      </c>
      <c r="C78" s="117">
        <f t="shared" si="0"/>
        <v>2061361.4455980868</v>
      </c>
      <c r="D78" s="117">
        <f t="shared" si="1"/>
        <v>665966.20739870751</v>
      </c>
      <c r="E78" s="116">
        <f t="shared" si="2"/>
        <v>200700917.32362133</v>
      </c>
    </row>
    <row r="79" spans="1:5" x14ac:dyDescent="0.25">
      <c r="A79" s="114">
        <v>65</v>
      </c>
      <c r="B79" s="117">
        <f t="shared" si="3"/>
        <v>2732327.6529967943</v>
      </c>
      <c r="C79" s="117">
        <f t="shared" si="0"/>
        <v>2054544.0531851412</v>
      </c>
      <c r="D79" s="117">
        <f t="shared" si="1"/>
        <v>677783.59981165314</v>
      </c>
      <c r="E79" s="116">
        <f t="shared" si="2"/>
        <v>200023133.72380969</v>
      </c>
    </row>
    <row r="80" spans="1:5" x14ac:dyDescent="0.25">
      <c r="A80" s="114">
        <v>66</v>
      </c>
      <c r="B80" s="117">
        <f t="shared" si="3"/>
        <v>2737327.6529967943</v>
      </c>
      <c r="C80" s="117">
        <f t="shared" ref="C80:C143" si="4">+E79*$A$10</f>
        <v>2047605.6879653449</v>
      </c>
      <c r="D80" s="117">
        <f t="shared" ref="D80:D143" si="5">+B80-C80</f>
        <v>689721.96503144945</v>
      </c>
      <c r="E80" s="116">
        <f t="shared" ref="E80:E143" si="6">+E79-D80</f>
        <v>199333411.75877824</v>
      </c>
    </row>
    <row r="81" spans="1:5" x14ac:dyDescent="0.25">
      <c r="A81" s="114">
        <v>67</v>
      </c>
      <c r="B81" s="117">
        <f t="shared" ref="B81:B144" si="7">+B80+$D$10</f>
        <v>2742327.6529967943</v>
      </c>
      <c r="C81" s="117">
        <f t="shared" si="4"/>
        <v>2040545.1115589023</v>
      </c>
      <c r="D81" s="117">
        <f t="shared" si="5"/>
        <v>701782.54143789201</v>
      </c>
      <c r="E81" s="116">
        <f t="shared" si="6"/>
        <v>198631629.21734035</v>
      </c>
    </row>
    <row r="82" spans="1:5" x14ac:dyDescent="0.25">
      <c r="A82" s="114">
        <v>68</v>
      </c>
      <c r="B82" s="117">
        <f t="shared" si="7"/>
        <v>2747327.6529967943</v>
      </c>
      <c r="C82" s="117">
        <f t="shared" si="4"/>
        <v>2033361.0729089172</v>
      </c>
      <c r="D82" s="117">
        <f t="shared" si="5"/>
        <v>713966.58008787711</v>
      </c>
      <c r="E82" s="116">
        <f t="shared" si="6"/>
        <v>197917662.63725248</v>
      </c>
    </row>
    <row r="83" spans="1:5" x14ac:dyDescent="0.25">
      <c r="A83" s="114">
        <v>69</v>
      </c>
      <c r="B83" s="117">
        <f t="shared" si="7"/>
        <v>2752327.6529967943</v>
      </c>
      <c r="C83" s="117">
        <f t="shared" si="4"/>
        <v>2026052.3081516181</v>
      </c>
      <c r="D83" s="117">
        <f t="shared" si="5"/>
        <v>726275.34484517621</v>
      </c>
      <c r="E83" s="116">
        <f t="shared" si="6"/>
        <v>197191387.2924073</v>
      </c>
    </row>
    <row r="84" spans="1:5" x14ac:dyDescent="0.25">
      <c r="A84" s="114">
        <v>70</v>
      </c>
      <c r="B84" s="117">
        <f t="shared" si="7"/>
        <v>2757327.6529967943</v>
      </c>
      <c r="C84" s="117">
        <f t="shared" si="4"/>
        <v>2018617.5404852573</v>
      </c>
      <c r="D84" s="117">
        <f t="shared" si="5"/>
        <v>738710.11251153704</v>
      </c>
      <c r="E84" s="116">
        <f t="shared" si="6"/>
        <v>196452677.17989576</v>
      </c>
    </row>
    <row r="85" spans="1:5" x14ac:dyDescent="0.25">
      <c r="A85" s="114">
        <v>71</v>
      </c>
      <c r="B85" s="117">
        <f t="shared" si="7"/>
        <v>2762327.6529967943</v>
      </c>
      <c r="C85" s="117">
        <f t="shared" si="4"/>
        <v>2011055.4800376655</v>
      </c>
      <c r="D85" s="117">
        <f t="shared" si="5"/>
        <v>751272.17295912886</v>
      </c>
      <c r="E85" s="116">
        <f t="shared" si="6"/>
        <v>195701405.00693664</v>
      </c>
    </row>
    <row r="86" spans="1:5" x14ac:dyDescent="0.25">
      <c r="A86" s="114">
        <v>72</v>
      </c>
      <c r="B86" s="117">
        <f t="shared" si="7"/>
        <v>2767327.6529967943</v>
      </c>
      <c r="C86" s="117">
        <f t="shared" si="4"/>
        <v>2003364.8237324541</v>
      </c>
      <c r="D86" s="117">
        <f t="shared" si="5"/>
        <v>763962.82926434022</v>
      </c>
      <c r="E86" s="116">
        <f t="shared" si="6"/>
        <v>194937442.1776723</v>
      </c>
    </row>
    <row r="87" spans="1:5" x14ac:dyDescent="0.25">
      <c r="A87" s="114">
        <v>73</v>
      </c>
      <c r="B87" s="117">
        <f t="shared" si="7"/>
        <v>2772327.6529967943</v>
      </c>
      <c r="C87" s="117">
        <f t="shared" si="4"/>
        <v>1995544.255153843</v>
      </c>
      <c r="D87" s="117">
        <f t="shared" si="5"/>
        <v>776783.39784295135</v>
      </c>
      <c r="E87" s="116">
        <f t="shared" si="6"/>
        <v>194160658.77982935</v>
      </c>
    </row>
    <row r="88" spans="1:5" x14ac:dyDescent="0.25">
      <c r="A88" s="114">
        <v>74</v>
      </c>
      <c r="B88" s="117">
        <f t="shared" si="7"/>
        <v>2777327.6529967943</v>
      </c>
      <c r="C88" s="117">
        <f t="shared" si="4"/>
        <v>1987592.4444101092</v>
      </c>
      <c r="D88" s="117">
        <f t="shared" si="5"/>
        <v>789735.20858668513</v>
      </c>
      <c r="E88" s="116">
        <f t="shared" si="6"/>
        <v>193370923.57124266</v>
      </c>
    </row>
    <row r="89" spans="1:5" x14ac:dyDescent="0.25">
      <c r="A89" s="114">
        <v>75</v>
      </c>
      <c r="B89" s="117">
        <f t="shared" si="7"/>
        <v>2782327.6529967943</v>
      </c>
      <c r="C89" s="117">
        <f t="shared" si="4"/>
        <v>1979508.0479956353</v>
      </c>
      <c r="D89" s="117">
        <f t="shared" si="5"/>
        <v>802819.60500115901</v>
      </c>
      <c r="E89" s="116">
        <f t="shared" si="6"/>
        <v>192568103.96624151</v>
      </c>
    </row>
    <row r="90" spans="1:5" x14ac:dyDescent="0.25">
      <c r="A90" s="114">
        <v>76</v>
      </c>
      <c r="B90" s="117">
        <f t="shared" si="7"/>
        <v>2787327.6529967943</v>
      </c>
      <c r="C90" s="117">
        <f t="shared" si="4"/>
        <v>1971289.7086515459</v>
      </c>
      <c r="D90" s="117">
        <f t="shared" si="5"/>
        <v>816037.9443452484</v>
      </c>
      <c r="E90" s="116">
        <f t="shared" si="6"/>
        <v>191752066.02189627</v>
      </c>
    </row>
    <row r="91" spans="1:5" x14ac:dyDescent="0.25">
      <c r="A91" s="114">
        <v>77</v>
      </c>
      <c r="B91" s="117">
        <f t="shared" si="7"/>
        <v>2792327.6529967943</v>
      </c>
      <c r="C91" s="117">
        <f t="shared" si="4"/>
        <v>1962936.0552249174</v>
      </c>
      <c r="D91" s="117">
        <f t="shared" si="5"/>
        <v>829391.59777187696</v>
      </c>
      <c r="E91" s="116">
        <f t="shared" si="6"/>
        <v>190922674.42412439</v>
      </c>
    </row>
    <row r="92" spans="1:5" x14ac:dyDescent="0.25">
      <c r="A92" s="114">
        <v>78</v>
      </c>
      <c r="B92" s="117">
        <f t="shared" si="7"/>
        <v>2797327.6529967943</v>
      </c>
      <c r="C92" s="117">
        <f t="shared" si="4"/>
        <v>1954445.7025265475</v>
      </c>
      <c r="D92" s="117">
        <f t="shared" si="5"/>
        <v>842881.95047024684</v>
      </c>
      <c r="E92" s="116">
        <f t="shared" si="6"/>
        <v>190079792.47365415</v>
      </c>
    </row>
    <row r="93" spans="1:5" x14ac:dyDescent="0.25">
      <c r="A93" s="114">
        <v>79</v>
      </c>
      <c r="B93" s="117">
        <f t="shared" si="7"/>
        <v>2802327.6529967943</v>
      </c>
      <c r="C93" s="117">
        <f t="shared" si="4"/>
        <v>1945817.2511872675</v>
      </c>
      <c r="D93" s="117">
        <f t="shared" si="5"/>
        <v>856510.40180952684</v>
      </c>
      <c r="E93" s="116">
        <f t="shared" si="6"/>
        <v>189223282.07184464</v>
      </c>
    </row>
    <row r="94" spans="1:5" x14ac:dyDescent="0.25">
      <c r="A94" s="114">
        <v>80</v>
      </c>
      <c r="B94" s="117">
        <f t="shared" si="7"/>
        <v>2807327.6529967943</v>
      </c>
      <c r="C94" s="117">
        <f t="shared" si="4"/>
        <v>1937049.2875127844</v>
      </c>
      <c r="D94" s="117">
        <f t="shared" si="5"/>
        <v>870278.36548400996</v>
      </c>
      <c r="E94" s="116">
        <f t="shared" si="6"/>
        <v>188353003.70636064</v>
      </c>
    </row>
    <row r="95" spans="1:5" x14ac:dyDescent="0.25">
      <c r="A95" s="114">
        <v>81</v>
      </c>
      <c r="B95" s="117">
        <f t="shared" si="7"/>
        <v>2812327.6529967943</v>
      </c>
      <c r="C95" s="117">
        <f t="shared" si="4"/>
        <v>1928140.3833370365</v>
      </c>
      <c r="D95" s="117">
        <f t="shared" si="5"/>
        <v>884187.26965975785</v>
      </c>
      <c r="E95" s="116">
        <f t="shared" si="6"/>
        <v>187468816.43670088</v>
      </c>
    </row>
    <row r="96" spans="1:5" x14ac:dyDescent="0.25">
      <c r="A96" s="114">
        <v>82</v>
      </c>
      <c r="B96" s="117">
        <f t="shared" si="7"/>
        <v>2817327.6529967943</v>
      </c>
      <c r="C96" s="117">
        <f t="shared" si="4"/>
        <v>1919089.0958740485</v>
      </c>
      <c r="D96" s="117">
        <f t="shared" si="5"/>
        <v>898238.55712274578</v>
      </c>
      <c r="E96" s="116">
        <f t="shared" si="6"/>
        <v>186570577.87957814</v>
      </c>
    </row>
    <row r="97" spans="1:5" x14ac:dyDescent="0.25">
      <c r="A97" s="114">
        <v>83</v>
      </c>
      <c r="B97" s="117">
        <f t="shared" si="7"/>
        <v>2822327.6529967943</v>
      </c>
      <c r="C97" s="117">
        <f t="shared" si="4"/>
        <v>1909893.9675682702</v>
      </c>
      <c r="D97" s="117">
        <f t="shared" si="5"/>
        <v>912433.68542852416</v>
      </c>
      <c r="E97" s="116">
        <f t="shared" si="6"/>
        <v>185658144.19414961</v>
      </c>
    </row>
    <row r="98" spans="1:5" x14ac:dyDescent="0.25">
      <c r="A98" s="114">
        <v>84</v>
      </c>
      <c r="B98" s="117">
        <f t="shared" si="7"/>
        <v>2827327.6529967943</v>
      </c>
      <c r="C98" s="117">
        <f t="shared" si="4"/>
        <v>1900553.525943381</v>
      </c>
      <c r="D98" s="117">
        <f t="shared" si="5"/>
        <v>926774.12705341331</v>
      </c>
      <c r="E98" s="116">
        <f t="shared" si="6"/>
        <v>184731370.0670962</v>
      </c>
    </row>
    <row r="99" spans="1:5" x14ac:dyDescent="0.25">
      <c r="A99" s="114">
        <v>85</v>
      </c>
      <c r="B99" s="117">
        <f t="shared" si="7"/>
        <v>2832327.6529967943</v>
      </c>
      <c r="C99" s="117">
        <f t="shared" si="4"/>
        <v>1891066.2834495504</v>
      </c>
      <c r="D99" s="117">
        <f t="shared" si="5"/>
        <v>941261.36954724393</v>
      </c>
      <c r="E99" s="116">
        <f t="shared" si="6"/>
        <v>183790108.69754896</v>
      </c>
    </row>
    <row r="100" spans="1:5" x14ac:dyDescent="0.25">
      <c r="A100" s="114">
        <v>86</v>
      </c>
      <c r="B100" s="117">
        <f t="shared" si="7"/>
        <v>2837327.6529967943</v>
      </c>
      <c r="C100" s="117">
        <f t="shared" si="4"/>
        <v>1881430.7373091313</v>
      </c>
      <c r="D100" s="117">
        <f t="shared" si="5"/>
        <v>955896.91568766301</v>
      </c>
      <c r="E100" s="116">
        <f t="shared" si="6"/>
        <v>182834211.78186131</v>
      </c>
    </row>
    <row r="101" spans="1:5" x14ac:dyDescent="0.25">
      <c r="A101" s="114">
        <v>87</v>
      </c>
      <c r="B101" s="117">
        <f t="shared" si="7"/>
        <v>2842327.6529967943</v>
      </c>
      <c r="C101" s="117">
        <f t="shared" si="4"/>
        <v>1871645.3693607759</v>
      </c>
      <c r="D101" s="117">
        <f t="shared" si="5"/>
        <v>970682.2836360184</v>
      </c>
      <c r="E101" s="116">
        <f t="shared" si="6"/>
        <v>181863529.4982253</v>
      </c>
    </row>
    <row r="102" spans="1:5" x14ac:dyDescent="0.25">
      <c r="A102" s="114">
        <v>88</v>
      </c>
      <c r="B102" s="117">
        <f t="shared" si="7"/>
        <v>2847327.6529967943</v>
      </c>
      <c r="C102" s="117">
        <f t="shared" si="4"/>
        <v>1861708.645901955</v>
      </c>
      <c r="D102" s="117">
        <f t="shared" si="5"/>
        <v>985619.00709483935</v>
      </c>
      <c r="E102" s="116">
        <f t="shared" si="6"/>
        <v>180877910.49113047</v>
      </c>
    </row>
    <row r="103" spans="1:5" x14ac:dyDescent="0.25">
      <c r="A103" s="114">
        <v>89</v>
      </c>
      <c r="B103" s="117">
        <f t="shared" si="7"/>
        <v>2852327.6529967943</v>
      </c>
      <c r="C103" s="117">
        <f t="shared" si="4"/>
        <v>1851619.0175298648</v>
      </c>
      <c r="D103" s="117">
        <f t="shared" si="5"/>
        <v>1000708.6354669295</v>
      </c>
      <c r="E103" s="116">
        <f t="shared" si="6"/>
        <v>179877201.85566354</v>
      </c>
    </row>
    <row r="104" spans="1:5" x14ac:dyDescent="0.25">
      <c r="A104" s="114">
        <v>90</v>
      </c>
      <c r="B104" s="117">
        <f t="shared" si="7"/>
        <v>2857327.6529967943</v>
      </c>
      <c r="C104" s="117">
        <f t="shared" si="4"/>
        <v>1841374.9189807067</v>
      </c>
      <c r="D104" s="117">
        <f t="shared" si="5"/>
        <v>1015952.7340160876</v>
      </c>
      <c r="E104" s="116">
        <f t="shared" si="6"/>
        <v>178861249.12164745</v>
      </c>
    </row>
    <row r="105" spans="1:5" x14ac:dyDescent="0.25">
      <c r="A105" s="114">
        <v>91</v>
      </c>
      <c r="B105" s="117">
        <f t="shared" si="7"/>
        <v>2862327.6529967943</v>
      </c>
      <c r="C105" s="117">
        <f t="shared" si="4"/>
        <v>1830974.7689673202</v>
      </c>
      <c r="D105" s="117">
        <f t="shared" si="5"/>
        <v>1031352.8840294741</v>
      </c>
      <c r="E105" s="116">
        <f t="shared" si="6"/>
        <v>177829896.23761797</v>
      </c>
    </row>
    <row r="106" spans="1:5" x14ac:dyDescent="0.25">
      <c r="A106" s="114">
        <v>92</v>
      </c>
      <c r="B106" s="117">
        <f t="shared" si="7"/>
        <v>2867327.6529967943</v>
      </c>
      <c r="C106" s="117">
        <f t="shared" si="4"/>
        <v>1820416.9700151542</v>
      </c>
      <c r="D106" s="117">
        <f t="shared" si="5"/>
        <v>1046910.6829816401</v>
      </c>
      <c r="E106" s="116">
        <f t="shared" si="6"/>
        <v>176782985.55463633</v>
      </c>
    </row>
    <row r="107" spans="1:5" x14ac:dyDescent="0.25">
      <c r="A107" s="114">
        <v>93</v>
      </c>
      <c r="B107" s="117">
        <f t="shared" si="7"/>
        <v>2872327.6529967943</v>
      </c>
      <c r="C107" s="117">
        <f t="shared" si="4"/>
        <v>1809699.908296559</v>
      </c>
      <c r="D107" s="117">
        <f t="shared" si="5"/>
        <v>1062627.7447002353</v>
      </c>
      <c r="E107" s="116">
        <f t="shared" si="6"/>
        <v>175720357.80993611</v>
      </c>
    </row>
    <row r="108" spans="1:5" x14ac:dyDescent="0.25">
      <c r="A108" s="114">
        <v>94</v>
      </c>
      <c r="B108" s="117">
        <f t="shared" si="7"/>
        <v>2877327.6529967943</v>
      </c>
      <c r="C108" s="117">
        <f t="shared" si="4"/>
        <v>1798821.9534633828</v>
      </c>
      <c r="D108" s="117">
        <f t="shared" si="5"/>
        <v>1078505.6995334115</v>
      </c>
      <c r="E108" s="116">
        <f t="shared" si="6"/>
        <v>174641852.1104027</v>
      </c>
    </row>
    <row r="109" spans="1:5" x14ac:dyDescent="0.25">
      <c r="A109" s="114">
        <v>95</v>
      </c>
      <c r="B109" s="117">
        <f t="shared" si="7"/>
        <v>2882327.6529967943</v>
      </c>
      <c r="C109" s="117">
        <f t="shared" si="4"/>
        <v>1787781.4584778531</v>
      </c>
      <c r="D109" s="117">
        <f t="shared" si="5"/>
        <v>1094546.1945189412</v>
      </c>
      <c r="E109" s="116">
        <f t="shared" si="6"/>
        <v>173547305.91588375</v>
      </c>
    </row>
    <row r="110" spans="1:5" x14ac:dyDescent="0.25">
      <c r="A110" s="114">
        <v>96</v>
      </c>
      <c r="B110" s="117">
        <f t="shared" si="7"/>
        <v>2887327.6529967943</v>
      </c>
      <c r="C110" s="117">
        <f t="shared" si="4"/>
        <v>1776576.7594417285</v>
      </c>
      <c r="D110" s="117">
        <f t="shared" si="5"/>
        <v>1110750.8935550658</v>
      </c>
      <c r="E110" s="116">
        <f t="shared" si="6"/>
        <v>172436555.02232867</v>
      </c>
    </row>
    <row r="111" spans="1:5" x14ac:dyDescent="0.25">
      <c r="A111" s="114">
        <v>97</v>
      </c>
      <c r="B111" s="117">
        <f t="shared" si="7"/>
        <v>2892327.6529967943</v>
      </c>
      <c r="C111" s="117">
        <f t="shared" si="4"/>
        <v>1765206.1754236997</v>
      </c>
      <c r="D111" s="117">
        <f t="shared" si="5"/>
        <v>1127121.4775730947</v>
      </c>
      <c r="E111" s="116">
        <f t="shared" si="6"/>
        <v>171309433.54475558</v>
      </c>
    </row>
    <row r="112" spans="1:5" x14ac:dyDescent="0.25">
      <c r="A112" s="114">
        <v>98</v>
      </c>
      <c r="B112" s="117">
        <f t="shared" si="7"/>
        <v>2897327.6529967943</v>
      </c>
      <c r="C112" s="117">
        <f t="shared" si="4"/>
        <v>1753668.0082850261</v>
      </c>
      <c r="D112" s="117">
        <f t="shared" si="5"/>
        <v>1143659.6447117683</v>
      </c>
      <c r="E112" s="116">
        <f t="shared" si="6"/>
        <v>170165773.90004382</v>
      </c>
    </row>
    <row r="113" spans="1:5" x14ac:dyDescent="0.25">
      <c r="A113" s="114">
        <v>99</v>
      </c>
      <c r="B113" s="117">
        <f t="shared" si="7"/>
        <v>2902327.6529967943</v>
      </c>
      <c r="C113" s="117">
        <f t="shared" si="4"/>
        <v>1741960.5425033844</v>
      </c>
      <c r="D113" s="117">
        <f t="shared" si="5"/>
        <v>1160367.1104934099</v>
      </c>
      <c r="E113" s="116">
        <f t="shared" si="6"/>
        <v>169005406.78955039</v>
      </c>
    </row>
    <row r="114" spans="1:5" x14ac:dyDescent="0.25">
      <c r="A114" s="114">
        <v>100</v>
      </c>
      <c r="B114" s="117">
        <f t="shared" si="7"/>
        <v>2907327.6529967943</v>
      </c>
      <c r="C114" s="117">
        <f t="shared" si="4"/>
        <v>1730082.0449949165</v>
      </c>
      <c r="D114" s="117">
        <f t="shared" si="5"/>
        <v>1177245.6080018778</v>
      </c>
      <c r="E114" s="116">
        <f t="shared" si="6"/>
        <v>167828161.18154851</v>
      </c>
    </row>
    <row r="115" spans="1:5" x14ac:dyDescent="0.25">
      <c r="A115" s="114">
        <v>101</v>
      </c>
      <c r="B115" s="117">
        <f t="shared" si="7"/>
        <v>2912327.6529967943</v>
      </c>
      <c r="C115" s="117">
        <f t="shared" si="4"/>
        <v>1718030.7649344543</v>
      </c>
      <c r="D115" s="117">
        <f t="shared" si="5"/>
        <v>1194296.88806234</v>
      </c>
      <c r="E115" s="116">
        <f t="shared" si="6"/>
        <v>166633864.29348618</v>
      </c>
    </row>
    <row r="116" spans="1:5" x14ac:dyDescent="0.25">
      <c r="A116" s="114">
        <v>102</v>
      </c>
      <c r="B116" s="117">
        <f t="shared" si="7"/>
        <v>2917327.6529967943</v>
      </c>
      <c r="C116" s="117">
        <f t="shared" si="4"/>
        <v>1705804.9335739058</v>
      </c>
      <c r="D116" s="117">
        <f t="shared" si="5"/>
        <v>1211522.7194228885</v>
      </c>
      <c r="E116" s="116">
        <f t="shared" si="6"/>
        <v>165422341.5740633</v>
      </c>
    </row>
    <row r="117" spans="1:5" x14ac:dyDescent="0.25">
      <c r="A117" s="114">
        <v>103</v>
      </c>
      <c r="B117" s="117">
        <f t="shared" si="7"/>
        <v>2922327.6529967943</v>
      </c>
      <c r="C117" s="117">
        <f t="shared" si="4"/>
        <v>1693402.7640587792</v>
      </c>
      <c r="D117" s="117">
        <f t="shared" si="5"/>
        <v>1228924.8889380151</v>
      </c>
      <c r="E117" s="116">
        <f t="shared" si="6"/>
        <v>164193416.68512529</v>
      </c>
    </row>
    <row r="118" spans="1:5" x14ac:dyDescent="0.25">
      <c r="A118" s="114">
        <v>104</v>
      </c>
      <c r="B118" s="117">
        <f t="shared" si="7"/>
        <v>2927327.6529967943</v>
      </c>
      <c r="C118" s="117">
        <f t="shared" si="4"/>
        <v>1680822.4512428315</v>
      </c>
      <c r="D118" s="117">
        <f t="shared" si="5"/>
        <v>1246505.2017539628</v>
      </c>
      <c r="E118" s="116">
        <f t="shared" si="6"/>
        <v>162946911.48337132</v>
      </c>
    </row>
    <row r="119" spans="1:5" x14ac:dyDescent="0.25">
      <c r="A119" s="114">
        <v>105</v>
      </c>
      <c r="B119" s="117">
        <f t="shared" si="7"/>
        <v>2932327.6529967943</v>
      </c>
      <c r="C119" s="117">
        <f t="shared" si="4"/>
        <v>1668062.171500819</v>
      </c>
      <c r="D119" s="117">
        <f t="shared" si="5"/>
        <v>1264265.4814959753</v>
      </c>
      <c r="E119" s="116">
        <f t="shared" si="6"/>
        <v>161682646.00187534</v>
      </c>
    </row>
    <row r="120" spans="1:5" x14ac:dyDescent="0.25">
      <c r="A120" s="114">
        <v>106</v>
      </c>
      <c r="B120" s="117">
        <f t="shared" si="7"/>
        <v>2937327.6529967943</v>
      </c>
      <c r="C120" s="117">
        <f t="shared" si="4"/>
        <v>1655120.0825393298</v>
      </c>
      <c r="D120" s="117">
        <f t="shared" si="5"/>
        <v>1282207.5704574645</v>
      </c>
      <c r="E120" s="116">
        <f t="shared" si="6"/>
        <v>160400438.43141788</v>
      </c>
    </row>
    <row r="121" spans="1:5" x14ac:dyDescent="0.25">
      <c r="A121" s="114">
        <v>107</v>
      </c>
      <c r="B121" s="117">
        <f t="shared" si="7"/>
        <v>2942327.6529967943</v>
      </c>
      <c r="C121" s="117">
        <f t="shared" si="4"/>
        <v>1641994.3232056813</v>
      </c>
      <c r="D121" s="117">
        <f t="shared" si="5"/>
        <v>1300333.329791113</v>
      </c>
      <c r="E121" s="116">
        <f t="shared" si="6"/>
        <v>159100105.10162678</v>
      </c>
    </row>
    <row r="122" spans="1:5" x14ac:dyDescent="0.25">
      <c r="A122" s="114">
        <v>108</v>
      </c>
      <c r="B122" s="117">
        <f t="shared" si="7"/>
        <v>2947327.6529967943</v>
      </c>
      <c r="C122" s="117">
        <f t="shared" si="4"/>
        <v>1628683.0132948605</v>
      </c>
      <c r="D122" s="117">
        <f t="shared" si="5"/>
        <v>1318644.6397019338</v>
      </c>
      <c r="E122" s="116">
        <f t="shared" si="6"/>
        <v>157781460.46192485</v>
      </c>
    </row>
    <row r="123" spans="1:5" x14ac:dyDescent="0.25">
      <c r="A123" s="114">
        <v>109</v>
      </c>
      <c r="B123" s="117">
        <f t="shared" si="7"/>
        <v>2952327.6529967943</v>
      </c>
      <c r="C123" s="117">
        <f t="shared" si="4"/>
        <v>1615184.2533544882</v>
      </c>
      <c r="D123" s="117">
        <f t="shared" si="5"/>
        <v>1337143.3996423061</v>
      </c>
      <c r="E123" s="116">
        <f t="shared" si="6"/>
        <v>156444317.06228253</v>
      </c>
    </row>
    <row r="124" spans="1:5" x14ac:dyDescent="0.25">
      <c r="A124" s="114">
        <v>110</v>
      </c>
      <c r="B124" s="117">
        <f t="shared" si="7"/>
        <v>2957327.6529967943</v>
      </c>
      <c r="C124" s="117">
        <f t="shared" si="4"/>
        <v>1601496.1244877868</v>
      </c>
      <c r="D124" s="117">
        <f t="shared" si="5"/>
        <v>1355831.5285090075</v>
      </c>
      <c r="E124" s="116">
        <f t="shared" si="6"/>
        <v>155088485.53377351</v>
      </c>
    </row>
    <row r="125" spans="1:5" x14ac:dyDescent="0.25">
      <c r="A125" s="114">
        <v>111</v>
      </c>
      <c r="B125" s="117">
        <f t="shared" si="7"/>
        <v>2962327.6529967943</v>
      </c>
      <c r="C125" s="117">
        <f t="shared" si="4"/>
        <v>1587616.6881545316</v>
      </c>
      <c r="D125" s="117">
        <f t="shared" si="5"/>
        <v>1374710.9648422627</v>
      </c>
      <c r="E125" s="116">
        <f t="shared" si="6"/>
        <v>153713774.56893125</v>
      </c>
    </row>
    <row r="126" spans="1:5" x14ac:dyDescent="0.25">
      <c r="A126" s="114">
        <v>112</v>
      </c>
      <c r="B126" s="117">
        <f t="shared" si="7"/>
        <v>2967327.6529967943</v>
      </c>
      <c r="C126" s="117">
        <f t="shared" si="4"/>
        <v>1573543.9859699628</v>
      </c>
      <c r="D126" s="117">
        <f t="shared" si="5"/>
        <v>1393783.6670268315</v>
      </c>
      <c r="E126" s="116">
        <f t="shared" si="6"/>
        <v>152319990.90190443</v>
      </c>
    </row>
    <row r="127" spans="1:5" x14ac:dyDescent="0.25">
      <c r="A127" s="114">
        <v>113</v>
      </c>
      <c r="B127" s="117">
        <f t="shared" si="7"/>
        <v>2972327.6529967943</v>
      </c>
      <c r="C127" s="117">
        <f t="shared" si="4"/>
        <v>1559276.0395016409</v>
      </c>
      <c r="D127" s="117">
        <f t="shared" si="5"/>
        <v>1413051.6134951534</v>
      </c>
      <c r="E127" s="116">
        <f t="shared" si="6"/>
        <v>150906939.28840929</v>
      </c>
    </row>
    <row r="128" spans="1:5" x14ac:dyDescent="0.25">
      <c r="A128" s="114">
        <v>114</v>
      </c>
      <c r="B128" s="117">
        <f t="shared" si="7"/>
        <v>2977327.6529967943</v>
      </c>
      <c r="C128" s="117">
        <f t="shared" si="4"/>
        <v>1544810.8500642213</v>
      </c>
      <c r="D128" s="117">
        <f t="shared" si="5"/>
        <v>1432516.802932573</v>
      </c>
      <c r="E128" s="116">
        <f t="shared" si="6"/>
        <v>149474422.48547673</v>
      </c>
    </row>
    <row r="129" spans="1:5" x14ac:dyDescent="0.25">
      <c r="A129" s="114">
        <v>115</v>
      </c>
      <c r="B129" s="117">
        <f t="shared" si="7"/>
        <v>2982327.6529967943</v>
      </c>
      <c r="C129" s="117">
        <f t="shared" si="4"/>
        <v>1530146.398512128</v>
      </c>
      <c r="D129" s="117">
        <f t="shared" si="5"/>
        <v>1452181.2544846663</v>
      </c>
      <c r="E129" s="116">
        <f t="shared" si="6"/>
        <v>148022241.23099208</v>
      </c>
    </row>
    <row r="130" spans="1:5" x14ac:dyDescent="0.25">
      <c r="A130" s="114">
        <v>116</v>
      </c>
      <c r="B130" s="117">
        <f t="shared" si="7"/>
        <v>2987327.6529967943</v>
      </c>
      <c r="C130" s="117">
        <f t="shared" si="4"/>
        <v>1515280.6450301073</v>
      </c>
      <c r="D130" s="117">
        <f t="shared" si="5"/>
        <v>1472047.007966687</v>
      </c>
      <c r="E130" s="116">
        <f t="shared" si="6"/>
        <v>146550194.22302538</v>
      </c>
    </row>
    <row r="131" spans="1:5" x14ac:dyDescent="0.25">
      <c r="A131" s="114">
        <v>117</v>
      </c>
      <c r="B131" s="117">
        <f t="shared" si="7"/>
        <v>2992327.6529967943</v>
      </c>
      <c r="C131" s="117">
        <f t="shared" si="4"/>
        <v>1500211.528921633</v>
      </c>
      <c r="D131" s="117">
        <f t="shared" si="5"/>
        <v>1492116.1240751613</v>
      </c>
      <c r="E131" s="116">
        <f t="shared" si="6"/>
        <v>145058078.09895021</v>
      </c>
    </row>
    <row r="132" spans="1:5" x14ac:dyDescent="0.25">
      <c r="A132" s="114">
        <v>118</v>
      </c>
      <c r="B132" s="117">
        <f t="shared" si="7"/>
        <v>2997327.6529967943</v>
      </c>
      <c r="C132" s="117">
        <f t="shared" si="4"/>
        <v>1484936.96839515</v>
      </c>
      <c r="D132" s="117">
        <f t="shared" si="5"/>
        <v>1512390.6846016443</v>
      </c>
      <c r="E132" s="116">
        <f t="shared" si="6"/>
        <v>143545687.41434857</v>
      </c>
    </row>
    <row r="133" spans="1:5" x14ac:dyDescent="0.25">
      <c r="A133" s="114">
        <v>119</v>
      </c>
      <c r="B133" s="117">
        <f t="shared" si="7"/>
        <v>3002327.6529967943</v>
      </c>
      <c r="C133" s="117">
        <f t="shared" si="4"/>
        <v>1469454.8603481273</v>
      </c>
      <c r="D133" s="117">
        <f t="shared" si="5"/>
        <v>1532872.792648667</v>
      </c>
      <c r="E133" s="116">
        <f t="shared" si="6"/>
        <v>142012814.6216999</v>
      </c>
    </row>
    <row r="134" spans="1:5" x14ac:dyDescent="0.25">
      <c r="A134" s="114">
        <v>120</v>
      </c>
      <c r="B134" s="117">
        <f t="shared" si="7"/>
        <v>3007327.6529967943</v>
      </c>
      <c r="C134" s="117">
        <f t="shared" si="4"/>
        <v>1453763.0801488997</v>
      </c>
      <c r="D134" s="117">
        <f t="shared" si="5"/>
        <v>1553564.5728478946</v>
      </c>
      <c r="E134" s="116">
        <f t="shared" si="6"/>
        <v>140459250.048852</v>
      </c>
    </row>
    <row r="135" spans="1:5" x14ac:dyDescent="0.25">
      <c r="A135" s="114">
        <v>121</v>
      </c>
      <c r="B135" s="117">
        <f t="shared" si="7"/>
        <v>3012327.6529967943</v>
      </c>
      <c r="C135" s="117">
        <f t="shared" si="4"/>
        <v>1437859.4814162788</v>
      </c>
      <c r="D135" s="117">
        <f t="shared" si="5"/>
        <v>1574468.1715805156</v>
      </c>
      <c r="E135" s="116">
        <f t="shared" si="6"/>
        <v>138884781.87727147</v>
      </c>
    </row>
    <row r="136" spans="1:5" x14ac:dyDescent="0.25">
      <c r="A136" s="114">
        <v>122</v>
      </c>
      <c r="B136" s="117">
        <f t="shared" si="7"/>
        <v>3017327.6529967943</v>
      </c>
      <c r="C136" s="117">
        <f t="shared" si="4"/>
        <v>1421741.8957969064</v>
      </c>
      <c r="D136" s="117">
        <f t="shared" si="5"/>
        <v>1595585.7571998879</v>
      </c>
      <c r="E136" s="116">
        <f t="shared" si="6"/>
        <v>137289196.12007159</v>
      </c>
    </row>
    <row r="137" spans="1:5" x14ac:dyDescent="0.25">
      <c r="A137" s="114">
        <v>123</v>
      </c>
      <c r="B137" s="117">
        <f t="shared" si="7"/>
        <v>3022327.6529967943</v>
      </c>
      <c r="C137" s="117">
        <f t="shared" si="4"/>
        <v>1405408.1327403281</v>
      </c>
      <c r="D137" s="117">
        <f t="shared" si="5"/>
        <v>1616919.5202564662</v>
      </c>
      <c r="E137" s="116">
        <f t="shared" si="6"/>
        <v>135672276.59981513</v>
      </c>
    </row>
    <row r="138" spans="1:5" x14ac:dyDescent="0.25">
      <c r="A138" s="114">
        <v>124</v>
      </c>
      <c r="B138" s="117">
        <f t="shared" si="7"/>
        <v>3027327.6529967943</v>
      </c>
      <c r="C138" s="117">
        <f t="shared" si="4"/>
        <v>1388855.9792717656</v>
      </c>
      <c r="D138" s="117">
        <f t="shared" si="5"/>
        <v>1638471.6737250288</v>
      </c>
      <c r="E138" s="116">
        <f t="shared" si="6"/>
        <v>134033804.92609011</v>
      </c>
    </row>
    <row r="139" spans="1:5" x14ac:dyDescent="0.25">
      <c r="A139" s="114">
        <v>125</v>
      </c>
      <c r="B139" s="117">
        <f t="shared" si="7"/>
        <v>3032327.6529967943</v>
      </c>
      <c r="C139" s="117">
        <f t="shared" si="4"/>
        <v>1372083.1997625616</v>
      </c>
      <c r="D139" s="117">
        <f t="shared" si="5"/>
        <v>1660244.4532342327</v>
      </c>
      <c r="E139" s="116">
        <f t="shared" si="6"/>
        <v>132373560.47285588</v>
      </c>
    </row>
    <row r="140" spans="1:5" x14ac:dyDescent="0.25">
      <c r="A140" s="114">
        <v>126</v>
      </c>
      <c r="B140" s="117">
        <f t="shared" si="7"/>
        <v>3037327.6529967943</v>
      </c>
      <c r="C140" s="117">
        <f t="shared" si="4"/>
        <v>1355087.5356982772</v>
      </c>
      <c r="D140" s="117">
        <f t="shared" si="5"/>
        <v>1682240.1172985171</v>
      </c>
      <c r="E140" s="116">
        <f t="shared" si="6"/>
        <v>130691320.35555737</v>
      </c>
    </row>
    <row r="141" spans="1:5" x14ac:dyDescent="0.25">
      <c r="A141" s="114">
        <v>127</v>
      </c>
      <c r="B141" s="117">
        <f t="shared" si="7"/>
        <v>3042327.6529967943</v>
      </c>
      <c r="C141" s="117">
        <f t="shared" si="4"/>
        <v>1337866.7054444121</v>
      </c>
      <c r="D141" s="117">
        <f t="shared" si="5"/>
        <v>1704460.9475523822</v>
      </c>
      <c r="E141" s="116">
        <f t="shared" si="6"/>
        <v>128986859.40800498</v>
      </c>
    </row>
    <row r="142" spans="1:5" x14ac:dyDescent="0.25">
      <c r="A142" s="114">
        <v>128</v>
      </c>
      <c r="B142" s="117">
        <f t="shared" si="7"/>
        <v>3047327.6529967943</v>
      </c>
      <c r="C142" s="117">
        <f t="shared" si="4"/>
        <v>1320418.4040097285</v>
      </c>
      <c r="D142" s="117">
        <f t="shared" si="5"/>
        <v>1726909.2489870659</v>
      </c>
      <c r="E142" s="116">
        <f t="shared" si="6"/>
        <v>127259950.15901792</v>
      </c>
    </row>
    <row r="143" spans="1:5" x14ac:dyDescent="0.25">
      <c r="A143" s="114">
        <v>129</v>
      </c>
      <c r="B143" s="117">
        <f t="shared" si="7"/>
        <v>3052327.6529967943</v>
      </c>
      <c r="C143" s="117">
        <f t="shared" si="4"/>
        <v>1302740.3028071525</v>
      </c>
      <c r="D143" s="117">
        <f t="shared" si="5"/>
        <v>1749587.3501896418</v>
      </c>
      <c r="E143" s="116">
        <f t="shared" si="6"/>
        <v>125510362.80882828</v>
      </c>
    </row>
    <row r="144" spans="1:5" x14ac:dyDescent="0.25">
      <c r="A144" s="114">
        <v>130</v>
      </c>
      <c r="B144" s="117">
        <f t="shared" si="7"/>
        <v>3057327.6529967943</v>
      </c>
      <c r="C144" s="117">
        <f t="shared" ref="C144:C194" si="8">+E143*$A$10</f>
        <v>1284830.0494122268</v>
      </c>
      <c r="D144" s="117">
        <f t="shared" ref="D144:D194" si="9">+B144-C144</f>
        <v>1772497.6035845676</v>
      </c>
      <c r="E144" s="116">
        <f t="shared" ref="E144:E194" si="10">+E143-D144</f>
        <v>123737865.20524371</v>
      </c>
    </row>
    <row r="145" spans="1:5" x14ac:dyDescent="0.25">
      <c r="A145" s="114">
        <v>131</v>
      </c>
      <c r="B145" s="117">
        <f t="shared" ref="B145:B194" si="11">+B144+$D$10</f>
        <v>3062327.6529967943</v>
      </c>
      <c r="C145" s="117">
        <f t="shared" si="8"/>
        <v>1266685.2673190909</v>
      </c>
      <c r="D145" s="117">
        <f t="shared" si="9"/>
        <v>1795642.3856777034</v>
      </c>
      <c r="E145" s="116">
        <f t="shared" si="10"/>
        <v>121942222.819566</v>
      </c>
    </row>
    <row r="146" spans="1:5" x14ac:dyDescent="0.25">
      <c r="A146" s="114">
        <v>132</v>
      </c>
      <c r="B146" s="117">
        <f t="shared" si="11"/>
        <v>3067327.6529967943</v>
      </c>
      <c r="C146" s="117">
        <f t="shared" si="8"/>
        <v>1248303.5556939635</v>
      </c>
      <c r="D146" s="117">
        <f t="shared" si="9"/>
        <v>1819024.0973028308</v>
      </c>
      <c r="E146" s="116">
        <f t="shared" si="10"/>
        <v>120123198.72226317</v>
      </c>
    </row>
    <row r="147" spans="1:5" x14ac:dyDescent="0.25">
      <c r="A147" s="114">
        <v>133</v>
      </c>
      <c r="B147" s="117">
        <f t="shared" si="11"/>
        <v>3072327.6529967943</v>
      </c>
      <c r="C147" s="117">
        <f t="shared" si="8"/>
        <v>1229682.4891261023</v>
      </c>
      <c r="D147" s="117">
        <f t="shared" si="9"/>
        <v>1842645.163870692</v>
      </c>
      <c r="E147" s="116">
        <f t="shared" si="10"/>
        <v>118280553.55839248</v>
      </c>
    </row>
    <row r="148" spans="1:5" x14ac:dyDescent="0.25">
      <c r="A148" s="114">
        <v>134</v>
      </c>
      <c r="B148" s="117">
        <f t="shared" si="11"/>
        <v>3077327.6529967943</v>
      </c>
      <c r="C148" s="117">
        <f t="shared" si="8"/>
        <v>1210819.6173762116</v>
      </c>
      <c r="D148" s="117">
        <f t="shared" si="9"/>
        <v>1866508.0356205828</v>
      </c>
      <c r="E148" s="116">
        <f t="shared" si="10"/>
        <v>116414045.52277189</v>
      </c>
    </row>
    <row r="149" spans="1:5" x14ac:dyDescent="0.25">
      <c r="A149" s="114">
        <v>135</v>
      </c>
      <c r="B149" s="117">
        <f t="shared" si="11"/>
        <v>3082327.6529967943</v>
      </c>
      <c r="C149" s="117">
        <f t="shared" si="8"/>
        <v>1191712.4651222781</v>
      </c>
      <c r="D149" s="117">
        <f t="shared" si="9"/>
        <v>1890615.1878745162</v>
      </c>
      <c r="E149" s="116">
        <f t="shared" si="10"/>
        <v>114523430.33489738</v>
      </c>
    </row>
    <row r="150" spans="1:5" x14ac:dyDescent="0.25">
      <c r="A150" s="114">
        <v>136</v>
      </c>
      <c r="B150" s="117">
        <f t="shared" si="11"/>
        <v>3087327.6529967943</v>
      </c>
      <c r="C150" s="117">
        <f t="shared" si="8"/>
        <v>1172358.5317028023</v>
      </c>
      <c r="D150" s="117">
        <f t="shared" si="9"/>
        <v>1914969.121293992</v>
      </c>
      <c r="E150" s="116">
        <f t="shared" si="10"/>
        <v>112608461.21360339</v>
      </c>
    </row>
    <row r="151" spans="1:5" x14ac:dyDescent="0.25">
      <c r="A151" s="114">
        <v>137</v>
      </c>
      <c r="B151" s="117">
        <f t="shared" si="11"/>
        <v>3092327.6529967943</v>
      </c>
      <c r="C151" s="117">
        <f t="shared" si="8"/>
        <v>1152755.2908574019</v>
      </c>
      <c r="D151" s="117">
        <f t="shared" si="9"/>
        <v>1939572.3621393924</v>
      </c>
      <c r="E151" s="116">
        <f t="shared" si="10"/>
        <v>110668888.851464</v>
      </c>
    </row>
    <row r="152" spans="1:5" x14ac:dyDescent="0.25">
      <c r="A152" s="114">
        <v>138</v>
      </c>
      <c r="B152" s="117">
        <f t="shared" si="11"/>
        <v>3097327.6529967943</v>
      </c>
      <c r="C152" s="117">
        <f t="shared" si="8"/>
        <v>1132900.1904647604</v>
      </c>
      <c r="D152" s="117">
        <f t="shared" si="9"/>
        <v>1964427.4625320339</v>
      </c>
      <c r="E152" s="116">
        <f t="shared" si="10"/>
        <v>108704461.38893197</v>
      </c>
    </row>
    <row r="153" spans="1:5" x14ac:dyDescent="0.25">
      <c r="A153" s="114">
        <v>139</v>
      </c>
      <c r="B153" s="117">
        <f t="shared" si="11"/>
        <v>3102327.6529967943</v>
      </c>
      <c r="C153" s="117">
        <f t="shared" si="8"/>
        <v>1112790.6522778927</v>
      </c>
      <c r="D153" s="117">
        <f t="shared" si="9"/>
        <v>1989537.0007189016</v>
      </c>
      <c r="E153" s="116">
        <f t="shared" si="10"/>
        <v>106714924.38821307</v>
      </c>
    </row>
    <row r="154" spans="1:5" x14ac:dyDescent="0.25">
      <c r="A154" s="114">
        <v>140</v>
      </c>
      <c r="B154" s="117">
        <f t="shared" si="11"/>
        <v>3107327.6529967943</v>
      </c>
      <c r="C154" s="117">
        <f t="shared" si="8"/>
        <v>1092424.0716567</v>
      </c>
      <c r="D154" s="117">
        <f t="shared" si="9"/>
        <v>2014903.5813400943</v>
      </c>
      <c r="E154" s="116">
        <f t="shared" si="10"/>
        <v>104700020.80687298</v>
      </c>
    </row>
    <row r="155" spans="1:5" x14ac:dyDescent="0.25">
      <c r="A155" s="114">
        <v>141</v>
      </c>
      <c r="B155" s="117">
        <f t="shared" si="11"/>
        <v>3112327.6529967943</v>
      </c>
      <c r="C155" s="117">
        <f t="shared" si="8"/>
        <v>1071797.8172977893</v>
      </c>
      <c r="D155" s="117">
        <f t="shared" si="9"/>
        <v>2040529.8356990051</v>
      </c>
      <c r="E155" s="116">
        <f t="shared" si="10"/>
        <v>102659490.97117397</v>
      </c>
    </row>
    <row r="156" spans="1:5" x14ac:dyDescent="0.25">
      <c r="A156" s="114">
        <v>142</v>
      </c>
      <c r="B156" s="117">
        <f t="shared" si="11"/>
        <v>3117327.6529967943</v>
      </c>
      <c r="C156" s="117">
        <f t="shared" si="8"/>
        <v>1050909.2309615233</v>
      </c>
      <c r="D156" s="117">
        <f t="shared" si="9"/>
        <v>2066418.4220352711</v>
      </c>
      <c r="E156" s="116">
        <f t="shared" si="10"/>
        <v>100593072.5491387</v>
      </c>
    </row>
    <row r="157" spans="1:5" x14ac:dyDescent="0.25">
      <c r="A157" s="114">
        <v>143</v>
      </c>
      <c r="B157" s="117">
        <f t="shared" si="11"/>
        <v>3122327.6529967943</v>
      </c>
      <c r="C157" s="117">
        <f t="shared" si="8"/>
        <v>1029755.6271962797</v>
      </c>
      <c r="D157" s="117">
        <f t="shared" si="9"/>
        <v>2092572.0258005145</v>
      </c>
      <c r="E157" s="116">
        <f t="shared" si="10"/>
        <v>98500500.523338184</v>
      </c>
    </row>
    <row r="158" spans="1:5" x14ac:dyDescent="0.25">
      <c r="A158" s="114">
        <v>144</v>
      </c>
      <c r="B158" s="117">
        <f t="shared" si="11"/>
        <v>3127327.6529967943</v>
      </c>
      <c r="C158" s="117">
        <f t="shared" si="8"/>
        <v>1008334.2930598861</v>
      </c>
      <c r="D158" s="117">
        <f t="shared" si="9"/>
        <v>2118993.3599369084</v>
      </c>
      <c r="E158" s="116">
        <f t="shared" si="10"/>
        <v>96381507.163401276</v>
      </c>
    </row>
    <row r="159" spans="1:5" x14ac:dyDescent="0.25">
      <c r="A159" s="114">
        <v>145</v>
      </c>
      <c r="B159" s="117">
        <f t="shared" si="11"/>
        <v>3132327.6529967943</v>
      </c>
      <c r="C159" s="117">
        <f t="shared" si="8"/>
        <v>986642.48783820262</v>
      </c>
      <c r="D159" s="117">
        <f t="shared" si="9"/>
        <v>2145685.1651585917</v>
      </c>
      <c r="E159" s="116">
        <f t="shared" si="10"/>
        <v>94235821.998242691</v>
      </c>
    </row>
    <row r="160" spans="1:5" x14ac:dyDescent="0.25">
      <c r="A160" s="114">
        <v>146</v>
      </c>
      <c r="B160" s="117">
        <f t="shared" si="11"/>
        <v>3137327.6529967943</v>
      </c>
      <c r="C160" s="117">
        <f t="shared" si="8"/>
        <v>964677.4427608262</v>
      </c>
      <c r="D160" s="117">
        <f t="shared" si="9"/>
        <v>2172650.2102359682</v>
      </c>
      <c r="E160" s="116">
        <f t="shared" si="10"/>
        <v>92063171.788006723</v>
      </c>
    </row>
    <row r="161" spans="1:5" x14ac:dyDescent="0.25">
      <c r="A161" s="114">
        <v>147</v>
      </c>
      <c r="B161" s="117">
        <f t="shared" si="11"/>
        <v>3142327.6529967943</v>
      </c>
      <c r="C161" s="117">
        <f t="shared" si="8"/>
        <v>942436.36071388132</v>
      </c>
      <c r="D161" s="117">
        <f t="shared" si="9"/>
        <v>2199891.2922829129</v>
      </c>
      <c r="E161" s="116">
        <f t="shared" si="10"/>
        <v>89863280.495723814</v>
      </c>
    </row>
    <row r="162" spans="1:5" x14ac:dyDescent="0.25">
      <c r="A162" s="114">
        <v>148</v>
      </c>
      <c r="B162" s="117">
        <f t="shared" si="11"/>
        <v>3147327.6529967943</v>
      </c>
      <c r="C162" s="117">
        <f t="shared" si="8"/>
        <v>919916.41594987363</v>
      </c>
      <c r="D162" s="117">
        <f t="shared" si="9"/>
        <v>2227411.2370469207</v>
      </c>
      <c r="E162" s="116">
        <f t="shared" si="10"/>
        <v>87635869.258676887</v>
      </c>
    </row>
    <row r="163" spans="1:5" x14ac:dyDescent="0.25">
      <c r="A163" s="114">
        <v>149</v>
      </c>
      <c r="B163" s="117">
        <f t="shared" si="11"/>
        <v>3152327.6529967943</v>
      </c>
      <c r="C163" s="117">
        <f t="shared" si="8"/>
        <v>897114.75379457115</v>
      </c>
      <c r="D163" s="117">
        <f t="shared" si="9"/>
        <v>2255212.8992022229</v>
      </c>
      <c r="E163" s="116">
        <f t="shared" si="10"/>
        <v>85380656.359474659</v>
      </c>
    </row>
    <row r="164" spans="1:5" x14ac:dyDescent="0.25">
      <c r="A164" s="114">
        <v>150</v>
      </c>
      <c r="B164" s="117">
        <f t="shared" si="11"/>
        <v>3157327.6529967943</v>
      </c>
      <c r="C164" s="117">
        <f t="shared" si="8"/>
        <v>874028.49035088613</v>
      </c>
      <c r="D164" s="117">
        <f t="shared" si="9"/>
        <v>2283299.1626459081</v>
      </c>
      <c r="E164" s="116">
        <f t="shared" si="10"/>
        <v>83097357.196828753</v>
      </c>
    </row>
    <row r="165" spans="1:5" x14ac:dyDescent="0.25">
      <c r="A165" s="114">
        <v>151</v>
      </c>
      <c r="B165" s="117">
        <f t="shared" si="11"/>
        <v>3162327.6529967943</v>
      </c>
      <c r="C165" s="117">
        <f t="shared" si="8"/>
        <v>850654.71219972544</v>
      </c>
      <c r="D165" s="117">
        <f t="shared" si="9"/>
        <v>2311672.9407970691</v>
      </c>
      <c r="E165" s="116">
        <f t="shared" si="10"/>
        <v>80785684.256031677</v>
      </c>
    </row>
    <row r="166" spans="1:5" x14ac:dyDescent="0.25">
      <c r="A166" s="114">
        <v>152</v>
      </c>
      <c r="B166" s="117">
        <f t="shared" si="11"/>
        <v>3167327.6529967943</v>
      </c>
      <c r="C166" s="117">
        <f t="shared" si="8"/>
        <v>826990.47609777795</v>
      </c>
      <c r="D166" s="117">
        <f t="shared" si="9"/>
        <v>2340337.1768990164</v>
      </c>
      <c r="E166" s="116">
        <f t="shared" si="10"/>
        <v>78445347.079132661</v>
      </c>
    </row>
    <row r="167" spans="1:5" x14ac:dyDescent="0.25">
      <c r="A167" s="114">
        <v>153</v>
      </c>
      <c r="B167" s="117">
        <f t="shared" si="11"/>
        <v>3172327.6529967943</v>
      </c>
      <c r="C167" s="117">
        <f t="shared" si="8"/>
        <v>803032.80867220869</v>
      </c>
      <c r="D167" s="117">
        <f t="shared" si="9"/>
        <v>2369294.8443245855</v>
      </c>
      <c r="E167" s="116">
        <f t="shared" si="10"/>
        <v>76076052.234808072</v>
      </c>
    </row>
    <row r="168" spans="1:5" x14ac:dyDescent="0.25">
      <c r="A168" s="114">
        <v>154</v>
      </c>
      <c r="B168" s="117">
        <f t="shared" si="11"/>
        <v>3177327.6529967943</v>
      </c>
      <c r="C168" s="117">
        <f t="shared" si="8"/>
        <v>778778.7061122281</v>
      </c>
      <c r="D168" s="117">
        <f t="shared" si="9"/>
        <v>2398548.946884566</v>
      </c>
      <c r="E168" s="116">
        <f t="shared" si="10"/>
        <v>73677503.2879235</v>
      </c>
    </row>
    <row r="169" spans="1:5" x14ac:dyDescent="0.25">
      <c r="A169" s="114">
        <v>155</v>
      </c>
      <c r="B169" s="117">
        <f t="shared" si="11"/>
        <v>3182327.6529967943</v>
      </c>
      <c r="C169" s="117">
        <f t="shared" si="8"/>
        <v>754225.13385750283</v>
      </c>
      <c r="D169" s="117">
        <f t="shared" si="9"/>
        <v>2428102.5191392917</v>
      </c>
      <c r="E169" s="116">
        <f t="shared" si="10"/>
        <v>71249400.76878421</v>
      </c>
    </row>
    <row r="170" spans="1:5" x14ac:dyDescent="0.25">
      <c r="A170" s="114">
        <v>156</v>
      </c>
      <c r="B170" s="117">
        <f t="shared" si="11"/>
        <v>3187327.6529967943</v>
      </c>
      <c r="C170" s="117">
        <f t="shared" si="8"/>
        <v>729369.0262833779</v>
      </c>
      <c r="D170" s="117">
        <f t="shared" si="9"/>
        <v>2457958.6267134165</v>
      </c>
      <c r="E170" s="116">
        <f t="shared" si="10"/>
        <v>68791442.1420708</v>
      </c>
    </row>
    <row r="171" spans="1:5" x14ac:dyDescent="0.25">
      <c r="A171" s="114">
        <v>157</v>
      </c>
      <c r="B171" s="117">
        <f t="shared" si="11"/>
        <v>3192327.6529967943</v>
      </c>
      <c r="C171" s="117">
        <f t="shared" si="8"/>
        <v>704207.28638287575</v>
      </c>
      <c r="D171" s="117">
        <f t="shared" si="9"/>
        <v>2488120.3666139184</v>
      </c>
      <c r="E171" s="116">
        <f t="shared" si="10"/>
        <v>66303321.775456883</v>
      </c>
    </row>
    <row r="172" spans="1:5" x14ac:dyDescent="0.25">
      <c r="A172" s="114">
        <v>158</v>
      </c>
      <c r="B172" s="117">
        <f t="shared" si="11"/>
        <v>3197327.6529967943</v>
      </c>
      <c r="C172" s="117">
        <f t="shared" si="8"/>
        <v>678736.78544544021</v>
      </c>
      <c r="D172" s="117">
        <f t="shared" si="9"/>
        <v>2518590.8675513542</v>
      </c>
      <c r="E172" s="116">
        <f t="shared" si="10"/>
        <v>63784730.907905526</v>
      </c>
    </row>
    <row r="173" spans="1:5" x14ac:dyDescent="0.25">
      <c r="A173" s="114">
        <v>159</v>
      </c>
      <c r="B173" s="117">
        <f t="shared" si="11"/>
        <v>3202327.6529967943</v>
      </c>
      <c r="C173" s="117">
        <f t="shared" si="8"/>
        <v>652954.3627323925</v>
      </c>
      <c r="D173" s="117">
        <f t="shared" si="9"/>
        <v>2549373.2902644016</v>
      </c>
      <c r="E173" s="116">
        <f t="shared" si="10"/>
        <v>61235357.617641121</v>
      </c>
    </row>
    <row r="174" spans="1:5" x14ac:dyDescent="0.25">
      <c r="A174" s="114">
        <v>160</v>
      </c>
      <c r="B174" s="117">
        <f t="shared" si="11"/>
        <v>3207327.6529967943</v>
      </c>
      <c r="C174" s="117">
        <f t="shared" si="8"/>
        <v>626856.82514906372</v>
      </c>
      <c r="D174" s="117">
        <f t="shared" si="9"/>
        <v>2580470.8278477304</v>
      </c>
      <c r="E174" s="116">
        <f t="shared" si="10"/>
        <v>58654886.789793387</v>
      </c>
    </row>
    <row r="175" spans="1:5" x14ac:dyDescent="0.25">
      <c r="A175" s="114">
        <v>161</v>
      </c>
      <c r="B175" s="117">
        <f t="shared" si="11"/>
        <v>3212327.6529967943</v>
      </c>
      <c r="C175" s="117">
        <f t="shared" si="8"/>
        <v>600440.94691357191</v>
      </c>
      <c r="D175" s="117">
        <f t="shared" si="9"/>
        <v>2611886.7060832223</v>
      </c>
      <c r="E175" s="116">
        <f t="shared" si="10"/>
        <v>56043000.083710164</v>
      </c>
    </row>
    <row r="176" spans="1:5" x14ac:dyDescent="0.25">
      <c r="A176" s="114">
        <v>162</v>
      </c>
      <c r="B176" s="117">
        <f t="shared" si="11"/>
        <v>3217327.6529967943</v>
      </c>
      <c r="C176" s="117">
        <f t="shared" si="8"/>
        <v>573703.4692222079</v>
      </c>
      <c r="D176" s="117">
        <f t="shared" si="9"/>
        <v>2643624.1837745863</v>
      </c>
      <c r="E176" s="116">
        <f t="shared" si="10"/>
        <v>53399375.899935581</v>
      </c>
    </row>
    <row r="177" spans="1:5" x14ac:dyDescent="0.25">
      <c r="A177" s="114">
        <v>163</v>
      </c>
      <c r="B177" s="117">
        <f t="shared" si="11"/>
        <v>3222327.6529967943</v>
      </c>
      <c r="C177" s="117">
        <f t="shared" si="8"/>
        <v>546641.09991139639</v>
      </c>
      <c r="D177" s="117">
        <f t="shared" si="9"/>
        <v>2675686.5530853979</v>
      </c>
      <c r="E177" s="116">
        <f t="shared" si="10"/>
        <v>50723689.346850187</v>
      </c>
    </row>
    <row r="178" spans="1:5" x14ac:dyDescent="0.25">
      <c r="A178" s="114">
        <v>164</v>
      </c>
      <c r="B178" s="117">
        <f t="shared" si="11"/>
        <v>3227327.6529967943</v>
      </c>
      <c r="C178" s="117">
        <f t="shared" si="8"/>
        <v>519250.51311619568</v>
      </c>
      <c r="D178" s="117">
        <f t="shared" si="9"/>
        <v>2708077.1398805985</v>
      </c>
      <c r="E178" s="116">
        <f t="shared" si="10"/>
        <v>48015612.206969589</v>
      </c>
    </row>
    <row r="179" spans="1:5" x14ac:dyDescent="0.25">
      <c r="A179" s="114">
        <v>165</v>
      </c>
      <c r="B179" s="117">
        <f t="shared" si="11"/>
        <v>3232327.6529967943</v>
      </c>
      <c r="C179" s="117">
        <f t="shared" si="8"/>
        <v>491528.3489253025</v>
      </c>
      <c r="D179" s="117">
        <f t="shared" si="9"/>
        <v>2740799.3040714916</v>
      </c>
      <c r="E179" s="116">
        <f t="shared" si="10"/>
        <v>45274812.902898096</v>
      </c>
    </row>
    <row r="180" spans="1:5" x14ac:dyDescent="0.25">
      <c r="A180" s="114">
        <v>166</v>
      </c>
      <c r="B180" s="117">
        <f t="shared" si="11"/>
        <v>3237327.6529967943</v>
      </c>
      <c r="C180" s="117">
        <f t="shared" si="8"/>
        <v>463471.21303252445</v>
      </c>
      <c r="D180" s="117">
        <f t="shared" si="9"/>
        <v>2773856.4399642698</v>
      </c>
      <c r="E180" s="116">
        <f t="shared" si="10"/>
        <v>42500956.462933823</v>
      </c>
    </row>
    <row r="181" spans="1:5" x14ac:dyDescent="0.25">
      <c r="A181" s="114">
        <v>167</v>
      </c>
      <c r="B181" s="117">
        <f t="shared" si="11"/>
        <v>3242327.6529967943</v>
      </c>
      <c r="C181" s="117">
        <f t="shared" si="8"/>
        <v>435075.67638468492</v>
      </c>
      <c r="D181" s="117">
        <f t="shared" si="9"/>
        <v>2807251.9766121092</v>
      </c>
      <c r="E181" s="116">
        <f t="shared" si="10"/>
        <v>39693704.486321718</v>
      </c>
    </row>
    <row r="182" spans="1:5" x14ac:dyDescent="0.25">
      <c r="A182" s="114">
        <v>168</v>
      </c>
      <c r="B182" s="117">
        <f t="shared" si="11"/>
        <v>3247327.6529967943</v>
      </c>
      <c r="C182" s="117">
        <f t="shared" si="8"/>
        <v>406338.27482592373</v>
      </c>
      <c r="D182" s="117">
        <f t="shared" si="9"/>
        <v>2840989.3781708707</v>
      </c>
      <c r="E182" s="116">
        <f t="shared" si="10"/>
        <v>36852715.108150847</v>
      </c>
    </row>
    <row r="183" spans="1:5" x14ac:dyDescent="0.25">
      <c r="A183" s="114">
        <v>169</v>
      </c>
      <c r="B183" s="117">
        <f t="shared" si="11"/>
        <v>3252327.6529967943</v>
      </c>
      <c r="C183" s="117">
        <f t="shared" si="8"/>
        <v>377255.50873835618</v>
      </c>
      <c r="D183" s="117">
        <f t="shared" si="9"/>
        <v>2875072.1442584381</v>
      </c>
      <c r="E183" s="116">
        <f t="shared" si="10"/>
        <v>33977642.963892408</v>
      </c>
    </row>
    <row r="184" spans="1:5" x14ac:dyDescent="0.25">
      <c r="A184" s="114">
        <v>170</v>
      </c>
      <c r="B184" s="117">
        <f t="shared" si="11"/>
        <v>3257327.6529967943</v>
      </c>
      <c r="C184" s="117">
        <f t="shared" si="8"/>
        <v>347823.84267905407</v>
      </c>
      <c r="D184" s="117">
        <f t="shared" si="9"/>
        <v>2909503.8103177403</v>
      </c>
      <c r="E184" s="116">
        <f t="shared" si="10"/>
        <v>31068139.153574668</v>
      </c>
    </row>
    <row r="185" spans="1:5" x14ac:dyDescent="0.25">
      <c r="A185" s="114">
        <v>171</v>
      </c>
      <c r="B185" s="117">
        <f t="shared" si="11"/>
        <v>3262327.6529967943</v>
      </c>
      <c r="C185" s="117">
        <f t="shared" si="8"/>
        <v>318039.70501331019</v>
      </c>
      <c r="D185" s="117">
        <f t="shared" si="9"/>
        <v>2944287.9479834842</v>
      </c>
      <c r="E185" s="116">
        <f t="shared" si="10"/>
        <v>28123851.205591183</v>
      </c>
    </row>
    <row r="186" spans="1:5" x14ac:dyDescent="0.25">
      <c r="A186" s="114">
        <v>172</v>
      </c>
      <c r="B186" s="117">
        <f t="shared" si="11"/>
        <v>3267327.6529967943</v>
      </c>
      <c r="C186" s="117">
        <f t="shared" si="8"/>
        <v>287899.48754414864</v>
      </c>
      <c r="D186" s="117">
        <f t="shared" si="9"/>
        <v>2979428.1654526456</v>
      </c>
      <c r="E186" s="116">
        <f t="shared" si="10"/>
        <v>25144423.040138539</v>
      </c>
    </row>
    <row r="187" spans="1:5" x14ac:dyDescent="0.25">
      <c r="A187" s="114">
        <v>173</v>
      </c>
      <c r="B187" s="117">
        <f t="shared" si="11"/>
        <v>3272327.6529967943</v>
      </c>
      <c r="C187" s="117">
        <f t="shared" si="8"/>
        <v>257399.54513804289</v>
      </c>
      <c r="D187" s="117">
        <f t="shared" si="9"/>
        <v>3014928.1078587514</v>
      </c>
      <c r="E187" s="116">
        <f t="shared" si="10"/>
        <v>22129494.932279788</v>
      </c>
    </row>
    <row r="188" spans="1:5" x14ac:dyDescent="0.25">
      <c r="A188" s="114">
        <v>174</v>
      </c>
      <c r="B188" s="117">
        <f t="shared" si="11"/>
        <v>3277327.6529967943</v>
      </c>
      <c r="C188" s="117">
        <f t="shared" si="8"/>
        <v>226536.1953468016</v>
      </c>
      <c r="D188" s="117">
        <f t="shared" si="9"/>
        <v>3050791.4576499928</v>
      </c>
      <c r="E188" s="116">
        <f t="shared" si="10"/>
        <v>19078703.474629797</v>
      </c>
    </row>
    <row r="189" spans="1:5" x14ac:dyDescent="0.25">
      <c r="A189" s="114">
        <v>175</v>
      </c>
      <c r="B189" s="117">
        <f t="shared" si="11"/>
        <v>3282327.6529967943</v>
      </c>
      <c r="C189" s="117">
        <f t="shared" si="8"/>
        <v>195305.71802558453</v>
      </c>
      <c r="D189" s="117">
        <f t="shared" si="9"/>
        <v>3087021.9349712096</v>
      </c>
      <c r="E189" s="116">
        <f t="shared" si="10"/>
        <v>15991681.539658587</v>
      </c>
    </row>
    <row r="190" spans="1:5" x14ac:dyDescent="0.25">
      <c r="A190" s="114">
        <v>176</v>
      </c>
      <c r="B190" s="117">
        <f t="shared" si="11"/>
        <v>3287327.6529967943</v>
      </c>
      <c r="C190" s="117">
        <f t="shared" si="8"/>
        <v>163704.3549470077</v>
      </c>
      <c r="D190" s="117">
        <f t="shared" si="9"/>
        <v>3123623.2980497866</v>
      </c>
      <c r="E190" s="116">
        <f t="shared" si="10"/>
        <v>12868058.2416088</v>
      </c>
    </row>
    <row r="191" spans="1:5" x14ac:dyDescent="0.25">
      <c r="A191" s="114">
        <v>177</v>
      </c>
      <c r="B191" s="117">
        <f t="shared" si="11"/>
        <v>3292327.6529967943</v>
      </c>
      <c r="C191" s="117">
        <f t="shared" si="8"/>
        <v>131728.30941129837</v>
      </c>
      <c r="D191" s="117">
        <f t="shared" si="9"/>
        <v>3160599.3435854958</v>
      </c>
      <c r="E191" s="116">
        <f t="shared" si="10"/>
        <v>9707458.8980233036</v>
      </c>
    </row>
    <row r="192" spans="1:5" x14ac:dyDescent="0.25">
      <c r="A192" s="114">
        <v>178</v>
      </c>
      <c r="B192" s="117">
        <f t="shared" si="11"/>
        <v>3297327.6529967943</v>
      </c>
      <c r="C192" s="117">
        <f t="shared" si="8"/>
        <v>99373.745852459149</v>
      </c>
      <c r="D192" s="117">
        <f t="shared" si="9"/>
        <v>3197953.9071443351</v>
      </c>
      <c r="E192" s="116">
        <f t="shared" si="10"/>
        <v>6509504.9908789685</v>
      </c>
    </row>
    <row r="193" spans="1:5" x14ac:dyDescent="0.25">
      <c r="A193" s="114">
        <v>179</v>
      </c>
      <c r="B193" s="117">
        <f t="shared" si="11"/>
        <v>3302327.6529967943</v>
      </c>
      <c r="C193" s="117">
        <f t="shared" si="8"/>
        <v>66636.789440400491</v>
      </c>
      <c r="D193" s="117">
        <f t="shared" si="9"/>
        <v>3235690.8635563939</v>
      </c>
      <c r="E193" s="116">
        <f t="shared" si="10"/>
        <v>3273814.1273225746</v>
      </c>
    </row>
    <row r="194" spans="1:5" x14ac:dyDescent="0.25">
      <c r="A194" s="114">
        <v>180</v>
      </c>
      <c r="B194" s="117">
        <f t="shared" si="11"/>
        <v>3307327.6529967943</v>
      </c>
      <c r="C194" s="117">
        <f t="shared" si="8"/>
        <v>33513.52567900029</v>
      </c>
      <c r="D194" s="117">
        <f t="shared" si="9"/>
        <v>3273814.1273177941</v>
      </c>
      <c r="E194" s="118">
        <f t="shared" si="10"/>
        <v>4.7804787755012512E-6</v>
      </c>
    </row>
  </sheetData>
  <mergeCells count="3">
    <mergeCell ref="A8:E8"/>
    <mergeCell ref="A12:E12"/>
    <mergeCell ref="A1:F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F43"/>
  <sheetViews>
    <sheetView showGridLines="0" zoomScale="120" zoomScaleNormal="120" workbookViewId="0">
      <selection sqref="A1:F1"/>
    </sheetView>
  </sheetViews>
  <sheetFormatPr baseColWidth="10" defaultRowHeight="15" x14ac:dyDescent="0.25"/>
  <cols>
    <col min="1" max="1" width="12.42578125" bestFit="1" customWidth="1"/>
    <col min="2" max="2" width="14.28515625" bestFit="1" customWidth="1"/>
    <col min="3" max="3" width="13" bestFit="1" customWidth="1"/>
    <col min="4" max="4" width="12.7109375" bestFit="1" customWidth="1"/>
    <col min="5" max="5" width="14" bestFit="1" customWidth="1"/>
  </cols>
  <sheetData>
    <row r="1" spans="1:6" ht="28.5" customHeight="1" x14ac:dyDescent="0.25">
      <c r="A1" s="211" t="s">
        <v>181</v>
      </c>
      <c r="B1" s="212"/>
      <c r="C1" s="212"/>
      <c r="D1" s="212"/>
      <c r="E1" s="212"/>
      <c r="F1" s="212"/>
    </row>
    <row r="3" spans="1:6" x14ac:dyDescent="0.25">
      <c r="A3" s="133" t="s">
        <v>149</v>
      </c>
      <c r="B3" s="147">
        <v>350000000</v>
      </c>
    </row>
    <row r="4" spans="1:6" x14ac:dyDescent="0.25">
      <c r="A4" s="148" t="s">
        <v>166</v>
      </c>
      <c r="B4" s="149">
        <v>7</v>
      </c>
    </row>
    <row r="5" spans="1:6" x14ac:dyDescent="0.25">
      <c r="A5" s="150" t="s">
        <v>167</v>
      </c>
      <c r="B5" s="151">
        <f>+B4*4</f>
        <v>28</v>
      </c>
    </row>
    <row r="6" spans="1:6" x14ac:dyDescent="0.25">
      <c r="A6" s="148" t="s">
        <v>19</v>
      </c>
      <c r="B6" s="152">
        <v>-2.8000000000000001E-2</v>
      </c>
    </row>
    <row r="7" spans="1:6" x14ac:dyDescent="0.25">
      <c r="A7" s="148" t="s">
        <v>168</v>
      </c>
      <c r="B7" s="153">
        <v>3.0210935689082341E-2</v>
      </c>
    </row>
    <row r="9" spans="1:6" ht="31.5" customHeight="1" x14ac:dyDescent="0.25">
      <c r="A9" s="221" t="s">
        <v>49</v>
      </c>
      <c r="B9" s="221"/>
      <c r="C9" s="221"/>
      <c r="D9" s="221"/>
      <c r="E9" s="221"/>
    </row>
    <row r="10" spans="1:6" x14ac:dyDescent="0.25">
      <c r="A10" s="105" t="s">
        <v>5</v>
      </c>
      <c r="B10" s="105" t="s">
        <v>2</v>
      </c>
      <c r="C10" s="105" t="s">
        <v>8</v>
      </c>
      <c r="D10" s="105" t="s">
        <v>19</v>
      </c>
      <c r="E10" s="105" t="s">
        <v>164</v>
      </c>
    </row>
    <row r="11" spans="1:6" ht="15.75" x14ac:dyDescent="0.3">
      <c r="A11" s="42">
        <f>+B7</f>
        <v>3.0210935689082341E-2</v>
      </c>
      <c r="B11" s="106">
        <f>+B5</f>
        <v>28</v>
      </c>
      <c r="C11" s="106">
        <f>+B3</f>
        <v>350000000</v>
      </c>
      <c r="D11" s="58">
        <f>+B6</f>
        <v>-2.8000000000000001E-2</v>
      </c>
      <c r="E11" s="57">
        <f>+C11*(((1+A11)^B11*(A11-D11))/((1+A11)^B11-(1+D11)^B11))</f>
        <v>25347229.394817278</v>
      </c>
    </row>
    <row r="13" spans="1:6" x14ac:dyDescent="0.25">
      <c r="A13" s="215" t="s">
        <v>169</v>
      </c>
      <c r="B13" s="216"/>
      <c r="C13" s="216"/>
      <c r="D13" s="216"/>
      <c r="E13" s="217"/>
    </row>
    <row r="14" spans="1:6" x14ac:dyDescent="0.25">
      <c r="A14" s="110" t="s">
        <v>129</v>
      </c>
      <c r="B14" s="111" t="s">
        <v>130</v>
      </c>
      <c r="C14" s="112" t="s">
        <v>131</v>
      </c>
      <c r="D14" s="112" t="s">
        <v>132</v>
      </c>
      <c r="E14" s="112" t="s">
        <v>133</v>
      </c>
    </row>
    <row r="15" spans="1:6" x14ac:dyDescent="0.25">
      <c r="A15" s="114">
        <v>0</v>
      </c>
      <c r="B15" s="115"/>
      <c r="C15" s="115"/>
      <c r="D15" s="115"/>
      <c r="E15" s="116">
        <f>+C11</f>
        <v>350000000</v>
      </c>
    </row>
    <row r="16" spans="1:6" x14ac:dyDescent="0.25">
      <c r="A16" s="114">
        <v>1</v>
      </c>
      <c r="B16" s="117">
        <f>+$E$11</f>
        <v>25347229.394817278</v>
      </c>
      <c r="C16" s="117">
        <f>+E15*$A$11</f>
        <v>10573827.49117882</v>
      </c>
      <c r="D16" s="117">
        <f>+B16-C16</f>
        <v>14773401.903638458</v>
      </c>
      <c r="E16" s="116">
        <f>+E15-D16</f>
        <v>335226598.09636152</v>
      </c>
    </row>
    <row r="17" spans="1:5" x14ac:dyDescent="0.25">
      <c r="A17" s="114">
        <v>2</v>
      </c>
      <c r="B17" s="117">
        <f>+B16*(1+$D$11)</f>
        <v>24637506.971762393</v>
      </c>
      <c r="C17" s="117">
        <f t="shared" ref="C17:C43" si="0">+E16*$A$11</f>
        <v>10127509.196359031</v>
      </c>
      <c r="D17" s="117">
        <f t="shared" ref="D17:D43" si="1">+B17-C17</f>
        <v>14509997.775403362</v>
      </c>
      <c r="E17" s="116">
        <f t="shared" ref="E17:E43" si="2">+E16-D17</f>
        <v>320716600.32095814</v>
      </c>
    </row>
    <row r="18" spans="1:5" x14ac:dyDescent="0.25">
      <c r="A18" s="114">
        <v>3</v>
      </c>
      <c r="B18" s="117">
        <f t="shared" ref="B18:B43" si="3">+B17*(1+$D$11)</f>
        <v>23947656.776553046</v>
      </c>
      <c r="C18" s="117">
        <f t="shared" si="0"/>
        <v>9689148.5867175907</v>
      </c>
      <c r="D18" s="117">
        <f t="shared" si="1"/>
        <v>14258508.189835455</v>
      </c>
      <c r="E18" s="116">
        <f t="shared" si="2"/>
        <v>306458092.13112271</v>
      </c>
    </row>
    <row r="19" spans="1:5" x14ac:dyDescent="0.25">
      <c r="A19" s="114">
        <v>4</v>
      </c>
      <c r="B19" s="117">
        <f t="shared" si="3"/>
        <v>23277122.386809561</v>
      </c>
      <c r="C19" s="117">
        <f t="shared" si="0"/>
        <v>9258385.7127722185</v>
      </c>
      <c r="D19" s="117">
        <f t="shared" si="1"/>
        <v>14018736.674037343</v>
      </c>
      <c r="E19" s="116">
        <f t="shared" si="2"/>
        <v>292439355.45708537</v>
      </c>
    </row>
    <row r="20" spans="1:5" x14ac:dyDescent="0.25">
      <c r="A20" s="114">
        <v>5</v>
      </c>
      <c r="B20" s="117">
        <f t="shared" si="3"/>
        <v>22625362.959978893</v>
      </c>
      <c r="C20" s="117">
        <f t="shared" si="0"/>
        <v>8834866.5606706962</v>
      </c>
      <c r="D20" s="117">
        <f t="shared" si="1"/>
        <v>13790496.399308197</v>
      </c>
      <c r="E20" s="116">
        <f t="shared" si="2"/>
        <v>278648859.05777717</v>
      </c>
    </row>
    <row r="21" spans="1:5" x14ac:dyDescent="0.25">
      <c r="A21" s="114">
        <v>6</v>
      </c>
      <c r="B21" s="117">
        <f t="shared" si="3"/>
        <v>21991852.797099482</v>
      </c>
      <c r="C21" s="117">
        <f t="shared" si="0"/>
        <v>8418242.7608306762</v>
      </c>
      <c r="D21" s="117">
        <f t="shared" si="1"/>
        <v>13573610.036268806</v>
      </c>
      <c r="E21" s="116">
        <f t="shared" si="2"/>
        <v>265075249.02150837</v>
      </c>
    </row>
    <row r="22" spans="1:5" x14ac:dyDescent="0.25">
      <c r="A22" s="114">
        <v>7</v>
      </c>
      <c r="B22" s="117">
        <f t="shared" si="3"/>
        <v>21376080.918780696</v>
      </c>
      <c r="C22" s="117">
        <f t="shared" si="0"/>
        <v>8008171.3009562762</v>
      </c>
      <c r="D22" s="117">
        <f t="shared" si="1"/>
        <v>13367909.61782442</v>
      </c>
      <c r="E22" s="116">
        <f t="shared" si="2"/>
        <v>251707339.40368396</v>
      </c>
    </row>
    <row r="23" spans="1:5" x14ac:dyDescent="0.25">
      <c r="A23" s="114">
        <v>8</v>
      </c>
      <c r="B23" s="117">
        <f t="shared" si="3"/>
        <v>20777550.653054837</v>
      </c>
      <c r="C23" s="117">
        <f t="shared" si="0"/>
        <v>7604314.2431947179</v>
      </c>
      <c r="D23" s="117">
        <f t="shared" si="1"/>
        <v>13173236.409860119</v>
      </c>
      <c r="E23" s="116">
        <f t="shared" si="2"/>
        <v>238534102.99382383</v>
      </c>
    </row>
    <row r="24" spans="1:5" x14ac:dyDescent="0.25">
      <c r="A24" s="114">
        <v>9</v>
      </c>
      <c r="B24" s="117">
        <f t="shared" si="3"/>
        <v>20195779.2347693</v>
      </c>
      <c r="C24" s="117">
        <f t="shared" si="0"/>
        <v>7206338.4451993555</v>
      </c>
      <c r="D24" s="117">
        <f t="shared" si="1"/>
        <v>12989440.789569944</v>
      </c>
      <c r="E24" s="116">
        <f t="shared" si="2"/>
        <v>225544662.20425388</v>
      </c>
    </row>
    <row r="25" spans="1:5" x14ac:dyDescent="0.25">
      <c r="A25" s="114">
        <v>10</v>
      </c>
      <c r="B25" s="117">
        <f t="shared" si="3"/>
        <v>19630297.416195758</v>
      </c>
      <c r="C25" s="117">
        <f t="shared" si="0"/>
        <v>6813915.2848685142</v>
      </c>
      <c r="D25" s="117">
        <f t="shared" si="1"/>
        <v>12816382.131327244</v>
      </c>
      <c r="E25" s="116">
        <f t="shared" si="2"/>
        <v>212728280.07292664</v>
      </c>
    </row>
    <row r="26" spans="1:5" x14ac:dyDescent="0.25">
      <c r="A26" s="114">
        <v>11</v>
      </c>
      <c r="B26" s="117">
        <f t="shared" si="3"/>
        <v>19080649.088542275</v>
      </c>
      <c r="C26" s="117">
        <f t="shared" si="0"/>
        <v>6426720.3885322828</v>
      </c>
      <c r="D26" s="117">
        <f t="shared" si="1"/>
        <v>12653928.700009992</v>
      </c>
      <c r="E26" s="116">
        <f t="shared" si="2"/>
        <v>200074351.37291664</v>
      </c>
    </row>
    <row r="27" spans="1:5" x14ac:dyDescent="0.25">
      <c r="A27" s="114">
        <v>12</v>
      </c>
      <c r="B27" s="117">
        <f t="shared" si="3"/>
        <v>18546390.914063092</v>
      </c>
      <c r="C27" s="117">
        <f t="shared" si="0"/>
        <v>6044433.3623620477</v>
      </c>
      <c r="D27" s="117">
        <f t="shared" si="1"/>
        <v>12501957.551701045</v>
      </c>
      <c r="E27" s="116">
        <f t="shared" si="2"/>
        <v>187572393.8212156</v>
      </c>
    </row>
    <row r="28" spans="1:5" x14ac:dyDescent="0.25">
      <c r="A28" s="114">
        <v>13</v>
      </c>
      <c r="B28" s="117">
        <f t="shared" si="3"/>
        <v>18027091.968469325</v>
      </c>
      <c r="C28" s="117">
        <f t="shared" si="0"/>
        <v>5666737.5267799702</v>
      </c>
      <c r="D28" s="117">
        <f t="shared" si="1"/>
        <v>12360354.441689355</v>
      </c>
      <c r="E28" s="116">
        <f t="shared" si="2"/>
        <v>175212039.37952626</v>
      </c>
    </row>
    <row r="29" spans="1:5" x14ac:dyDescent="0.25">
      <c r="A29" s="114">
        <v>14</v>
      </c>
      <c r="B29" s="117">
        <f t="shared" si="3"/>
        <v>17522333.393352184</v>
      </c>
      <c r="C29" s="117">
        <f t="shared" si="0"/>
        <v>5293319.6536478307</v>
      </c>
      <c r="D29" s="117">
        <f t="shared" si="1"/>
        <v>12229013.739704354</v>
      </c>
      <c r="E29" s="116">
        <f t="shared" si="2"/>
        <v>162983025.63982192</v>
      </c>
    </row>
    <row r="30" spans="1:5" x14ac:dyDescent="0.25">
      <c r="A30" s="114">
        <v>15</v>
      </c>
      <c r="B30" s="117">
        <f t="shared" si="3"/>
        <v>17031708.058338322</v>
      </c>
      <c r="C30" s="117">
        <f t="shared" si="0"/>
        <v>4923869.7060167184</v>
      </c>
      <c r="D30" s="117">
        <f t="shared" si="1"/>
        <v>12107838.352321602</v>
      </c>
      <c r="E30" s="116">
        <f t="shared" si="2"/>
        <v>150875187.28750032</v>
      </c>
    </row>
    <row r="31" spans="1:5" x14ac:dyDescent="0.25">
      <c r="A31" s="114">
        <v>16</v>
      </c>
      <c r="B31" s="117">
        <f t="shared" si="3"/>
        <v>16554820.232704848</v>
      </c>
      <c r="C31" s="117">
        <f t="shared" si="0"/>
        <v>4558080.5802209256</v>
      </c>
      <c r="D31" s="117">
        <f t="shared" si="1"/>
        <v>11996739.652483921</v>
      </c>
      <c r="E31" s="116">
        <f t="shared" si="2"/>
        <v>138878447.63501641</v>
      </c>
    </row>
    <row r="32" spans="1:5" x14ac:dyDescent="0.25">
      <c r="A32" s="114">
        <v>17</v>
      </c>
      <c r="B32" s="117">
        <f t="shared" si="3"/>
        <v>16091285.266189111</v>
      </c>
      <c r="C32" s="117">
        <f t="shared" si="0"/>
        <v>4195647.8501010705</v>
      </c>
      <c r="D32" s="117">
        <f t="shared" si="1"/>
        <v>11895637.416088041</v>
      </c>
      <c r="E32" s="116">
        <f t="shared" si="2"/>
        <v>126982810.21892837</v>
      </c>
    </row>
    <row r="33" spans="1:5" x14ac:dyDescent="0.25">
      <c r="A33" s="114">
        <v>18</v>
      </c>
      <c r="B33" s="117">
        <f t="shared" si="3"/>
        <v>15640729.278735816</v>
      </c>
      <c r="C33" s="117">
        <f t="shared" si="0"/>
        <v>3836269.5131429927</v>
      </c>
      <c r="D33" s="117">
        <f t="shared" si="1"/>
        <v>11804459.765592825</v>
      </c>
      <c r="E33" s="116">
        <f t="shared" si="2"/>
        <v>115178350.45333554</v>
      </c>
    </row>
    <row r="34" spans="1:5" x14ac:dyDescent="0.25">
      <c r="A34" s="114">
        <v>19</v>
      </c>
      <c r="B34" s="117">
        <f t="shared" si="3"/>
        <v>15202788.858931214</v>
      </c>
      <c r="C34" s="117">
        <f t="shared" si="0"/>
        <v>3479645.7383203078</v>
      </c>
      <c r="D34" s="117">
        <f t="shared" si="1"/>
        <v>11723143.120610906</v>
      </c>
      <c r="E34" s="116">
        <f t="shared" si="2"/>
        <v>103455207.33272463</v>
      </c>
    </row>
    <row r="35" spans="1:5" x14ac:dyDescent="0.25">
      <c r="A35" s="114">
        <v>20</v>
      </c>
      <c r="B35" s="117">
        <f t="shared" si="3"/>
        <v>14777110.770881139</v>
      </c>
      <c r="C35" s="117">
        <f t="shared" si="0"/>
        <v>3125478.6154296235</v>
      </c>
      <c r="D35" s="117">
        <f t="shared" si="1"/>
        <v>11651632.155451516</v>
      </c>
      <c r="E35" s="116">
        <f t="shared" si="2"/>
        <v>91803575.17727311</v>
      </c>
    </row>
    <row r="36" spans="1:5" x14ac:dyDescent="0.25">
      <c r="A36" s="114">
        <v>21</v>
      </c>
      <c r="B36" s="117">
        <f t="shared" si="3"/>
        <v>14363351.669296466</v>
      </c>
      <c r="C36" s="117">
        <f t="shared" si="0"/>
        <v>2773471.9057084341</v>
      </c>
      <c r="D36" s="117">
        <f t="shared" si="1"/>
        <v>11589879.763588032</v>
      </c>
      <c r="E36" s="116">
        <f t="shared" si="2"/>
        <v>80213695.413685083</v>
      </c>
    </row>
    <row r="37" spans="1:5" x14ac:dyDescent="0.25">
      <c r="A37" s="114">
        <v>22</v>
      </c>
      <c r="B37" s="117">
        <f t="shared" si="3"/>
        <v>13961177.822556164</v>
      </c>
      <c r="C37" s="117">
        <f t="shared" si="0"/>
        <v>2423330.793526479</v>
      </c>
      <c r="D37" s="117">
        <f t="shared" si="1"/>
        <v>11537847.029029686</v>
      </c>
      <c r="E37" s="116">
        <f t="shared" si="2"/>
        <v>68675848.384655401</v>
      </c>
    </row>
    <row r="38" spans="1:5" x14ac:dyDescent="0.25">
      <c r="A38" s="114">
        <v>23</v>
      </c>
      <c r="B38" s="117">
        <f t="shared" si="3"/>
        <v>13570264.843524592</v>
      </c>
      <c r="C38" s="117">
        <f t="shared" si="0"/>
        <v>2074761.6389419937</v>
      </c>
      <c r="D38" s="117">
        <f t="shared" si="1"/>
        <v>11495503.204582598</v>
      </c>
      <c r="E38" s="116">
        <f t="shared" si="2"/>
        <v>57180345.180072799</v>
      </c>
    </row>
    <row r="39" spans="1:5" x14ac:dyDescent="0.25">
      <c r="A39" s="114">
        <v>24</v>
      </c>
      <c r="B39" s="117">
        <f t="shared" si="3"/>
        <v>13190297.427905902</v>
      </c>
      <c r="C39" s="117">
        <f t="shared" si="0"/>
        <v>1727471.7309147087</v>
      </c>
      <c r="D39" s="117">
        <f t="shared" si="1"/>
        <v>11462825.696991194</v>
      </c>
      <c r="E39" s="116">
        <f t="shared" si="2"/>
        <v>45717519.483081609</v>
      </c>
    </row>
    <row r="40" spans="1:5" x14ac:dyDescent="0.25">
      <c r="A40" s="114">
        <v>25</v>
      </c>
      <c r="B40" s="117">
        <f t="shared" si="3"/>
        <v>12820969.099924536</v>
      </c>
      <c r="C40" s="117">
        <f t="shared" si="0"/>
        <v>1381169.0409677473</v>
      </c>
      <c r="D40" s="117">
        <f t="shared" si="1"/>
        <v>11439800.058956789</v>
      </c>
      <c r="E40" s="116">
        <f t="shared" si="2"/>
        <v>34277719.424124822</v>
      </c>
    </row>
    <row r="41" spans="1:5" x14ac:dyDescent="0.25">
      <c r="A41" s="114">
        <v>26</v>
      </c>
      <c r="B41" s="117">
        <f t="shared" si="3"/>
        <v>12461981.965126649</v>
      </c>
      <c r="C41" s="117">
        <f t="shared" si="0"/>
        <v>1035561.9770906436</v>
      </c>
      <c r="D41" s="117">
        <f t="shared" si="1"/>
        <v>11426419.988036005</v>
      </c>
      <c r="E41" s="116">
        <f t="shared" si="2"/>
        <v>22851299.436088815</v>
      </c>
    </row>
    <row r="42" spans="1:5" x14ac:dyDescent="0.25">
      <c r="A42" s="114">
        <v>27</v>
      </c>
      <c r="B42" s="117">
        <f t="shared" si="3"/>
        <v>12113046.470103102</v>
      </c>
      <c r="C42" s="117">
        <f t="shared" si="0"/>
        <v>690359.13767564273</v>
      </c>
      <c r="D42" s="117">
        <f t="shared" si="1"/>
        <v>11422687.332427459</v>
      </c>
      <c r="E42" s="116">
        <f t="shared" si="2"/>
        <v>11428612.103661356</v>
      </c>
    </row>
    <row r="43" spans="1:5" x14ac:dyDescent="0.25">
      <c r="A43" s="114">
        <v>28</v>
      </c>
      <c r="B43" s="117">
        <f t="shared" si="3"/>
        <v>11773881.168940214</v>
      </c>
      <c r="C43" s="117">
        <f t="shared" si="0"/>
        <v>345269.06527918129</v>
      </c>
      <c r="D43" s="117">
        <f t="shared" si="1"/>
        <v>11428612.103661032</v>
      </c>
      <c r="E43" s="118">
        <f t="shared" si="2"/>
        <v>3.2410025596618652E-7</v>
      </c>
    </row>
  </sheetData>
  <mergeCells count="3">
    <mergeCell ref="A9:E9"/>
    <mergeCell ref="A13:E13"/>
    <mergeCell ref="A1:F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I34"/>
  <sheetViews>
    <sheetView showGridLines="0" topLeftCell="A13" workbookViewId="0">
      <selection activeCell="K30" sqref="K30"/>
    </sheetView>
  </sheetViews>
  <sheetFormatPr baseColWidth="10" defaultRowHeight="15" x14ac:dyDescent="0.25"/>
  <cols>
    <col min="1" max="1" width="4.85546875" bestFit="1" customWidth="1"/>
    <col min="2" max="2" width="10.85546875" bestFit="1" customWidth="1"/>
    <col min="4" max="4" width="12.28515625" bestFit="1" customWidth="1"/>
    <col min="5" max="5" width="12.28515625" customWidth="1"/>
    <col min="6" max="6" width="13.7109375" customWidth="1"/>
    <col min="7" max="7" width="6.42578125" customWidth="1"/>
    <col min="9" max="9" width="13.85546875" bestFit="1" customWidth="1"/>
    <col min="257" max="257" width="4.85546875" bestFit="1" customWidth="1"/>
    <col min="258" max="258" width="10.85546875" bestFit="1" customWidth="1"/>
    <col min="260" max="260" width="12.28515625" bestFit="1" customWidth="1"/>
    <col min="261" max="261" width="12.28515625" customWidth="1"/>
    <col min="262" max="262" width="13.7109375" customWidth="1"/>
    <col min="263" max="263" width="6.42578125" customWidth="1"/>
    <col min="265" max="265" width="13.85546875" bestFit="1" customWidth="1"/>
    <col min="513" max="513" width="4.85546875" bestFit="1" customWidth="1"/>
    <col min="514" max="514" width="10.85546875" bestFit="1" customWidth="1"/>
    <col min="516" max="516" width="12.28515625" bestFit="1" customWidth="1"/>
    <col min="517" max="517" width="12.28515625" customWidth="1"/>
    <col min="518" max="518" width="13.7109375" customWidth="1"/>
    <col min="519" max="519" width="6.42578125" customWidth="1"/>
    <col min="521" max="521" width="13.85546875" bestFit="1" customWidth="1"/>
    <col min="769" max="769" width="4.85546875" bestFit="1" customWidth="1"/>
    <col min="770" max="770" width="10.85546875" bestFit="1" customWidth="1"/>
    <col min="772" max="772" width="12.28515625" bestFit="1" customWidth="1"/>
    <col min="773" max="773" width="12.28515625" customWidth="1"/>
    <col min="774" max="774" width="13.7109375" customWidth="1"/>
    <col min="775" max="775" width="6.42578125" customWidth="1"/>
    <col min="777" max="777" width="13.85546875" bestFit="1" customWidth="1"/>
    <col min="1025" max="1025" width="4.85546875" bestFit="1" customWidth="1"/>
    <col min="1026" max="1026" width="10.85546875" bestFit="1" customWidth="1"/>
    <col min="1028" max="1028" width="12.28515625" bestFit="1" customWidth="1"/>
    <col min="1029" max="1029" width="12.28515625" customWidth="1"/>
    <col min="1030" max="1030" width="13.7109375" customWidth="1"/>
    <col min="1031" max="1031" width="6.42578125" customWidth="1"/>
    <col min="1033" max="1033" width="13.85546875" bestFit="1" customWidth="1"/>
    <col min="1281" max="1281" width="4.85546875" bestFit="1" customWidth="1"/>
    <col min="1282" max="1282" width="10.85546875" bestFit="1" customWidth="1"/>
    <col min="1284" max="1284" width="12.28515625" bestFit="1" customWidth="1"/>
    <col min="1285" max="1285" width="12.28515625" customWidth="1"/>
    <col min="1286" max="1286" width="13.7109375" customWidth="1"/>
    <col min="1287" max="1287" width="6.42578125" customWidth="1"/>
    <col min="1289" max="1289" width="13.85546875" bestFit="1" customWidth="1"/>
    <col min="1537" max="1537" width="4.85546875" bestFit="1" customWidth="1"/>
    <col min="1538" max="1538" width="10.85546875" bestFit="1" customWidth="1"/>
    <col min="1540" max="1540" width="12.28515625" bestFit="1" customWidth="1"/>
    <col min="1541" max="1541" width="12.28515625" customWidth="1"/>
    <col min="1542" max="1542" width="13.7109375" customWidth="1"/>
    <col min="1543" max="1543" width="6.42578125" customWidth="1"/>
    <col min="1545" max="1545" width="13.85546875" bestFit="1" customWidth="1"/>
    <col min="1793" max="1793" width="4.85546875" bestFit="1" customWidth="1"/>
    <col min="1794" max="1794" width="10.85546875" bestFit="1" customWidth="1"/>
    <col min="1796" max="1796" width="12.28515625" bestFit="1" customWidth="1"/>
    <col min="1797" max="1797" width="12.28515625" customWidth="1"/>
    <col min="1798" max="1798" width="13.7109375" customWidth="1"/>
    <col min="1799" max="1799" width="6.42578125" customWidth="1"/>
    <col min="1801" max="1801" width="13.85546875" bestFit="1" customWidth="1"/>
    <col min="2049" max="2049" width="4.85546875" bestFit="1" customWidth="1"/>
    <col min="2050" max="2050" width="10.85546875" bestFit="1" customWidth="1"/>
    <col min="2052" max="2052" width="12.28515625" bestFit="1" customWidth="1"/>
    <col min="2053" max="2053" width="12.28515625" customWidth="1"/>
    <col min="2054" max="2054" width="13.7109375" customWidth="1"/>
    <col min="2055" max="2055" width="6.42578125" customWidth="1"/>
    <col min="2057" max="2057" width="13.85546875" bestFit="1" customWidth="1"/>
    <col min="2305" max="2305" width="4.85546875" bestFit="1" customWidth="1"/>
    <col min="2306" max="2306" width="10.85546875" bestFit="1" customWidth="1"/>
    <col min="2308" max="2308" width="12.28515625" bestFit="1" customWidth="1"/>
    <col min="2309" max="2309" width="12.28515625" customWidth="1"/>
    <col min="2310" max="2310" width="13.7109375" customWidth="1"/>
    <col min="2311" max="2311" width="6.42578125" customWidth="1"/>
    <col min="2313" max="2313" width="13.85546875" bestFit="1" customWidth="1"/>
    <col min="2561" max="2561" width="4.85546875" bestFit="1" customWidth="1"/>
    <col min="2562" max="2562" width="10.85546875" bestFit="1" customWidth="1"/>
    <col min="2564" max="2564" width="12.28515625" bestFit="1" customWidth="1"/>
    <col min="2565" max="2565" width="12.28515625" customWidth="1"/>
    <col min="2566" max="2566" width="13.7109375" customWidth="1"/>
    <col min="2567" max="2567" width="6.42578125" customWidth="1"/>
    <col min="2569" max="2569" width="13.85546875" bestFit="1" customWidth="1"/>
    <col min="2817" max="2817" width="4.85546875" bestFit="1" customWidth="1"/>
    <col min="2818" max="2818" width="10.85546875" bestFit="1" customWidth="1"/>
    <col min="2820" max="2820" width="12.28515625" bestFit="1" customWidth="1"/>
    <col min="2821" max="2821" width="12.28515625" customWidth="1"/>
    <col min="2822" max="2822" width="13.7109375" customWidth="1"/>
    <col min="2823" max="2823" width="6.42578125" customWidth="1"/>
    <col min="2825" max="2825" width="13.85546875" bestFit="1" customWidth="1"/>
    <col min="3073" max="3073" width="4.85546875" bestFit="1" customWidth="1"/>
    <col min="3074" max="3074" width="10.85546875" bestFit="1" customWidth="1"/>
    <col min="3076" max="3076" width="12.28515625" bestFit="1" customWidth="1"/>
    <col min="3077" max="3077" width="12.28515625" customWidth="1"/>
    <col min="3078" max="3078" width="13.7109375" customWidth="1"/>
    <col min="3079" max="3079" width="6.42578125" customWidth="1"/>
    <col min="3081" max="3081" width="13.85546875" bestFit="1" customWidth="1"/>
    <col min="3329" max="3329" width="4.85546875" bestFit="1" customWidth="1"/>
    <col min="3330" max="3330" width="10.85546875" bestFit="1" customWidth="1"/>
    <col min="3332" max="3332" width="12.28515625" bestFit="1" customWidth="1"/>
    <col min="3333" max="3333" width="12.28515625" customWidth="1"/>
    <col min="3334" max="3334" width="13.7109375" customWidth="1"/>
    <col min="3335" max="3335" width="6.42578125" customWidth="1"/>
    <col min="3337" max="3337" width="13.85546875" bestFit="1" customWidth="1"/>
    <col min="3585" max="3585" width="4.85546875" bestFit="1" customWidth="1"/>
    <col min="3586" max="3586" width="10.85546875" bestFit="1" customWidth="1"/>
    <col min="3588" max="3588" width="12.28515625" bestFit="1" customWidth="1"/>
    <col min="3589" max="3589" width="12.28515625" customWidth="1"/>
    <col min="3590" max="3590" width="13.7109375" customWidth="1"/>
    <col min="3591" max="3591" width="6.42578125" customWidth="1"/>
    <col min="3593" max="3593" width="13.85546875" bestFit="1" customWidth="1"/>
    <col min="3841" max="3841" width="4.85546875" bestFit="1" customWidth="1"/>
    <col min="3842" max="3842" width="10.85546875" bestFit="1" customWidth="1"/>
    <col min="3844" max="3844" width="12.28515625" bestFit="1" customWidth="1"/>
    <col min="3845" max="3845" width="12.28515625" customWidth="1"/>
    <col min="3846" max="3846" width="13.7109375" customWidth="1"/>
    <col min="3847" max="3847" width="6.42578125" customWidth="1"/>
    <col min="3849" max="3849" width="13.85546875" bestFit="1" customWidth="1"/>
    <col min="4097" max="4097" width="4.85546875" bestFit="1" customWidth="1"/>
    <col min="4098" max="4098" width="10.85546875" bestFit="1" customWidth="1"/>
    <col min="4100" max="4100" width="12.28515625" bestFit="1" customWidth="1"/>
    <col min="4101" max="4101" width="12.28515625" customWidth="1"/>
    <col min="4102" max="4102" width="13.7109375" customWidth="1"/>
    <col min="4103" max="4103" width="6.42578125" customWidth="1"/>
    <col min="4105" max="4105" width="13.85546875" bestFit="1" customWidth="1"/>
    <col min="4353" max="4353" width="4.85546875" bestFit="1" customWidth="1"/>
    <col min="4354" max="4354" width="10.85546875" bestFit="1" customWidth="1"/>
    <col min="4356" max="4356" width="12.28515625" bestFit="1" customWidth="1"/>
    <col min="4357" max="4357" width="12.28515625" customWidth="1"/>
    <col min="4358" max="4358" width="13.7109375" customWidth="1"/>
    <col min="4359" max="4359" width="6.42578125" customWidth="1"/>
    <col min="4361" max="4361" width="13.85546875" bestFit="1" customWidth="1"/>
    <col min="4609" max="4609" width="4.85546875" bestFit="1" customWidth="1"/>
    <col min="4610" max="4610" width="10.85546875" bestFit="1" customWidth="1"/>
    <col min="4612" max="4612" width="12.28515625" bestFit="1" customWidth="1"/>
    <col min="4613" max="4613" width="12.28515625" customWidth="1"/>
    <col min="4614" max="4614" width="13.7109375" customWidth="1"/>
    <col min="4615" max="4615" width="6.42578125" customWidth="1"/>
    <col min="4617" max="4617" width="13.85546875" bestFit="1" customWidth="1"/>
    <col min="4865" max="4865" width="4.85546875" bestFit="1" customWidth="1"/>
    <col min="4866" max="4866" width="10.85546875" bestFit="1" customWidth="1"/>
    <col min="4868" max="4868" width="12.28515625" bestFit="1" customWidth="1"/>
    <col min="4869" max="4869" width="12.28515625" customWidth="1"/>
    <col min="4870" max="4870" width="13.7109375" customWidth="1"/>
    <col min="4871" max="4871" width="6.42578125" customWidth="1"/>
    <col min="4873" max="4873" width="13.85546875" bestFit="1" customWidth="1"/>
    <col min="5121" max="5121" width="4.85546875" bestFit="1" customWidth="1"/>
    <col min="5122" max="5122" width="10.85546875" bestFit="1" customWidth="1"/>
    <col min="5124" max="5124" width="12.28515625" bestFit="1" customWidth="1"/>
    <col min="5125" max="5125" width="12.28515625" customWidth="1"/>
    <col min="5126" max="5126" width="13.7109375" customWidth="1"/>
    <col min="5127" max="5127" width="6.42578125" customWidth="1"/>
    <col min="5129" max="5129" width="13.85546875" bestFit="1" customWidth="1"/>
    <col min="5377" max="5377" width="4.85546875" bestFit="1" customWidth="1"/>
    <col min="5378" max="5378" width="10.85546875" bestFit="1" customWidth="1"/>
    <col min="5380" max="5380" width="12.28515625" bestFit="1" customWidth="1"/>
    <col min="5381" max="5381" width="12.28515625" customWidth="1"/>
    <col min="5382" max="5382" width="13.7109375" customWidth="1"/>
    <col min="5383" max="5383" width="6.42578125" customWidth="1"/>
    <col min="5385" max="5385" width="13.85546875" bestFit="1" customWidth="1"/>
    <col min="5633" max="5633" width="4.85546875" bestFit="1" customWidth="1"/>
    <col min="5634" max="5634" width="10.85546875" bestFit="1" customWidth="1"/>
    <col min="5636" max="5636" width="12.28515625" bestFit="1" customWidth="1"/>
    <col min="5637" max="5637" width="12.28515625" customWidth="1"/>
    <col min="5638" max="5638" width="13.7109375" customWidth="1"/>
    <col min="5639" max="5639" width="6.42578125" customWidth="1"/>
    <col min="5641" max="5641" width="13.85546875" bestFit="1" customWidth="1"/>
    <col min="5889" max="5889" width="4.85546875" bestFit="1" customWidth="1"/>
    <col min="5890" max="5890" width="10.85546875" bestFit="1" customWidth="1"/>
    <col min="5892" max="5892" width="12.28515625" bestFit="1" customWidth="1"/>
    <col min="5893" max="5893" width="12.28515625" customWidth="1"/>
    <col min="5894" max="5894" width="13.7109375" customWidth="1"/>
    <col min="5895" max="5895" width="6.42578125" customWidth="1"/>
    <col min="5897" max="5897" width="13.85546875" bestFit="1" customWidth="1"/>
    <col min="6145" max="6145" width="4.85546875" bestFit="1" customWidth="1"/>
    <col min="6146" max="6146" width="10.85546875" bestFit="1" customWidth="1"/>
    <col min="6148" max="6148" width="12.28515625" bestFit="1" customWidth="1"/>
    <col min="6149" max="6149" width="12.28515625" customWidth="1"/>
    <col min="6150" max="6150" width="13.7109375" customWidth="1"/>
    <col min="6151" max="6151" width="6.42578125" customWidth="1"/>
    <col min="6153" max="6153" width="13.85546875" bestFit="1" customWidth="1"/>
    <col min="6401" max="6401" width="4.85546875" bestFit="1" customWidth="1"/>
    <col min="6402" max="6402" width="10.85546875" bestFit="1" customWidth="1"/>
    <col min="6404" max="6404" width="12.28515625" bestFit="1" customWidth="1"/>
    <col min="6405" max="6405" width="12.28515625" customWidth="1"/>
    <col min="6406" max="6406" width="13.7109375" customWidth="1"/>
    <col min="6407" max="6407" width="6.42578125" customWidth="1"/>
    <col min="6409" max="6409" width="13.85546875" bestFit="1" customWidth="1"/>
    <col min="6657" max="6657" width="4.85546875" bestFit="1" customWidth="1"/>
    <col min="6658" max="6658" width="10.85546875" bestFit="1" customWidth="1"/>
    <col min="6660" max="6660" width="12.28515625" bestFit="1" customWidth="1"/>
    <col min="6661" max="6661" width="12.28515625" customWidth="1"/>
    <col min="6662" max="6662" width="13.7109375" customWidth="1"/>
    <col min="6663" max="6663" width="6.42578125" customWidth="1"/>
    <col min="6665" max="6665" width="13.85546875" bestFit="1" customWidth="1"/>
    <col min="6913" max="6913" width="4.85546875" bestFit="1" customWidth="1"/>
    <col min="6914" max="6914" width="10.85546875" bestFit="1" customWidth="1"/>
    <col min="6916" max="6916" width="12.28515625" bestFit="1" customWidth="1"/>
    <col min="6917" max="6917" width="12.28515625" customWidth="1"/>
    <col min="6918" max="6918" width="13.7109375" customWidth="1"/>
    <col min="6919" max="6919" width="6.42578125" customWidth="1"/>
    <col min="6921" max="6921" width="13.85546875" bestFit="1" customWidth="1"/>
    <col min="7169" max="7169" width="4.85546875" bestFit="1" customWidth="1"/>
    <col min="7170" max="7170" width="10.85546875" bestFit="1" customWidth="1"/>
    <col min="7172" max="7172" width="12.28515625" bestFit="1" customWidth="1"/>
    <col min="7173" max="7173" width="12.28515625" customWidth="1"/>
    <col min="7174" max="7174" width="13.7109375" customWidth="1"/>
    <col min="7175" max="7175" width="6.42578125" customWidth="1"/>
    <col min="7177" max="7177" width="13.85546875" bestFit="1" customWidth="1"/>
    <col min="7425" max="7425" width="4.85546875" bestFit="1" customWidth="1"/>
    <col min="7426" max="7426" width="10.85546875" bestFit="1" customWidth="1"/>
    <col min="7428" max="7428" width="12.28515625" bestFit="1" customWidth="1"/>
    <col min="7429" max="7429" width="12.28515625" customWidth="1"/>
    <col min="7430" max="7430" width="13.7109375" customWidth="1"/>
    <col min="7431" max="7431" width="6.42578125" customWidth="1"/>
    <col min="7433" max="7433" width="13.85546875" bestFit="1" customWidth="1"/>
    <col min="7681" max="7681" width="4.85546875" bestFit="1" customWidth="1"/>
    <col min="7682" max="7682" width="10.85546875" bestFit="1" customWidth="1"/>
    <col min="7684" max="7684" width="12.28515625" bestFit="1" customWidth="1"/>
    <col min="7685" max="7685" width="12.28515625" customWidth="1"/>
    <col min="7686" max="7686" width="13.7109375" customWidth="1"/>
    <col min="7687" max="7687" width="6.42578125" customWidth="1"/>
    <col min="7689" max="7689" width="13.85546875" bestFit="1" customWidth="1"/>
    <col min="7937" max="7937" width="4.85546875" bestFit="1" customWidth="1"/>
    <col min="7938" max="7938" width="10.85546875" bestFit="1" customWidth="1"/>
    <col min="7940" max="7940" width="12.28515625" bestFit="1" customWidth="1"/>
    <col min="7941" max="7941" width="12.28515625" customWidth="1"/>
    <col min="7942" max="7942" width="13.7109375" customWidth="1"/>
    <col min="7943" max="7943" width="6.42578125" customWidth="1"/>
    <col min="7945" max="7945" width="13.85546875" bestFit="1" customWidth="1"/>
    <col min="8193" max="8193" width="4.85546875" bestFit="1" customWidth="1"/>
    <col min="8194" max="8194" width="10.85546875" bestFit="1" customWidth="1"/>
    <col min="8196" max="8196" width="12.28515625" bestFit="1" customWidth="1"/>
    <col min="8197" max="8197" width="12.28515625" customWidth="1"/>
    <col min="8198" max="8198" width="13.7109375" customWidth="1"/>
    <col min="8199" max="8199" width="6.42578125" customWidth="1"/>
    <col min="8201" max="8201" width="13.85546875" bestFit="1" customWidth="1"/>
    <col min="8449" max="8449" width="4.85546875" bestFit="1" customWidth="1"/>
    <col min="8450" max="8450" width="10.85546875" bestFit="1" customWidth="1"/>
    <col min="8452" max="8452" width="12.28515625" bestFit="1" customWidth="1"/>
    <col min="8453" max="8453" width="12.28515625" customWidth="1"/>
    <col min="8454" max="8454" width="13.7109375" customWidth="1"/>
    <col min="8455" max="8455" width="6.42578125" customWidth="1"/>
    <col min="8457" max="8457" width="13.85546875" bestFit="1" customWidth="1"/>
    <col min="8705" max="8705" width="4.85546875" bestFit="1" customWidth="1"/>
    <col min="8706" max="8706" width="10.85546875" bestFit="1" customWidth="1"/>
    <col min="8708" max="8708" width="12.28515625" bestFit="1" customWidth="1"/>
    <col min="8709" max="8709" width="12.28515625" customWidth="1"/>
    <col min="8710" max="8710" width="13.7109375" customWidth="1"/>
    <col min="8711" max="8711" width="6.42578125" customWidth="1"/>
    <col min="8713" max="8713" width="13.85546875" bestFit="1" customWidth="1"/>
    <col min="8961" max="8961" width="4.85546875" bestFit="1" customWidth="1"/>
    <col min="8962" max="8962" width="10.85546875" bestFit="1" customWidth="1"/>
    <col min="8964" max="8964" width="12.28515625" bestFit="1" customWidth="1"/>
    <col min="8965" max="8965" width="12.28515625" customWidth="1"/>
    <col min="8966" max="8966" width="13.7109375" customWidth="1"/>
    <col min="8967" max="8967" width="6.42578125" customWidth="1"/>
    <col min="8969" max="8969" width="13.85546875" bestFit="1" customWidth="1"/>
    <col min="9217" max="9217" width="4.85546875" bestFit="1" customWidth="1"/>
    <col min="9218" max="9218" width="10.85546875" bestFit="1" customWidth="1"/>
    <col min="9220" max="9220" width="12.28515625" bestFit="1" customWidth="1"/>
    <col min="9221" max="9221" width="12.28515625" customWidth="1"/>
    <col min="9222" max="9222" width="13.7109375" customWidth="1"/>
    <col min="9223" max="9223" width="6.42578125" customWidth="1"/>
    <col min="9225" max="9225" width="13.85546875" bestFit="1" customWidth="1"/>
    <col min="9473" max="9473" width="4.85546875" bestFit="1" customWidth="1"/>
    <col min="9474" max="9474" width="10.85546875" bestFit="1" customWidth="1"/>
    <col min="9476" max="9476" width="12.28515625" bestFit="1" customWidth="1"/>
    <col min="9477" max="9477" width="12.28515625" customWidth="1"/>
    <col min="9478" max="9478" width="13.7109375" customWidth="1"/>
    <col min="9479" max="9479" width="6.42578125" customWidth="1"/>
    <col min="9481" max="9481" width="13.85546875" bestFit="1" customWidth="1"/>
    <col min="9729" max="9729" width="4.85546875" bestFit="1" customWidth="1"/>
    <col min="9730" max="9730" width="10.85546875" bestFit="1" customWidth="1"/>
    <col min="9732" max="9732" width="12.28515625" bestFit="1" customWidth="1"/>
    <col min="9733" max="9733" width="12.28515625" customWidth="1"/>
    <col min="9734" max="9734" width="13.7109375" customWidth="1"/>
    <col min="9735" max="9735" width="6.42578125" customWidth="1"/>
    <col min="9737" max="9737" width="13.85546875" bestFit="1" customWidth="1"/>
    <col min="9985" max="9985" width="4.85546875" bestFit="1" customWidth="1"/>
    <col min="9986" max="9986" width="10.85546875" bestFit="1" customWidth="1"/>
    <col min="9988" max="9988" width="12.28515625" bestFit="1" customWidth="1"/>
    <col min="9989" max="9989" width="12.28515625" customWidth="1"/>
    <col min="9990" max="9990" width="13.7109375" customWidth="1"/>
    <col min="9991" max="9991" width="6.42578125" customWidth="1"/>
    <col min="9993" max="9993" width="13.85546875" bestFit="1" customWidth="1"/>
    <col min="10241" max="10241" width="4.85546875" bestFit="1" customWidth="1"/>
    <col min="10242" max="10242" width="10.85546875" bestFit="1" customWidth="1"/>
    <col min="10244" max="10244" width="12.28515625" bestFit="1" customWidth="1"/>
    <col min="10245" max="10245" width="12.28515625" customWidth="1"/>
    <col min="10246" max="10246" width="13.7109375" customWidth="1"/>
    <col min="10247" max="10247" width="6.42578125" customWidth="1"/>
    <col min="10249" max="10249" width="13.85546875" bestFit="1" customWidth="1"/>
    <col min="10497" max="10497" width="4.85546875" bestFit="1" customWidth="1"/>
    <col min="10498" max="10498" width="10.85546875" bestFit="1" customWidth="1"/>
    <col min="10500" max="10500" width="12.28515625" bestFit="1" customWidth="1"/>
    <col min="10501" max="10501" width="12.28515625" customWidth="1"/>
    <col min="10502" max="10502" width="13.7109375" customWidth="1"/>
    <col min="10503" max="10503" width="6.42578125" customWidth="1"/>
    <col min="10505" max="10505" width="13.85546875" bestFit="1" customWidth="1"/>
    <col min="10753" max="10753" width="4.85546875" bestFit="1" customWidth="1"/>
    <col min="10754" max="10754" width="10.85546875" bestFit="1" customWidth="1"/>
    <col min="10756" max="10756" width="12.28515625" bestFit="1" customWidth="1"/>
    <col min="10757" max="10757" width="12.28515625" customWidth="1"/>
    <col min="10758" max="10758" width="13.7109375" customWidth="1"/>
    <col min="10759" max="10759" width="6.42578125" customWidth="1"/>
    <col min="10761" max="10761" width="13.85546875" bestFit="1" customWidth="1"/>
    <col min="11009" max="11009" width="4.85546875" bestFit="1" customWidth="1"/>
    <col min="11010" max="11010" width="10.85546875" bestFit="1" customWidth="1"/>
    <col min="11012" max="11012" width="12.28515625" bestFit="1" customWidth="1"/>
    <col min="11013" max="11013" width="12.28515625" customWidth="1"/>
    <col min="11014" max="11014" width="13.7109375" customWidth="1"/>
    <col min="11015" max="11015" width="6.42578125" customWidth="1"/>
    <col min="11017" max="11017" width="13.85546875" bestFit="1" customWidth="1"/>
    <col min="11265" max="11265" width="4.85546875" bestFit="1" customWidth="1"/>
    <col min="11266" max="11266" width="10.85546875" bestFit="1" customWidth="1"/>
    <col min="11268" max="11268" width="12.28515625" bestFit="1" customWidth="1"/>
    <col min="11269" max="11269" width="12.28515625" customWidth="1"/>
    <col min="11270" max="11270" width="13.7109375" customWidth="1"/>
    <col min="11271" max="11271" width="6.42578125" customWidth="1"/>
    <col min="11273" max="11273" width="13.85546875" bestFit="1" customWidth="1"/>
    <col min="11521" max="11521" width="4.85546875" bestFit="1" customWidth="1"/>
    <col min="11522" max="11522" width="10.85546875" bestFit="1" customWidth="1"/>
    <col min="11524" max="11524" width="12.28515625" bestFit="1" customWidth="1"/>
    <col min="11525" max="11525" width="12.28515625" customWidth="1"/>
    <col min="11526" max="11526" width="13.7109375" customWidth="1"/>
    <col min="11527" max="11527" width="6.42578125" customWidth="1"/>
    <col min="11529" max="11529" width="13.85546875" bestFit="1" customWidth="1"/>
    <col min="11777" max="11777" width="4.85546875" bestFit="1" customWidth="1"/>
    <col min="11778" max="11778" width="10.85546875" bestFit="1" customWidth="1"/>
    <col min="11780" max="11780" width="12.28515625" bestFit="1" customWidth="1"/>
    <col min="11781" max="11781" width="12.28515625" customWidth="1"/>
    <col min="11782" max="11782" width="13.7109375" customWidth="1"/>
    <col min="11783" max="11783" width="6.42578125" customWidth="1"/>
    <col min="11785" max="11785" width="13.85546875" bestFit="1" customWidth="1"/>
    <col min="12033" max="12033" width="4.85546875" bestFit="1" customWidth="1"/>
    <col min="12034" max="12034" width="10.85546875" bestFit="1" customWidth="1"/>
    <col min="12036" max="12036" width="12.28515625" bestFit="1" customWidth="1"/>
    <col min="12037" max="12037" width="12.28515625" customWidth="1"/>
    <col min="12038" max="12038" width="13.7109375" customWidth="1"/>
    <col min="12039" max="12039" width="6.42578125" customWidth="1"/>
    <col min="12041" max="12041" width="13.85546875" bestFit="1" customWidth="1"/>
    <col min="12289" max="12289" width="4.85546875" bestFit="1" customWidth="1"/>
    <col min="12290" max="12290" width="10.85546875" bestFit="1" customWidth="1"/>
    <col min="12292" max="12292" width="12.28515625" bestFit="1" customWidth="1"/>
    <col min="12293" max="12293" width="12.28515625" customWidth="1"/>
    <col min="12294" max="12294" width="13.7109375" customWidth="1"/>
    <col min="12295" max="12295" width="6.42578125" customWidth="1"/>
    <col min="12297" max="12297" width="13.85546875" bestFit="1" customWidth="1"/>
    <col min="12545" max="12545" width="4.85546875" bestFit="1" customWidth="1"/>
    <col min="12546" max="12546" width="10.85546875" bestFit="1" customWidth="1"/>
    <col min="12548" max="12548" width="12.28515625" bestFit="1" customWidth="1"/>
    <col min="12549" max="12549" width="12.28515625" customWidth="1"/>
    <col min="12550" max="12550" width="13.7109375" customWidth="1"/>
    <col min="12551" max="12551" width="6.42578125" customWidth="1"/>
    <col min="12553" max="12553" width="13.85546875" bestFit="1" customWidth="1"/>
    <col min="12801" max="12801" width="4.85546875" bestFit="1" customWidth="1"/>
    <col min="12802" max="12802" width="10.85546875" bestFit="1" customWidth="1"/>
    <col min="12804" max="12804" width="12.28515625" bestFit="1" customWidth="1"/>
    <col min="12805" max="12805" width="12.28515625" customWidth="1"/>
    <col min="12806" max="12806" width="13.7109375" customWidth="1"/>
    <col min="12807" max="12807" width="6.42578125" customWidth="1"/>
    <col min="12809" max="12809" width="13.85546875" bestFit="1" customWidth="1"/>
    <col min="13057" max="13057" width="4.85546875" bestFit="1" customWidth="1"/>
    <col min="13058" max="13058" width="10.85546875" bestFit="1" customWidth="1"/>
    <col min="13060" max="13060" width="12.28515625" bestFit="1" customWidth="1"/>
    <col min="13061" max="13061" width="12.28515625" customWidth="1"/>
    <col min="13062" max="13062" width="13.7109375" customWidth="1"/>
    <col min="13063" max="13063" width="6.42578125" customWidth="1"/>
    <col min="13065" max="13065" width="13.85546875" bestFit="1" customWidth="1"/>
    <col min="13313" max="13313" width="4.85546875" bestFit="1" customWidth="1"/>
    <col min="13314" max="13314" width="10.85546875" bestFit="1" customWidth="1"/>
    <col min="13316" max="13316" width="12.28515625" bestFit="1" customWidth="1"/>
    <col min="13317" max="13317" width="12.28515625" customWidth="1"/>
    <col min="13318" max="13318" width="13.7109375" customWidth="1"/>
    <col min="13319" max="13319" width="6.42578125" customWidth="1"/>
    <col min="13321" max="13321" width="13.85546875" bestFit="1" customWidth="1"/>
    <col min="13569" max="13569" width="4.85546875" bestFit="1" customWidth="1"/>
    <col min="13570" max="13570" width="10.85546875" bestFit="1" customWidth="1"/>
    <col min="13572" max="13572" width="12.28515625" bestFit="1" customWidth="1"/>
    <col min="13573" max="13573" width="12.28515625" customWidth="1"/>
    <col min="13574" max="13574" width="13.7109375" customWidth="1"/>
    <col min="13575" max="13575" width="6.42578125" customWidth="1"/>
    <col min="13577" max="13577" width="13.85546875" bestFit="1" customWidth="1"/>
    <col min="13825" max="13825" width="4.85546875" bestFit="1" customWidth="1"/>
    <col min="13826" max="13826" width="10.85546875" bestFit="1" customWidth="1"/>
    <col min="13828" max="13828" width="12.28515625" bestFit="1" customWidth="1"/>
    <col min="13829" max="13829" width="12.28515625" customWidth="1"/>
    <col min="13830" max="13830" width="13.7109375" customWidth="1"/>
    <col min="13831" max="13831" width="6.42578125" customWidth="1"/>
    <col min="13833" max="13833" width="13.85546875" bestFit="1" customWidth="1"/>
    <col min="14081" max="14081" width="4.85546875" bestFit="1" customWidth="1"/>
    <col min="14082" max="14082" width="10.85546875" bestFit="1" customWidth="1"/>
    <col min="14084" max="14084" width="12.28515625" bestFit="1" customWidth="1"/>
    <col min="14085" max="14085" width="12.28515625" customWidth="1"/>
    <col min="14086" max="14086" width="13.7109375" customWidth="1"/>
    <col min="14087" max="14087" width="6.42578125" customWidth="1"/>
    <col min="14089" max="14089" width="13.85546875" bestFit="1" customWidth="1"/>
    <col min="14337" max="14337" width="4.85546875" bestFit="1" customWidth="1"/>
    <col min="14338" max="14338" width="10.85546875" bestFit="1" customWidth="1"/>
    <col min="14340" max="14340" width="12.28515625" bestFit="1" customWidth="1"/>
    <col min="14341" max="14341" width="12.28515625" customWidth="1"/>
    <col min="14342" max="14342" width="13.7109375" customWidth="1"/>
    <col min="14343" max="14343" width="6.42578125" customWidth="1"/>
    <col min="14345" max="14345" width="13.85546875" bestFit="1" customWidth="1"/>
    <col min="14593" max="14593" width="4.85546875" bestFit="1" customWidth="1"/>
    <col min="14594" max="14594" width="10.85546875" bestFit="1" customWidth="1"/>
    <col min="14596" max="14596" width="12.28515625" bestFit="1" customWidth="1"/>
    <col min="14597" max="14597" width="12.28515625" customWidth="1"/>
    <col min="14598" max="14598" width="13.7109375" customWidth="1"/>
    <col min="14599" max="14599" width="6.42578125" customWidth="1"/>
    <col min="14601" max="14601" width="13.85546875" bestFit="1" customWidth="1"/>
    <col min="14849" max="14849" width="4.85546875" bestFit="1" customWidth="1"/>
    <col min="14850" max="14850" width="10.85546875" bestFit="1" customWidth="1"/>
    <col min="14852" max="14852" width="12.28515625" bestFit="1" customWidth="1"/>
    <col min="14853" max="14853" width="12.28515625" customWidth="1"/>
    <col min="14854" max="14854" width="13.7109375" customWidth="1"/>
    <col min="14855" max="14855" width="6.42578125" customWidth="1"/>
    <col min="14857" max="14857" width="13.85546875" bestFit="1" customWidth="1"/>
    <col min="15105" max="15105" width="4.85546875" bestFit="1" customWidth="1"/>
    <col min="15106" max="15106" width="10.85546875" bestFit="1" customWidth="1"/>
    <col min="15108" max="15108" width="12.28515625" bestFit="1" customWidth="1"/>
    <col min="15109" max="15109" width="12.28515625" customWidth="1"/>
    <col min="15110" max="15110" width="13.7109375" customWidth="1"/>
    <col min="15111" max="15111" width="6.42578125" customWidth="1"/>
    <col min="15113" max="15113" width="13.85546875" bestFit="1" customWidth="1"/>
    <col min="15361" max="15361" width="4.85546875" bestFit="1" customWidth="1"/>
    <col min="15362" max="15362" width="10.85546875" bestFit="1" customWidth="1"/>
    <col min="15364" max="15364" width="12.28515625" bestFit="1" customWidth="1"/>
    <col min="15365" max="15365" width="12.28515625" customWidth="1"/>
    <col min="15366" max="15366" width="13.7109375" customWidth="1"/>
    <col min="15367" max="15367" width="6.42578125" customWidth="1"/>
    <col min="15369" max="15369" width="13.85546875" bestFit="1" customWidth="1"/>
    <col min="15617" max="15617" width="4.85546875" bestFit="1" customWidth="1"/>
    <col min="15618" max="15618" width="10.85546875" bestFit="1" customWidth="1"/>
    <col min="15620" max="15620" width="12.28515625" bestFit="1" customWidth="1"/>
    <col min="15621" max="15621" width="12.28515625" customWidth="1"/>
    <col min="15622" max="15622" width="13.7109375" customWidth="1"/>
    <col min="15623" max="15623" width="6.42578125" customWidth="1"/>
    <col min="15625" max="15625" width="13.85546875" bestFit="1" customWidth="1"/>
    <col min="15873" max="15873" width="4.85546875" bestFit="1" customWidth="1"/>
    <col min="15874" max="15874" width="10.85546875" bestFit="1" customWidth="1"/>
    <col min="15876" max="15876" width="12.28515625" bestFit="1" customWidth="1"/>
    <col min="15877" max="15877" width="12.28515625" customWidth="1"/>
    <col min="15878" max="15878" width="13.7109375" customWidth="1"/>
    <col min="15879" max="15879" width="6.42578125" customWidth="1"/>
    <col min="15881" max="15881" width="13.85546875" bestFit="1" customWidth="1"/>
    <col min="16129" max="16129" width="4.85546875" bestFit="1" customWidth="1"/>
    <col min="16130" max="16130" width="10.85546875" bestFit="1" customWidth="1"/>
    <col min="16132" max="16132" width="12.28515625" bestFit="1" customWidth="1"/>
    <col min="16133" max="16133" width="12.28515625" customWidth="1"/>
    <col min="16134" max="16134" width="13.7109375" customWidth="1"/>
    <col min="16135" max="16135" width="6.42578125" customWidth="1"/>
    <col min="16137" max="16137" width="13.85546875" bestFit="1" customWidth="1"/>
  </cols>
  <sheetData>
    <row r="1" spans="1:9" x14ac:dyDescent="0.25">
      <c r="A1" s="223" t="s">
        <v>182</v>
      </c>
      <c r="B1" s="223"/>
      <c r="C1" s="223"/>
      <c r="D1" s="223"/>
      <c r="E1" s="223"/>
      <c r="F1" s="223"/>
      <c r="G1" s="223"/>
      <c r="H1" s="223"/>
      <c r="I1" s="223"/>
    </row>
    <row r="2" spans="1:9" x14ac:dyDescent="0.25">
      <c r="A2" s="223"/>
      <c r="B2" s="223"/>
      <c r="C2" s="223"/>
      <c r="D2" s="223"/>
      <c r="E2" s="223"/>
      <c r="F2" s="223"/>
      <c r="G2" s="223"/>
      <c r="H2" s="223"/>
      <c r="I2" s="223"/>
    </row>
    <row r="6" spans="1:9" s="76" customFormat="1" x14ac:dyDescent="0.25">
      <c r="A6" s="161" t="s">
        <v>183</v>
      </c>
      <c r="B6" s="161" t="s">
        <v>184</v>
      </c>
      <c r="C6" s="161" t="s">
        <v>185</v>
      </c>
      <c r="D6" s="161" t="s">
        <v>186</v>
      </c>
      <c r="E6" s="161" t="s">
        <v>187</v>
      </c>
      <c r="F6" s="161" t="s">
        <v>188</v>
      </c>
      <c r="G6"/>
      <c r="H6" s="224" t="s">
        <v>189</v>
      </c>
      <c r="I6" s="225"/>
    </row>
    <row r="7" spans="1:9" x14ac:dyDescent="0.25">
      <c r="A7" s="114">
        <v>0</v>
      </c>
      <c r="B7" s="162"/>
      <c r="C7" s="162">
        <v>20000000</v>
      </c>
      <c r="D7" s="162">
        <f>+B7-C7</f>
        <v>-20000000</v>
      </c>
      <c r="E7" s="162">
        <f t="shared" ref="E7:E19" si="0">+IF(D7&lt;0,D7*(1+$D$24)^-A7," ")</f>
        <v>-20000000</v>
      </c>
      <c r="F7" s="162" t="str">
        <f t="shared" ref="F7:F19" si="1">IF(D7&gt;0,D7*(1+$D$25)^($A$19-A7)," ")</f>
        <v xml:space="preserve"> </v>
      </c>
      <c r="H7" s="163" t="s">
        <v>190</v>
      </c>
      <c r="I7" s="164">
        <f>+D29</f>
        <v>3025506.2044957541</v>
      </c>
    </row>
    <row r="8" spans="1:9" x14ac:dyDescent="0.25">
      <c r="A8" s="114">
        <v>1</v>
      </c>
      <c r="B8" s="162">
        <v>2350000</v>
      </c>
      <c r="C8" s="162">
        <v>500000</v>
      </c>
      <c r="D8" s="162">
        <f t="shared" ref="D8:D19" si="2">+B8-C8</f>
        <v>1850000</v>
      </c>
      <c r="E8" s="162" t="str">
        <f t="shared" si="0"/>
        <v xml:space="preserve"> </v>
      </c>
      <c r="F8" s="162">
        <f t="shared" si="1"/>
        <v>2440416.9916564152</v>
      </c>
      <c r="H8" s="165">
        <v>0.02</v>
      </c>
      <c r="I8" s="162">
        <f t="dataTable" ref="I8:I18" dt2D="0" dtr="0" r1="D23"/>
        <v>4840707.6600793377</v>
      </c>
    </row>
    <row r="9" spans="1:9" x14ac:dyDescent="0.25">
      <c r="A9" s="114">
        <v>2</v>
      </c>
      <c r="B9" s="162">
        <v>2350000</v>
      </c>
      <c r="C9" s="162">
        <v>500000</v>
      </c>
      <c r="D9" s="162">
        <f t="shared" si="2"/>
        <v>1850000</v>
      </c>
      <c r="E9" s="162" t="str">
        <f t="shared" si="0"/>
        <v xml:space="preserve"> </v>
      </c>
      <c r="F9" s="162">
        <f t="shared" si="1"/>
        <v>2379733.7802597899</v>
      </c>
      <c r="H9" s="165">
        <v>2.5000000000000001E-2</v>
      </c>
      <c r="I9" s="162">
        <v>3909504.99953923</v>
      </c>
    </row>
    <row r="10" spans="1:9" x14ac:dyDescent="0.25">
      <c r="A10" s="114">
        <v>3</v>
      </c>
      <c r="B10" s="162">
        <v>2350000</v>
      </c>
      <c r="C10" s="162">
        <v>1250000</v>
      </c>
      <c r="D10" s="162">
        <f t="shared" si="2"/>
        <v>1100000</v>
      </c>
      <c r="E10" s="162" t="str">
        <f t="shared" si="0"/>
        <v xml:space="preserve"> </v>
      </c>
      <c r="F10" s="162">
        <f t="shared" si="1"/>
        <v>1379792.1426783341</v>
      </c>
      <c r="H10" s="165">
        <v>0.03</v>
      </c>
      <c r="I10" s="162">
        <v>3025506.2044957541</v>
      </c>
    </row>
    <row r="11" spans="1:9" x14ac:dyDescent="0.25">
      <c r="A11" s="114">
        <v>4</v>
      </c>
      <c r="B11" s="162">
        <v>2350000</v>
      </c>
      <c r="C11" s="162">
        <v>650000</v>
      </c>
      <c r="D11" s="162">
        <f t="shared" si="2"/>
        <v>1700000</v>
      </c>
      <c r="E11" s="162" t="str">
        <f t="shared" si="0"/>
        <v xml:space="preserve"> </v>
      </c>
      <c r="F11" s="162">
        <f t="shared" si="1"/>
        <v>2079381.802715454</v>
      </c>
      <c r="H11" s="165">
        <v>3.5000000000000003E-2</v>
      </c>
      <c r="I11" s="162">
        <v>2185943.4232856221</v>
      </c>
    </row>
    <row r="12" spans="1:9" x14ac:dyDescent="0.25">
      <c r="A12" s="114">
        <v>5</v>
      </c>
      <c r="B12" s="162">
        <v>3300000</v>
      </c>
      <c r="C12" s="162">
        <v>650000</v>
      </c>
      <c r="D12" s="162">
        <f t="shared" si="2"/>
        <v>2650000</v>
      </c>
      <c r="E12" s="162" t="str">
        <f t="shared" si="0"/>
        <v xml:space="preserve"> </v>
      </c>
      <c r="F12" s="162">
        <f t="shared" si="1"/>
        <v>3160789.1571950284</v>
      </c>
      <c r="H12" s="165">
        <v>0.04</v>
      </c>
      <c r="I12" s="162">
        <v>1388228.4337594174</v>
      </c>
    </row>
    <row r="13" spans="1:9" x14ac:dyDescent="0.25">
      <c r="A13" s="114">
        <v>6</v>
      </c>
      <c r="B13" s="162">
        <v>3300000</v>
      </c>
      <c r="C13" s="162">
        <v>4500000</v>
      </c>
      <c r="D13" s="162">
        <f t="shared" si="2"/>
        <v>-1200000</v>
      </c>
      <c r="E13" s="162">
        <f t="shared" si="0"/>
        <v>-1117115.7400584302</v>
      </c>
      <c r="F13" s="162" t="str">
        <f t="shared" si="1"/>
        <v xml:space="preserve"> </v>
      </c>
      <c r="H13" s="165">
        <v>4.4999999999999998E-2</v>
      </c>
      <c r="I13" s="162">
        <v>629939.99490896985</v>
      </c>
    </row>
    <row r="14" spans="1:9" x14ac:dyDescent="0.25">
      <c r="A14" s="114">
        <v>7</v>
      </c>
      <c r="B14" s="162">
        <v>3300000</v>
      </c>
      <c r="C14" s="162">
        <v>750000</v>
      </c>
      <c r="D14" s="162">
        <f t="shared" si="2"/>
        <v>2550000</v>
      </c>
      <c r="E14" s="162" t="str">
        <f t="shared" si="0"/>
        <v xml:space="preserve"> </v>
      </c>
      <c r="F14" s="162">
        <f t="shared" si="1"/>
        <v>2892134.6185762477</v>
      </c>
      <c r="H14" s="165">
        <v>0.05</v>
      </c>
      <c r="I14" s="162">
        <v>-91187.846340715885</v>
      </c>
    </row>
    <row r="15" spans="1:9" x14ac:dyDescent="0.25">
      <c r="A15" s="114">
        <v>8</v>
      </c>
      <c r="B15" s="162">
        <v>4350000</v>
      </c>
      <c r="C15" s="162">
        <v>750000</v>
      </c>
      <c r="D15" s="162">
        <f t="shared" si="2"/>
        <v>3600000</v>
      </c>
      <c r="E15" s="162" t="str">
        <f t="shared" si="0"/>
        <v xml:space="preserve"> </v>
      </c>
      <c r="F15" s="162">
        <f t="shared" si="1"/>
        <v>3981485.6939702267</v>
      </c>
      <c r="H15" s="165">
        <v>5.5E-2</v>
      </c>
      <c r="I15" s="162">
        <v>-777276.56992878392</v>
      </c>
    </row>
    <row r="16" spans="1:9" x14ac:dyDescent="0.25">
      <c r="A16" s="114">
        <v>9</v>
      </c>
      <c r="B16" s="162">
        <v>4350000</v>
      </c>
      <c r="C16" s="162">
        <v>2500000</v>
      </c>
      <c r="D16" s="162">
        <f t="shared" si="2"/>
        <v>1850000</v>
      </c>
      <c r="E16" s="162" t="str">
        <f t="shared" si="0"/>
        <v xml:space="preserve"> </v>
      </c>
      <c r="F16" s="162">
        <f t="shared" si="1"/>
        <v>1995164.5630437508</v>
      </c>
      <c r="H16" s="165">
        <v>0.06</v>
      </c>
      <c r="I16" s="162">
        <v>-1430313.1892759465</v>
      </c>
    </row>
    <row r="17" spans="1:9" x14ac:dyDescent="0.25">
      <c r="A17" s="114">
        <v>10</v>
      </c>
      <c r="B17" s="162">
        <v>3850000</v>
      </c>
      <c r="C17" s="162">
        <v>850000</v>
      </c>
      <c r="D17" s="162">
        <f t="shared" si="2"/>
        <v>3000000</v>
      </c>
      <c r="E17" s="162" t="str">
        <f t="shared" si="0"/>
        <v xml:space="preserve"> </v>
      </c>
      <c r="F17" s="162">
        <f t="shared" si="1"/>
        <v>3154950.7500000005</v>
      </c>
      <c r="H17" s="165">
        <v>6.5000000000000002E-2</v>
      </c>
      <c r="I17" s="162">
        <v>-2052159.5140096657</v>
      </c>
    </row>
    <row r="18" spans="1:9" x14ac:dyDescent="0.25">
      <c r="A18" s="114">
        <v>11</v>
      </c>
      <c r="B18" s="162">
        <v>1000000</v>
      </c>
      <c r="C18" s="162">
        <v>850000</v>
      </c>
      <c r="D18" s="162">
        <f t="shared" si="2"/>
        <v>150000</v>
      </c>
      <c r="E18" s="162" t="str">
        <f t="shared" si="0"/>
        <v xml:space="preserve"> </v>
      </c>
      <c r="F18" s="162">
        <f t="shared" si="1"/>
        <v>153825</v>
      </c>
      <c r="H18" s="165">
        <v>7.0000000000000007E-2</v>
      </c>
      <c r="I18" s="162">
        <v>-2644560.7276749425</v>
      </c>
    </row>
    <row r="19" spans="1:9" x14ac:dyDescent="0.25">
      <c r="A19" s="114">
        <v>12</v>
      </c>
      <c r="B19" s="162">
        <v>10000000</v>
      </c>
      <c r="C19" s="162"/>
      <c r="D19" s="162">
        <f t="shared" si="2"/>
        <v>10000000</v>
      </c>
      <c r="E19" s="162" t="str">
        <f t="shared" si="0"/>
        <v xml:space="preserve"> </v>
      </c>
      <c r="F19" s="162">
        <f t="shared" si="1"/>
        <v>10000000</v>
      </c>
    </row>
    <row r="20" spans="1:9" x14ac:dyDescent="0.25">
      <c r="D20" s="166" t="s">
        <v>191</v>
      </c>
      <c r="E20" s="167">
        <f>+ABS(SUM(E7:E19))</f>
        <v>21117115.74005843</v>
      </c>
      <c r="F20" s="167">
        <f>+ABS(SUM(F7:F19))</f>
        <v>33617674.500095248</v>
      </c>
    </row>
    <row r="21" spans="1:9" x14ac:dyDescent="0.25">
      <c r="H21" s="168"/>
      <c r="I21" s="169"/>
    </row>
    <row r="22" spans="1:9" x14ac:dyDescent="0.25">
      <c r="H22" s="168"/>
      <c r="I22" s="169"/>
    </row>
    <row r="23" spans="1:9" x14ac:dyDescent="0.25">
      <c r="B23" s="226" t="s">
        <v>192</v>
      </c>
      <c r="C23" s="227"/>
      <c r="D23" s="170">
        <v>0.03</v>
      </c>
      <c r="H23" s="168"/>
      <c r="I23" s="169"/>
    </row>
    <row r="24" spans="1:9" x14ac:dyDescent="0.25">
      <c r="B24" s="226" t="s">
        <v>193</v>
      </c>
      <c r="C24" s="227"/>
      <c r="D24" s="171">
        <v>1.2E-2</v>
      </c>
      <c r="H24" s="168"/>
      <c r="I24" s="169"/>
    </row>
    <row r="25" spans="1:9" x14ac:dyDescent="0.25">
      <c r="B25" s="226" t="s">
        <v>194</v>
      </c>
      <c r="C25" s="227"/>
      <c r="D25" s="171">
        <v>2.5499999999999998E-2</v>
      </c>
      <c r="H25" s="168"/>
      <c r="I25" s="169"/>
    </row>
    <row r="26" spans="1:9" x14ac:dyDescent="0.25">
      <c r="H26" s="168"/>
      <c r="I26" s="169"/>
    </row>
    <row r="27" spans="1:9" x14ac:dyDescent="0.25">
      <c r="C27" s="231" t="s">
        <v>195</v>
      </c>
      <c r="D27" s="232"/>
      <c r="E27" s="232"/>
      <c r="F27" s="232"/>
      <c r="G27" s="232"/>
      <c r="H27" s="232"/>
      <c r="I27" s="232"/>
    </row>
    <row r="28" spans="1:9" x14ac:dyDescent="0.25">
      <c r="C28" s="172" t="s">
        <v>196</v>
      </c>
      <c r="D28" s="172" t="s">
        <v>112</v>
      </c>
      <c r="E28" s="230" t="s">
        <v>126</v>
      </c>
      <c r="F28" s="230"/>
      <c r="G28" s="230"/>
      <c r="H28" s="230"/>
      <c r="I28" s="230"/>
    </row>
    <row r="29" spans="1:9" x14ac:dyDescent="0.25">
      <c r="C29" s="161" t="s">
        <v>197</v>
      </c>
      <c r="D29" s="173">
        <f>+NPV(D23,D8:$D$19)+$D$7</f>
        <v>3025506.2044957541</v>
      </c>
      <c r="E29" s="229" t="s">
        <v>198</v>
      </c>
      <c r="F29" s="229"/>
      <c r="G29" s="229"/>
      <c r="H29" s="229"/>
      <c r="I29" s="229"/>
    </row>
    <row r="30" spans="1:9" x14ac:dyDescent="0.25">
      <c r="C30" s="161" t="s">
        <v>199</v>
      </c>
      <c r="D30" s="174">
        <f>+IRR(D7:D19)</f>
        <v>4.9353768608267901E-2</v>
      </c>
      <c r="E30" s="229" t="s">
        <v>200</v>
      </c>
      <c r="F30" s="229"/>
      <c r="G30" s="229"/>
      <c r="H30" s="229"/>
      <c r="I30" s="229"/>
    </row>
    <row r="31" spans="1:9" x14ac:dyDescent="0.25">
      <c r="C31" s="161" t="s">
        <v>201</v>
      </c>
      <c r="D31" s="174">
        <f>+MIRR(D7:D19,$D$24,$D$25)</f>
        <v>3.9507807669549644E-2</v>
      </c>
      <c r="E31" s="229" t="s">
        <v>202</v>
      </c>
      <c r="F31" s="229"/>
      <c r="G31" s="229"/>
      <c r="H31" s="229"/>
      <c r="I31" s="229"/>
    </row>
    <row r="32" spans="1:9" x14ac:dyDescent="0.25">
      <c r="C32" s="161" t="s">
        <v>201</v>
      </c>
      <c r="D32" s="174">
        <f>+(F20/E20)^(1/A19)-1</f>
        <v>3.9507807669549644E-2</v>
      </c>
      <c r="E32" s="233" t="s">
        <v>203</v>
      </c>
      <c r="F32" s="233"/>
      <c r="G32" s="233"/>
      <c r="H32" s="233"/>
      <c r="I32" s="233"/>
    </row>
    <row r="33" spans="3:9" x14ac:dyDescent="0.25">
      <c r="C33" s="161" t="s">
        <v>204</v>
      </c>
      <c r="D33" s="173">
        <f>+PMT($D$23,A19,-D29)</f>
        <v>303948.66291503236</v>
      </c>
      <c r="E33" s="233" t="s">
        <v>205</v>
      </c>
      <c r="F33" s="233"/>
      <c r="G33" s="233"/>
      <c r="H33" s="233"/>
      <c r="I33" s="233"/>
    </row>
    <row r="34" spans="3:9" x14ac:dyDescent="0.25">
      <c r="C34" s="161" t="s">
        <v>206</v>
      </c>
      <c r="D34" s="175">
        <f>+(NPV($D$23,B8:B19)+B7)/(NPV($D$23,C8:C18)+C7)</f>
        <v>1.0964396713080571</v>
      </c>
      <c r="E34" s="228" t="s">
        <v>207</v>
      </c>
      <c r="F34" s="228"/>
      <c r="G34" s="228"/>
      <c r="H34" s="228"/>
      <c r="I34" s="228"/>
    </row>
  </sheetData>
  <mergeCells count="13">
    <mergeCell ref="E34:I34"/>
    <mergeCell ref="E29:I29"/>
    <mergeCell ref="E28:I28"/>
    <mergeCell ref="C27:I27"/>
    <mergeCell ref="E30:I30"/>
    <mergeCell ref="E31:I31"/>
    <mergeCell ref="E32:I32"/>
    <mergeCell ref="E33:I33"/>
    <mergeCell ref="A1:I2"/>
    <mergeCell ref="H6:I6"/>
    <mergeCell ref="B23:C23"/>
    <mergeCell ref="B24:C24"/>
    <mergeCell ref="B25:C2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S74"/>
  <sheetViews>
    <sheetView showGridLines="0" zoomScale="120" zoomScaleNormal="120" workbookViewId="0">
      <selection sqref="A1:D1"/>
    </sheetView>
  </sheetViews>
  <sheetFormatPr baseColWidth="10" defaultRowHeight="15" x14ac:dyDescent="0.25"/>
  <cols>
    <col min="1" max="1" width="12.28515625" style="1" customWidth="1"/>
    <col min="2" max="2" width="11.42578125" style="1" customWidth="1"/>
    <col min="3" max="3" width="13.5703125" style="1" bestFit="1" customWidth="1"/>
    <col min="4" max="4" width="14.140625" style="1" bestFit="1" customWidth="1"/>
    <col min="5" max="5" width="4.42578125" style="2" customWidth="1"/>
    <col min="6" max="6" width="5.7109375" style="1" bestFit="1" customWidth="1"/>
    <col min="7" max="7" width="12" style="1" bestFit="1" customWidth="1"/>
    <col min="8" max="8" width="7.5703125" style="1" customWidth="1"/>
    <col min="9" max="9" width="6.5703125" style="1" customWidth="1"/>
    <col min="10" max="10" width="3" style="1" customWidth="1"/>
    <col min="11" max="11" width="2.85546875" style="1" customWidth="1"/>
    <col min="12" max="12" width="2.7109375" style="1" customWidth="1"/>
    <col min="13" max="13" width="2.85546875" style="1" bestFit="1" customWidth="1"/>
    <col min="14" max="14" width="2.5703125" style="1" bestFit="1" customWidth="1"/>
    <col min="15" max="16" width="8.7109375" style="1" customWidth="1"/>
    <col min="17" max="17" width="3.7109375" style="1" customWidth="1"/>
    <col min="18" max="18" width="2.5703125" style="1" customWidth="1"/>
    <col min="19" max="16384" width="11.42578125" style="1"/>
  </cols>
  <sheetData>
    <row r="1" spans="1:10" ht="35.25" customHeight="1" x14ac:dyDescent="0.25">
      <c r="A1" s="178" t="s">
        <v>18</v>
      </c>
      <c r="B1" s="179"/>
      <c r="C1" s="179"/>
      <c r="D1" s="180"/>
    </row>
    <row r="2" spans="1:10" ht="16.5" x14ac:dyDescent="0.3">
      <c r="A2" s="11" t="s">
        <v>0</v>
      </c>
      <c r="B2" s="3"/>
      <c r="C2" s="10"/>
      <c r="D2" s="9"/>
      <c r="F2"/>
      <c r="G2"/>
      <c r="H2"/>
      <c r="J2" s="38"/>
    </row>
    <row r="3" spans="1:10" ht="16.5" x14ac:dyDescent="0.3">
      <c r="A3" s="11" t="s">
        <v>13</v>
      </c>
      <c r="B3" s="4"/>
      <c r="C3" s="10"/>
      <c r="D3" s="9"/>
      <c r="F3"/>
      <c r="G3"/>
      <c r="H3"/>
      <c r="J3" s="38"/>
    </row>
    <row r="4" spans="1:10" x14ac:dyDescent="0.2">
      <c r="A4" s="28" t="s">
        <v>5</v>
      </c>
      <c r="B4" s="29" t="s">
        <v>2</v>
      </c>
      <c r="C4" s="29" t="s">
        <v>64</v>
      </c>
      <c r="D4" s="30" t="s">
        <v>8</v>
      </c>
    </row>
    <row r="5" spans="1:10" ht="15.75" thickBot="1" x14ac:dyDescent="0.35">
      <c r="A5" s="31">
        <v>0.09</v>
      </c>
      <c r="B5" s="32">
        <v>12</v>
      </c>
      <c r="C5" s="32">
        <v>500000</v>
      </c>
      <c r="D5" s="33">
        <f>((C5*((1+A5)^(B5)-1))/((A5*(1+A5)^(B5))))</f>
        <v>3580362.6383128576</v>
      </c>
    </row>
    <row r="6" spans="1:10" ht="15.75" thickBot="1" x14ac:dyDescent="0.3"/>
    <row r="7" spans="1:10" ht="33.75" customHeight="1" x14ac:dyDescent="0.25">
      <c r="A7" s="178" t="s">
        <v>17</v>
      </c>
      <c r="B7" s="179"/>
      <c r="C7" s="179"/>
      <c r="D7" s="180"/>
    </row>
    <row r="8" spans="1:10" ht="15.75" x14ac:dyDescent="0.3">
      <c r="A8" s="11" t="s">
        <v>0</v>
      </c>
      <c r="B8" s="3"/>
      <c r="C8" s="10"/>
      <c r="D8" s="9"/>
      <c r="F8"/>
      <c r="G8"/>
      <c r="H8"/>
    </row>
    <row r="9" spans="1:10" ht="15.75" x14ac:dyDescent="0.3">
      <c r="A9" s="11" t="s">
        <v>11</v>
      </c>
      <c r="B9" s="4"/>
      <c r="C9" s="10"/>
      <c r="D9" s="9"/>
      <c r="F9"/>
      <c r="G9"/>
      <c r="H9"/>
    </row>
    <row r="10" spans="1:10" x14ac:dyDescent="0.2">
      <c r="A10" s="28" t="s">
        <v>5</v>
      </c>
      <c r="B10" s="29" t="s">
        <v>2</v>
      </c>
      <c r="C10" s="29" t="s">
        <v>64</v>
      </c>
      <c r="D10" s="30" t="s">
        <v>1</v>
      </c>
    </row>
    <row r="11" spans="1:10" ht="15.75" thickBot="1" x14ac:dyDescent="0.35">
      <c r="A11" s="31">
        <v>2.5000000000000001E-2</v>
      </c>
      <c r="B11" s="32">
        <v>24</v>
      </c>
      <c r="C11" s="32">
        <v>100000</v>
      </c>
      <c r="D11" s="33">
        <f>((C11*((1+A11)^(B11)-1)))/A11</f>
        <v>3234903.7983303554</v>
      </c>
    </row>
    <row r="12" spans="1:10" ht="15.75" thickBot="1" x14ac:dyDescent="0.3"/>
    <row r="13" spans="1:10" ht="34.5" customHeight="1" x14ac:dyDescent="0.25">
      <c r="A13" s="178" t="s">
        <v>16</v>
      </c>
      <c r="B13" s="179"/>
      <c r="C13" s="179"/>
      <c r="D13" s="180"/>
    </row>
    <row r="14" spans="1:10" ht="16.5" x14ac:dyDescent="0.3">
      <c r="A14" s="11" t="s">
        <v>0</v>
      </c>
      <c r="B14" s="3"/>
      <c r="C14" s="10"/>
      <c r="D14" s="9"/>
      <c r="F14"/>
      <c r="G14"/>
      <c r="H14"/>
      <c r="J14" s="38"/>
    </row>
    <row r="15" spans="1:10" ht="16.5" x14ac:dyDescent="0.3">
      <c r="A15" s="11" t="s">
        <v>9</v>
      </c>
      <c r="B15" s="4"/>
      <c r="C15" s="10"/>
      <c r="D15" s="9"/>
      <c r="F15"/>
      <c r="G15"/>
      <c r="H15"/>
      <c r="J15" s="37"/>
    </row>
    <row r="16" spans="1:10" x14ac:dyDescent="0.2">
      <c r="A16" s="28" t="s">
        <v>5</v>
      </c>
      <c r="B16" s="29" t="s">
        <v>2</v>
      </c>
      <c r="C16" s="29" t="s">
        <v>8</v>
      </c>
      <c r="D16" s="29" t="s">
        <v>64</v>
      </c>
    </row>
    <row r="17" spans="1:19" ht="15.75" thickBot="1" x14ac:dyDescent="0.35">
      <c r="A17" s="31">
        <v>0.01</v>
      </c>
      <c r="B17" s="32">
        <v>60</v>
      </c>
      <c r="C17" s="32">
        <v>30000000</v>
      </c>
      <c r="D17" s="33">
        <f>(((C17*((A17*(1+A17)^(B17))))/((1+A17)^(B17)-1)))</f>
        <v>667333.43054705276</v>
      </c>
    </row>
    <row r="18" spans="1:19" ht="15.75" thickBot="1" x14ac:dyDescent="0.3"/>
    <row r="19" spans="1:19" ht="30.75" customHeight="1" x14ac:dyDescent="0.25">
      <c r="A19" s="178" t="s">
        <v>15</v>
      </c>
      <c r="B19" s="179"/>
      <c r="C19" s="179"/>
      <c r="D19" s="180"/>
    </row>
    <row r="20" spans="1:19" ht="16.5" x14ac:dyDescent="0.3">
      <c r="A20" s="11" t="s">
        <v>0</v>
      </c>
      <c r="B20" s="3"/>
      <c r="C20" s="10"/>
      <c r="D20" s="9"/>
      <c r="F20"/>
      <c r="G20"/>
      <c r="H20"/>
      <c r="J20" s="38"/>
      <c r="M20"/>
      <c r="N20"/>
      <c r="O20"/>
      <c r="P20"/>
      <c r="Q20"/>
    </row>
    <row r="21" spans="1:19" ht="16.5" x14ac:dyDescent="0.3">
      <c r="A21" s="11" t="s">
        <v>6</v>
      </c>
      <c r="B21" s="4"/>
      <c r="C21" s="10"/>
      <c r="D21" s="9"/>
      <c r="F21"/>
      <c r="G21"/>
      <c r="H21"/>
      <c r="J21" s="37"/>
      <c r="M21"/>
      <c r="N21"/>
      <c r="O21"/>
      <c r="P21"/>
      <c r="Q21"/>
    </row>
    <row r="22" spans="1:19" x14ac:dyDescent="0.2">
      <c r="A22" s="28" t="s">
        <v>5</v>
      </c>
      <c r="B22" s="29" t="s">
        <v>2</v>
      </c>
      <c r="C22" s="29" t="s">
        <v>1</v>
      </c>
      <c r="D22" s="29" t="s">
        <v>64</v>
      </c>
    </row>
    <row r="23" spans="1:19" ht="15.75" thickBot="1" x14ac:dyDescent="0.35">
      <c r="A23" s="31">
        <v>6.5000000000000002E-2</v>
      </c>
      <c r="B23" s="32">
        <v>8</v>
      </c>
      <c r="C23" s="32">
        <v>10000000</v>
      </c>
      <c r="D23" s="33">
        <f>(((C23*((A23)))/((1+A23)^(B23)-1)))</f>
        <v>992372.97052580141</v>
      </c>
    </row>
    <row r="24" spans="1:19" ht="15.75" thickBot="1" x14ac:dyDescent="0.3"/>
    <row r="25" spans="1:19" s="2" customFormat="1" ht="32.25" customHeight="1" x14ac:dyDescent="0.25">
      <c r="A25" s="178" t="s">
        <v>14</v>
      </c>
      <c r="B25" s="179"/>
      <c r="C25" s="179"/>
      <c r="D25" s="180"/>
    </row>
    <row r="26" spans="1:19" s="2" customFormat="1" ht="16.5" x14ac:dyDescent="0.3">
      <c r="A26" s="11" t="s">
        <v>0</v>
      </c>
      <c r="B26" s="3"/>
      <c r="C26" s="10"/>
      <c r="D26" s="9"/>
      <c r="F26"/>
      <c r="G26"/>
      <c r="H26"/>
      <c r="I26"/>
      <c r="M26" s="182"/>
      <c r="N26" s="182"/>
      <c r="O26" s="36"/>
      <c r="P26" s="181"/>
      <c r="Q26" s="181"/>
      <c r="R26" s="39"/>
    </row>
    <row r="27" spans="1:19" s="2" customFormat="1" ht="16.5" x14ac:dyDescent="0.3">
      <c r="A27" s="11" t="s">
        <v>13</v>
      </c>
      <c r="B27" s="4"/>
      <c r="C27" s="10"/>
      <c r="D27" s="9"/>
      <c r="F27"/>
      <c r="G27"/>
      <c r="H27"/>
      <c r="I27"/>
      <c r="M27" s="182"/>
      <c r="N27" s="182"/>
      <c r="O27" s="36"/>
      <c r="P27" s="181"/>
      <c r="Q27" s="181"/>
    </row>
    <row r="28" spans="1:19" s="2" customFormat="1" x14ac:dyDescent="0.2">
      <c r="A28" s="28" t="s">
        <v>5</v>
      </c>
      <c r="B28" s="29" t="s">
        <v>2</v>
      </c>
      <c r="C28" s="29" t="s">
        <v>64</v>
      </c>
      <c r="D28" s="30" t="s">
        <v>8</v>
      </c>
    </row>
    <row r="29" spans="1:19" s="2" customFormat="1" ht="15.75" thickBot="1" x14ac:dyDescent="0.35">
      <c r="A29" s="31">
        <v>0.04</v>
      </c>
      <c r="B29" s="32">
        <v>6</v>
      </c>
      <c r="C29" s="32">
        <v>750000</v>
      </c>
      <c r="D29" s="33">
        <f>(((C29*((1+A29)^(B29)-1))/((A29*(1+A29)^(B29)))))*(1+A29)</f>
        <v>4088866.7482621586</v>
      </c>
      <c r="E29" s="1"/>
    </row>
    <row r="30" spans="1:19" ht="15.75" thickBot="1" x14ac:dyDescent="0.3"/>
    <row r="31" spans="1:19" s="2" customFormat="1" ht="33" customHeight="1" x14ac:dyDescent="0.25">
      <c r="A31" s="178" t="s">
        <v>12</v>
      </c>
      <c r="B31" s="179"/>
      <c r="C31" s="179"/>
      <c r="D31" s="180"/>
    </row>
    <row r="32" spans="1:19" s="2" customFormat="1" ht="15.75" x14ac:dyDescent="0.3">
      <c r="A32" s="11" t="s">
        <v>0</v>
      </c>
      <c r="B32" s="3"/>
      <c r="C32" s="10"/>
      <c r="D32" s="9"/>
      <c r="F32"/>
      <c r="G32"/>
      <c r="H32"/>
      <c r="I32"/>
      <c r="M32"/>
      <c r="N32"/>
      <c r="O32"/>
      <c r="P32"/>
      <c r="Q32"/>
      <c r="R32"/>
      <c r="S32"/>
    </row>
    <row r="33" spans="1:19" s="2" customFormat="1" ht="15.75" x14ac:dyDescent="0.3">
      <c r="A33" s="11" t="s">
        <v>11</v>
      </c>
      <c r="B33" s="4"/>
      <c r="C33" s="10"/>
      <c r="D33" s="9"/>
      <c r="F33"/>
      <c r="G33"/>
      <c r="H33"/>
      <c r="I33"/>
      <c r="M33"/>
      <c r="N33"/>
      <c r="O33"/>
      <c r="P33"/>
      <c r="Q33"/>
      <c r="R33"/>
      <c r="S33"/>
    </row>
    <row r="34" spans="1:19" s="2" customFormat="1" x14ac:dyDescent="0.2">
      <c r="A34" s="28" t="s">
        <v>5</v>
      </c>
      <c r="B34" s="29" t="s">
        <v>2</v>
      </c>
      <c r="C34" s="29" t="s">
        <v>64</v>
      </c>
      <c r="D34" s="30" t="s">
        <v>1</v>
      </c>
      <c r="M34" s="41"/>
      <c r="N34" s="41"/>
      <c r="O34" s="41"/>
      <c r="P34" s="41"/>
      <c r="Q34" s="41"/>
      <c r="R34" s="41"/>
    </row>
    <row r="35" spans="1:19" s="2" customFormat="1" ht="15.75" thickBot="1" x14ac:dyDescent="0.35">
      <c r="A35" s="31">
        <v>0.01</v>
      </c>
      <c r="B35" s="32">
        <v>9</v>
      </c>
      <c r="C35" s="32">
        <v>380000</v>
      </c>
      <c r="D35" s="33">
        <f>(((C35*((1+A35)^(B35)-1)))/A35)*(1+A35)</f>
        <v>3595640.7656257795</v>
      </c>
    </row>
    <row r="36" spans="1:19" s="5" customFormat="1" ht="15.75" thickBot="1" x14ac:dyDescent="0.3">
      <c r="A36" s="1"/>
      <c r="B36" s="1"/>
      <c r="C36" s="1"/>
      <c r="D36" s="1"/>
    </row>
    <row r="37" spans="1:19" s="5" customFormat="1" ht="30.75" customHeight="1" x14ac:dyDescent="0.25">
      <c r="A37" s="178" t="s">
        <v>10</v>
      </c>
      <c r="B37" s="179"/>
      <c r="C37" s="179"/>
      <c r="D37" s="180"/>
    </row>
    <row r="38" spans="1:19" s="5" customFormat="1" x14ac:dyDescent="0.3">
      <c r="A38" s="11" t="s">
        <v>0</v>
      </c>
      <c r="B38" s="3"/>
      <c r="C38" s="10"/>
      <c r="D38" s="9"/>
    </row>
    <row r="39" spans="1:19" s="5" customFormat="1" x14ac:dyDescent="0.3">
      <c r="A39" s="11" t="s">
        <v>9</v>
      </c>
      <c r="B39" s="4"/>
      <c r="C39" s="10"/>
      <c r="D39" s="9"/>
    </row>
    <row r="40" spans="1:19" s="5" customFormat="1" x14ac:dyDescent="0.25">
      <c r="A40" s="28" t="s">
        <v>5</v>
      </c>
      <c r="B40" s="29" t="s">
        <v>2</v>
      </c>
      <c r="C40" s="29" t="s">
        <v>8</v>
      </c>
      <c r="D40" s="29" t="s">
        <v>64</v>
      </c>
      <c r="F40"/>
      <c r="G40"/>
      <c r="H40"/>
      <c r="M40"/>
      <c r="N40"/>
      <c r="O40"/>
      <c r="P40"/>
      <c r="Q40"/>
      <c r="R40" s="40"/>
    </row>
    <row r="41" spans="1:19" s="5" customFormat="1" ht="17.25" thickBot="1" x14ac:dyDescent="0.35">
      <c r="A41" s="31">
        <v>2.5000000000000001E-2</v>
      </c>
      <c r="B41" s="32">
        <v>12</v>
      </c>
      <c r="C41" s="32">
        <v>24000000</v>
      </c>
      <c r="D41" s="33">
        <f>((((C41*((A41*(1+A41)^(B41))))/((1+A41)^(B41)-1))))/(1+A41)</f>
        <v>2282625.4124098686</v>
      </c>
      <c r="F41"/>
      <c r="G41"/>
      <c r="H41"/>
      <c r="M41"/>
      <c r="N41"/>
      <c r="O41"/>
      <c r="P41"/>
      <c r="Q41"/>
      <c r="R41" s="37"/>
    </row>
    <row r="42" spans="1:19" s="5" customFormat="1" ht="15.75" thickBot="1" x14ac:dyDescent="0.3">
      <c r="A42" s="1"/>
      <c r="B42" s="1"/>
      <c r="C42" s="1"/>
      <c r="D42" s="1"/>
    </row>
    <row r="43" spans="1:19" s="5" customFormat="1" ht="31.5" customHeight="1" x14ac:dyDescent="0.25">
      <c r="A43" s="178" t="s">
        <v>7</v>
      </c>
      <c r="B43" s="179"/>
      <c r="C43" s="179"/>
      <c r="D43" s="180"/>
    </row>
    <row r="44" spans="1:19" s="5" customFormat="1" ht="16.5" x14ac:dyDescent="0.3">
      <c r="A44" s="11" t="s">
        <v>0</v>
      </c>
      <c r="B44" s="3"/>
      <c r="C44" s="10"/>
      <c r="D44" s="9"/>
      <c r="F44"/>
      <c r="G44"/>
      <c r="H44"/>
      <c r="M44" s="182"/>
      <c r="N44" s="182"/>
      <c r="O44" s="182"/>
      <c r="P44" s="37"/>
      <c r="Q44" s="39"/>
    </row>
    <row r="45" spans="1:19" s="5" customFormat="1" ht="16.5" x14ac:dyDescent="0.3">
      <c r="A45" s="11" t="s">
        <v>6</v>
      </c>
      <c r="B45" s="4"/>
      <c r="C45" s="10"/>
      <c r="D45" s="9"/>
      <c r="F45"/>
      <c r="G45"/>
      <c r="H45"/>
      <c r="M45" s="182"/>
      <c r="N45" s="182"/>
      <c r="O45" s="182"/>
      <c r="P45" s="181"/>
      <c r="Q45" s="181"/>
    </row>
    <row r="46" spans="1:19" s="5" customFormat="1" x14ac:dyDescent="0.2">
      <c r="A46" s="28" t="s">
        <v>5</v>
      </c>
      <c r="B46" s="29" t="s">
        <v>2</v>
      </c>
      <c r="C46" s="29" t="s">
        <v>1</v>
      </c>
      <c r="D46" s="29" t="s">
        <v>64</v>
      </c>
    </row>
    <row r="47" spans="1:19" s="5" customFormat="1" ht="15.75" thickBot="1" x14ac:dyDescent="0.35">
      <c r="A47" s="31">
        <v>7.0000000000000007E-2</v>
      </c>
      <c r="B47" s="32">
        <v>12</v>
      </c>
      <c r="C47" s="32">
        <v>5000000</v>
      </c>
      <c r="D47" s="33">
        <f>((((C47*((A47)))/((1+A47)^(B47)-1))))/(1+A47)</f>
        <v>261224.24605149752</v>
      </c>
      <c r="E47" s="27"/>
    </row>
    <row r="48" spans="1:19" s="5" customFormat="1" x14ac:dyDescent="0.25"/>
    <row r="49" s="5" customFormat="1" ht="30" customHeigh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ht="28.5" customHeigh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ht="28.5" customHeight="1" x14ac:dyDescent="0.25"/>
    <row r="62" s="5" customFormat="1" x14ac:dyDescent="0.25"/>
    <row r="63" s="5" customFormat="1" x14ac:dyDescent="0.25"/>
    <row r="64" s="5" customFormat="1" x14ac:dyDescent="0.25"/>
    <row r="65" spans="1:3" s="5" customFormat="1" x14ac:dyDescent="0.25"/>
    <row r="66" spans="1:3" s="5" customFormat="1" x14ac:dyDescent="0.25"/>
    <row r="67" spans="1:3" s="5" customFormat="1" ht="27.75" customHeight="1" x14ac:dyDescent="0.25"/>
    <row r="68" spans="1:3" s="5" customFormat="1" x14ac:dyDescent="0.25"/>
    <row r="69" spans="1:3" s="5" customFormat="1" x14ac:dyDescent="0.25"/>
    <row r="70" spans="1:3" s="5" customFormat="1" x14ac:dyDescent="0.25"/>
    <row r="71" spans="1:3" s="5" customFormat="1" x14ac:dyDescent="0.25"/>
    <row r="72" spans="1:3" s="5" customFormat="1" x14ac:dyDescent="0.2">
      <c r="A72" s="8"/>
      <c r="B72" s="7"/>
      <c r="C72" s="6"/>
    </row>
    <row r="73" spans="1:3" s="5" customFormat="1" x14ac:dyDescent="0.2">
      <c r="A73" s="8"/>
      <c r="B73" s="7"/>
      <c r="C73" s="6"/>
    </row>
    <row r="74" spans="1:3" s="5" customFormat="1" x14ac:dyDescent="0.2">
      <c r="A74" s="8"/>
      <c r="B74" s="7"/>
      <c r="C74" s="6"/>
    </row>
  </sheetData>
  <mergeCells count="16">
    <mergeCell ref="A1:D1"/>
    <mergeCell ref="A7:D7"/>
    <mergeCell ref="A19:D19"/>
    <mergeCell ref="A13:D13"/>
    <mergeCell ref="P45:Q45"/>
    <mergeCell ref="P27:Q27"/>
    <mergeCell ref="P26:Q26"/>
    <mergeCell ref="A25:D25"/>
    <mergeCell ref="A31:D31"/>
    <mergeCell ref="A37:D37"/>
    <mergeCell ref="A43:D43"/>
    <mergeCell ref="O44:O45"/>
    <mergeCell ref="M26:M27"/>
    <mergeCell ref="N26:N27"/>
    <mergeCell ref="M44:M45"/>
    <mergeCell ref="N44:N45"/>
  </mergeCells>
  <printOptions horizontalCentered="1"/>
  <pageMargins left="0" right="0" top="0.98425196850393704" bottom="0.98425196850393704" header="0" footer="0"/>
  <pageSetup scale="95" orientation="portrait" horizontalDpi="4294967294" verticalDpi="4294967294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K14"/>
  <sheetViews>
    <sheetView showGridLines="0" zoomScale="120" zoomScaleNormal="120" workbookViewId="0">
      <selection sqref="A1:E1"/>
    </sheetView>
  </sheetViews>
  <sheetFormatPr baseColWidth="10" defaultRowHeight="15" x14ac:dyDescent="0.25"/>
  <cols>
    <col min="1" max="1" width="13.85546875" customWidth="1"/>
    <col min="2" max="2" width="8.5703125" customWidth="1"/>
    <col min="3" max="3" width="8" customWidth="1"/>
    <col min="4" max="4" width="13.5703125" bestFit="1" customWidth="1"/>
    <col min="5" max="5" width="15.5703125" bestFit="1" customWidth="1"/>
    <col min="6" max="6" width="7.7109375" bestFit="1" customWidth="1"/>
    <col min="7" max="7" width="13.85546875" bestFit="1" customWidth="1"/>
  </cols>
  <sheetData>
    <row r="1" spans="1:11" ht="24" thickBot="1" x14ac:dyDescent="0.3">
      <c r="A1" s="183" t="s">
        <v>68</v>
      </c>
      <c r="B1" s="184"/>
      <c r="C1" s="184"/>
      <c r="D1" s="184"/>
      <c r="E1" s="185"/>
    </row>
    <row r="2" spans="1:11" ht="24" thickBot="1" x14ac:dyDescent="0.3">
      <c r="A2" s="26"/>
      <c r="B2" s="25"/>
      <c r="C2" s="25"/>
      <c r="D2" s="25"/>
      <c r="E2" s="24"/>
    </row>
    <row r="3" spans="1:11" ht="31.5" customHeight="1" thickBot="1" x14ac:dyDescent="0.3">
      <c r="A3" s="186" t="s">
        <v>61</v>
      </c>
      <c r="B3" s="187"/>
      <c r="C3" s="187"/>
      <c r="D3" s="187"/>
      <c r="E3" s="188"/>
    </row>
    <row r="4" spans="1:11" ht="18.75" customHeight="1" x14ac:dyDescent="0.3">
      <c r="A4" s="11" t="s">
        <v>0</v>
      </c>
      <c r="B4" s="19"/>
      <c r="C4" s="17"/>
      <c r="D4" s="17"/>
      <c r="E4" s="16"/>
      <c r="K4" s="45"/>
    </row>
    <row r="5" spans="1:11" ht="18.75" customHeight="1" x14ac:dyDescent="0.3">
      <c r="A5" s="11" t="s">
        <v>65</v>
      </c>
      <c r="B5" s="18"/>
      <c r="C5" s="17"/>
      <c r="D5" s="17"/>
      <c r="E5" s="16"/>
      <c r="J5" s="46"/>
    </row>
    <row r="6" spans="1:11" x14ac:dyDescent="0.25">
      <c r="A6" s="29" t="s">
        <v>5</v>
      </c>
      <c r="B6" s="29" t="s">
        <v>62</v>
      </c>
      <c r="C6" s="29" t="s">
        <v>63</v>
      </c>
      <c r="D6" s="29" t="s">
        <v>64</v>
      </c>
      <c r="E6" s="29" t="s">
        <v>8</v>
      </c>
    </row>
    <row r="7" spans="1:11" ht="15.75" x14ac:dyDescent="0.3">
      <c r="A7" s="42">
        <v>5.0000000000000001E-3</v>
      </c>
      <c r="B7" s="43">
        <v>23</v>
      </c>
      <c r="C7" s="43">
        <v>36</v>
      </c>
      <c r="D7" s="43">
        <v>1000000</v>
      </c>
      <c r="E7" s="44">
        <f>+(D7/(1+A7)^B7)*(((1+A7)^C7-1)/(A7*(1+A7)^C7))</f>
        <v>29308508.002011687</v>
      </c>
    </row>
    <row r="9" spans="1:11" ht="15.75" thickBot="1" x14ac:dyDescent="0.3"/>
    <row r="10" spans="1:11" ht="48" customHeight="1" thickBot="1" x14ac:dyDescent="0.3">
      <c r="A10" s="186" t="s">
        <v>66</v>
      </c>
      <c r="B10" s="187"/>
      <c r="C10" s="187"/>
      <c r="D10" s="187"/>
      <c r="E10" s="188"/>
    </row>
    <row r="11" spans="1:11" ht="18.75" customHeight="1" x14ac:dyDescent="0.3">
      <c r="A11" s="11" t="s">
        <v>0</v>
      </c>
      <c r="B11" s="19"/>
      <c r="C11" s="17"/>
      <c r="D11" s="17"/>
      <c r="E11" s="16"/>
    </row>
    <row r="12" spans="1:11" ht="19.5" customHeight="1" x14ac:dyDescent="0.3">
      <c r="A12" s="11" t="s">
        <v>67</v>
      </c>
      <c r="B12" s="18"/>
      <c r="C12" s="17"/>
      <c r="D12" s="17"/>
      <c r="E12" s="16"/>
    </row>
    <row r="13" spans="1:11" x14ac:dyDescent="0.25">
      <c r="A13" s="29" t="s">
        <v>5</v>
      </c>
      <c r="B13" s="29" t="s">
        <v>62</v>
      </c>
      <c r="C13" s="29" t="s">
        <v>63</v>
      </c>
      <c r="D13" s="29" t="s">
        <v>8</v>
      </c>
      <c r="E13" s="29" t="s">
        <v>64</v>
      </c>
    </row>
    <row r="14" spans="1:11" ht="15.75" x14ac:dyDescent="0.3">
      <c r="A14" s="42">
        <v>7.4999999999999997E-3</v>
      </c>
      <c r="B14" s="43">
        <v>20</v>
      </c>
      <c r="C14" s="43">
        <v>28</v>
      </c>
      <c r="D14" s="43">
        <v>50000000</v>
      </c>
      <c r="E14" s="44">
        <f>(D14*(1+A14)^B14)*((A14*(1+A14)^C14))/((1+A14)^C14-1)</f>
        <v>2306617.5454770005</v>
      </c>
    </row>
  </sheetData>
  <mergeCells count="3">
    <mergeCell ref="A1:E1"/>
    <mergeCell ref="A3:E3"/>
    <mergeCell ref="A10:E10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F7"/>
  <sheetViews>
    <sheetView showGridLines="0" zoomScale="120" zoomScaleNormal="120" workbookViewId="0">
      <selection sqref="A1:C1"/>
    </sheetView>
  </sheetViews>
  <sheetFormatPr baseColWidth="10" defaultRowHeight="15" x14ac:dyDescent="0.25"/>
  <cols>
    <col min="1" max="1" width="12.140625" bestFit="1" customWidth="1"/>
    <col min="2" max="2" width="13.5703125" bestFit="1" customWidth="1"/>
    <col min="3" max="3" width="14.28515625" bestFit="1" customWidth="1"/>
    <col min="4" max="4" width="4.7109375" customWidth="1"/>
    <col min="5" max="5" width="3.42578125" bestFit="1" customWidth="1"/>
    <col min="6" max="6" width="2" bestFit="1" customWidth="1"/>
    <col min="7" max="7" width="3.85546875" customWidth="1"/>
  </cols>
  <sheetData>
    <row r="1" spans="1:6" ht="23.25" x14ac:dyDescent="0.25">
      <c r="A1" s="193" t="s">
        <v>173</v>
      </c>
      <c r="B1" s="193"/>
      <c r="C1" s="193"/>
    </row>
    <row r="3" spans="1:6" ht="15.75" x14ac:dyDescent="0.25">
      <c r="A3" s="189" t="s">
        <v>69</v>
      </c>
      <c r="B3" s="190"/>
      <c r="C3" s="191"/>
      <c r="F3" s="192"/>
    </row>
    <row r="4" spans="1:6" ht="15.75" x14ac:dyDescent="0.3">
      <c r="A4" s="155" t="s">
        <v>0</v>
      </c>
      <c r="B4" s="10"/>
      <c r="C4" s="156"/>
      <c r="E4" s="192"/>
      <c r="F4" s="192"/>
    </row>
    <row r="5" spans="1:6" ht="15.75" x14ac:dyDescent="0.3">
      <c r="A5" s="155" t="s">
        <v>70</v>
      </c>
      <c r="B5" s="10"/>
      <c r="C5" s="156"/>
      <c r="E5" s="192"/>
    </row>
    <row r="6" spans="1:6" x14ac:dyDescent="0.25">
      <c r="A6" s="29" t="s">
        <v>5</v>
      </c>
      <c r="B6" s="29" t="s">
        <v>64</v>
      </c>
      <c r="C6" s="29" t="s">
        <v>8</v>
      </c>
    </row>
    <row r="7" spans="1:6" ht="15.75" x14ac:dyDescent="0.3">
      <c r="A7" s="42">
        <v>1.3899999999999999E-2</v>
      </c>
      <c r="B7" s="43">
        <v>750000</v>
      </c>
      <c r="C7" s="44">
        <f>+B7/A7</f>
        <v>53956834.532374106</v>
      </c>
    </row>
  </sheetData>
  <mergeCells count="4">
    <mergeCell ref="A3:C3"/>
    <mergeCell ref="E4:E5"/>
    <mergeCell ref="F3:F4"/>
    <mergeCell ref="A1:C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K189"/>
  <sheetViews>
    <sheetView showGridLines="0" zoomScale="120" zoomScaleNormal="120" workbookViewId="0">
      <selection sqref="A1:E1"/>
    </sheetView>
  </sheetViews>
  <sheetFormatPr baseColWidth="10" defaultRowHeight="12.75" x14ac:dyDescent="0.2"/>
  <cols>
    <col min="1" max="1" width="11.140625" style="12" customWidth="1"/>
    <col min="2" max="2" width="7" style="12" bestFit="1" customWidth="1"/>
    <col min="3" max="3" width="13" style="12" bestFit="1" customWidth="1"/>
    <col min="4" max="4" width="11" style="12" bestFit="1" customWidth="1"/>
    <col min="5" max="5" width="15.140625" style="12" bestFit="1" customWidth="1"/>
    <col min="6" max="6" width="8.85546875" style="12" bestFit="1" customWidth="1"/>
    <col min="7" max="7" width="13.85546875" style="12" bestFit="1" customWidth="1"/>
    <col min="8" max="8" width="15" style="12" bestFit="1" customWidth="1"/>
    <col min="9" max="9" width="9.42578125" style="12" bestFit="1" customWidth="1"/>
    <col min="10" max="10" width="9.140625" style="12" customWidth="1"/>
    <col min="11" max="11" width="3.7109375" style="12" customWidth="1"/>
    <col min="12" max="16384" width="11.42578125" style="12"/>
  </cols>
  <sheetData>
    <row r="1" spans="1:11" ht="24" customHeight="1" thickBot="1" x14ac:dyDescent="0.25">
      <c r="A1" s="183" t="s">
        <v>39</v>
      </c>
      <c r="B1" s="184"/>
      <c r="C1" s="184"/>
      <c r="D1" s="184"/>
      <c r="E1" s="185"/>
    </row>
    <row r="2" spans="1:11" customFormat="1" ht="18.75" customHeight="1" thickBot="1" x14ac:dyDescent="0.3"/>
    <row r="3" spans="1:11" ht="30.75" customHeight="1" x14ac:dyDescent="0.2">
      <c r="A3" s="178" t="s">
        <v>38</v>
      </c>
      <c r="B3" s="179"/>
      <c r="C3" s="179"/>
      <c r="D3" s="179"/>
      <c r="E3" s="180"/>
    </row>
    <row r="4" spans="1:11" ht="19.5" customHeight="1" x14ac:dyDescent="0.3">
      <c r="A4" s="11" t="s">
        <v>0</v>
      </c>
      <c r="B4" s="19"/>
      <c r="C4" s="17"/>
      <c r="D4" s="17"/>
      <c r="E4" s="16"/>
      <c r="G4"/>
      <c r="H4"/>
      <c r="I4"/>
      <c r="J4"/>
      <c r="K4"/>
    </row>
    <row r="5" spans="1:11" ht="19.5" customHeight="1" x14ac:dyDescent="0.3">
      <c r="A5" s="11" t="s">
        <v>34</v>
      </c>
      <c r="B5" s="18"/>
      <c r="C5" s="17"/>
      <c r="D5" s="17"/>
      <c r="E5" s="16"/>
      <c r="G5"/>
      <c r="H5"/>
      <c r="I5"/>
      <c r="J5"/>
      <c r="K5"/>
    </row>
    <row r="6" spans="1:11" x14ac:dyDescent="0.2">
      <c r="A6" s="28" t="s">
        <v>5</v>
      </c>
      <c r="B6" s="28" t="s">
        <v>2</v>
      </c>
      <c r="C6" s="28" t="s">
        <v>3</v>
      </c>
      <c r="D6" s="28" t="s">
        <v>19</v>
      </c>
      <c r="E6" s="28" t="s">
        <v>8</v>
      </c>
    </row>
    <row r="7" spans="1:11" ht="15.75" thickBot="1" x14ac:dyDescent="0.35">
      <c r="A7" s="31">
        <v>7.4999999999999997E-3</v>
      </c>
      <c r="B7" s="32">
        <v>180</v>
      </c>
      <c r="C7" s="32">
        <v>350000</v>
      </c>
      <c r="D7" s="32">
        <v>3000</v>
      </c>
      <c r="E7" s="34">
        <f>+(C7*(((1+A7)^B7-1)/((A7*(1+A7)^B7))))+((D7/A7)*((((1+A7)^B7-1)/((A7*(1+A7)^B7)))-((B7/(1+A7)^B7))))</f>
        <v>55185497.397224709</v>
      </c>
    </row>
    <row r="8" spans="1:11" ht="15.75" thickBot="1" x14ac:dyDescent="0.25">
      <c r="A8" s="1"/>
      <c r="B8" s="1"/>
      <c r="C8" s="1"/>
      <c r="D8" s="1"/>
      <c r="E8" s="1"/>
    </row>
    <row r="9" spans="1:11" ht="30" customHeight="1" x14ac:dyDescent="0.2">
      <c r="A9" s="178" t="s">
        <v>37</v>
      </c>
      <c r="B9" s="179"/>
      <c r="C9" s="179"/>
      <c r="D9" s="179"/>
      <c r="E9" s="180"/>
    </row>
    <row r="10" spans="1:11" ht="15" x14ac:dyDescent="0.3">
      <c r="A10" s="11" t="s">
        <v>0</v>
      </c>
      <c r="B10" s="19"/>
      <c r="C10" s="17"/>
      <c r="D10" s="17"/>
      <c r="E10" s="16"/>
    </row>
    <row r="11" spans="1:11" ht="15" x14ac:dyDescent="0.3">
      <c r="A11" s="11" t="s">
        <v>34</v>
      </c>
      <c r="B11" s="18"/>
      <c r="C11" s="17"/>
      <c r="D11" s="17"/>
      <c r="E11" s="16"/>
    </row>
    <row r="12" spans="1:11" x14ac:dyDescent="0.2">
      <c r="A12" s="28" t="s">
        <v>5</v>
      </c>
      <c r="B12" s="28" t="s">
        <v>2</v>
      </c>
      <c r="C12" s="28" t="s">
        <v>3</v>
      </c>
      <c r="D12" s="28" t="s">
        <v>19</v>
      </c>
      <c r="E12" s="28" t="s">
        <v>8</v>
      </c>
    </row>
    <row r="13" spans="1:11" ht="15.75" thickBot="1" x14ac:dyDescent="0.35">
      <c r="A13" s="31">
        <v>7.4999999999999997E-3</v>
      </c>
      <c r="B13" s="32">
        <v>180</v>
      </c>
      <c r="C13" s="32">
        <v>350000</v>
      </c>
      <c r="D13" s="32">
        <v>-3000</v>
      </c>
      <c r="E13" s="34">
        <f>+(C13*(((1+A13)^B13-1)/((A13*(1+A13)^B13))))+((D13/A13)*((((1+A13)^B13-1)/((A13*(1+A13)^B13)))-((B13/(1+A13)^B13))))</f>
        <v>13829888.787315834</v>
      </c>
    </row>
    <row r="14" spans="1:11" ht="15.75" thickBot="1" x14ac:dyDescent="0.35">
      <c r="A14" s="22"/>
      <c r="B14" s="21"/>
      <c r="C14" s="21"/>
      <c r="D14" s="21"/>
      <c r="E14" s="23"/>
    </row>
    <row r="15" spans="1:11" ht="31.5" customHeight="1" x14ac:dyDescent="0.2">
      <c r="A15" s="178" t="s">
        <v>36</v>
      </c>
      <c r="B15" s="179"/>
      <c r="C15" s="179"/>
      <c r="D15" s="179"/>
      <c r="E15" s="180"/>
    </row>
    <row r="16" spans="1:11" ht="15" x14ac:dyDescent="0.3">
      <c r="A16" s="11" t="s">
        <v>0</v>
      </c>
      <c r="B16" s="19"/>
      <c r="C16" s="17"/>
      <c r="D16" s="17"/>
      <c r="E16" s="16"/>
    </row>
    <row r="17" spans="1:5" ht="15" x14ac:dyDescent="0.3">
      <c r="A17" s="11" t="s">
        <v>34</v>
      </c>
      <c r="B17" s="18"/>
      <c r="C17" s="17"/>
      <c r="D17" s="17"/>
      <c r="E17" s="16"/>
    </row>
    <row r="18" spans="1:5" x14ac:dyDescent="0.2">
      <c r="A18" s="28" t="s">
        <v>5</v>
      </c>
      <c r="B18" s="28" t="s">
        <v>2</v>
      </c>
      <c r="C18" s="28" t="s">
        <v>3</v>
      </c>
      <c r="D18" s="28" t="s">
        <v>19</v>
      </c>
      <c r="E18" s="28" t="s">
        <v>8</v>
      </c>
    </row>
    <row r="19" spans="1:5" ht="15.75" thickBot="1" x14ac:dyDescent="0.35">
      <c r="A19" s="31">
        <v>1.3103E-2</v>
      </c>
      <c r="B19" s="32">
        <v>36</v>
      </c>
      <c r="C19" s="32">
        <v>120000</v>
      </c>
      <c r="D19" s="32">
        <v>10000</v>
      </c>
      <c r="E19" s="34">
        <f>+((C19*(((1+A19)^B19-1)/((A19*(1+A19)^B19))))+((D19/A19)*((((1+A19)^B19-1)/((A19*(1+A19)^B19)))-((B19/(1+A19)^B19)))))*(1+A19)</f>
        <v>8129034.5272170091</v>
      </c>
    </row>
    <row r="20" spans="1:5" ht="15.75" thickBot="1" x14ac:dyDescent="0.25">
      <c r="A20" s="1"/>
      <c r="B20" s="1"/>
      <c r="C20" s="1"/>
      <c r="D20" s="1"/>
      <c r="E20" s="1"/>
    </row>
    <row r="21" spans="1:5" ht="30.75" customHeight="1" x14ac:dyDescent="0.2">
      <c r="A21" s="178" t="s">
        <v>35</v>
      </c>
      <c r="B21" s="179"/>
      <c r="C21" s="179"/>
      <c r="D21" s="179"/>
      <c r="E21" s="180"/>
    </row>
    <row r="22" spans="1:5" ht="15" x14ac:dyDescent="0.3">
      <c r="A22" s="11" t="s">
        <v>0</v>
      </c>
      <c r="B22" s="19"/>
      <c r="C22" s="17"/>
      <c r="D22" s="17"/>
      <c r="E22" s="16"/>
    </row>
    <row r="23" spans="1:5" ht="15" x14ac:dyDescent="0.3">
      <c r="A23" s="11" t="s">
        <v>34</v>
      </c>
      <c r="B23" s="18"/>
      <c r="C23" s="17"/>
      <c r="D23" s="17"/>
      <c r="E23" s="16"/>
    </row>
    <row r="24" spans="1:5" x14ac:dyDescent="0.2">
      <c r="A24" s="28" t="s">
        <v>5</v>
      </c>
      <c r="B24" s="28" t="s">
        <v>2</v>
      </c>
      <c r="C24" s="28" t="s">
        <v>3</v>
      </c>
      <c r="D24" s="28" t="s">
        <v>19</v>
      </c>
      <c r="E24" s="28" t="s">
        <v>8</v>
      </c>
    </row>
    <row r="25" spans="1:5" ht="15.75" thickBot="1" x14ac:dyDescent="0.35">
      <c r="A25" s="31">
        <v>1.37E-2</v>
      </c>
      <c r="B25" s="32">
        <v>36</v>
      </c>
      <c r="C25" s="32">
        <v>120000</v>
      </c>
      <c r="D25" s="32">
        <v>-1000</v>
      </c>
      <c r="E25" s="34">
        <f>+((C25*(((1+A25)^B25-1)/((A25*(1+A25)^B25))))+((D25/A25)*((((1+A25)^B25-1)/((A25*(1+A25)^B25)))-((B25/(1+A25)^B25)))))*(1+A25)</f>
        <v>2979163.6657920326</v>
      </c>
    </row>
    <row r="26" spans="1:5" ht="15.75" thickBot="1" x14ac:dyDescent="0.35">
      <c r="A26" s="22"/>
      <c r="B26" s="21"/>
      <c r="C26" s="21"/>
      <c r="D26" s="21"/>
      <c r="E26" s="23"/>
    </row>
    <row r="27" spans="1:5" ht="27.75" customHeight="1" x14ac:dyDescent="0.2">
      <c r="A27" s="178" t="s">
        <v>33</v>
      </c>
      <c r="B27" s="179"/>
      <c r="C27" s="179"/>
      <c r="D27" s="179"/>
      <c r="E27" s="180"/>
    </row>
    <row r="28" spans="1:5" ht="15" x14ac:dyDescent="0.3">
      <c r="A28" s="11" t="s">
        <v>0</v>
      </c>
      <c r="B28" s="19"/>
      <c r="C28" s="17"/>
      <c r="D28" s="17"/>
      <c r="E28" s="16"/>
    </row>
    <row r="29" spans="1:5" ht="15" x14ac:dyDescent="0.3">
      <c r="A29" s="11" t="s">
        <v>20</v>
      </c>
      <c r="B29" s="18"/>
      <c r="C29" s="17"/>
      <c r="D29" s="17"/>
      <c r="E29" s="16"/>
    </row>
    <row r="30" spans="1:5" x14ac:dyDescent="0.2">
      <c r="A30" s="28" t="s">
        <v>5</v>
      </c>
      <c r="B30" s="28" t="s">
        <v>2</v>
      </c>
      <c r="C30" s="28" t="s">
        <v>3</v>
      </c>
      <c r="D30" s="28" t="s">
        <v>19</v>
      </c>
      <c r="E30" s="28" t="s">
        <v>1</v>
      </c>
    </row>
    <row r="31" spans="1:5" ht="15.75" thickBot="1" x14ac:dyDescent="0.35">
      <c r="A31" s="31">
        <v>0.01</v>
      </c>
      <c r="B31" s="32">
        <v>12</v>
      </c>
      <c r="C31" s="32">
        <v>250000</v>
      </c>
      <c r="D31" s="32">
        <v>20000</v>
      </c>
      <c r="E31" s="34">
        <f>+C31*((1+A31)^B31-1)/A31+(D31/A31)*((((1+A31)^B31-1)/A31)-B31)</f>
        <v>4535631.7796931975</v>
      </c>
    </row>
    <row r="32" spans="1:5" ht="15.75" thickBot="1" x14ac:dyDescent="0.25">
      <c r="A32" s="5"/>
      <c r="B32" s="5"/>
      <c r="C32" s="5"/>
      <c r="D32" s="5"/>
      <c r="E32" s="5"/>
    </row>
    <row r="33" spans="1:5" ht="30.75" customHeight="1" x14ac:dyDescent="0.2">
      <c r="A33" s="178" t="s">
        <v>32</v>
      </c>
      <c r="B33" s="179"/>
      <c r="C33" s="179"/>
      <c r="D33" s="179"/>
      <c r="E33" s="180"/>
    </row>
    <row r="34" spans="1:5" ht="15" x14ac:dyDescent="0.3">
      <c r="A34" s="11" t="s">
        <v>0</v>
      </c>
      <c r="B34" s="19"/>
      <c r="C34" s="17"/>
      <c r="D34" s="17"/>
      <c r="E34" s="16"/>
    </row>
    <row r="35" spans="1:5" ht="15" x14ac:dyDescent="0.3">
      <c r="A35" s="11" t="s">
        <v>20</v>
      </c>
      <c r="B35" s="18"/>
      <c r="C35" s="17"/>
      <c r="D35" s="17"/>
      <c r="E35" s="16"/>
    </row>
    <row r="36" spans="1:5" x14ac:dyDescent="0.2">
      <c r="A36" s="28" t="s">
        <v>5</v>
      </c>
      <c r="B36" s="28" t="s">
        <v>2</v>
      </c>
      <c r="C36" s="28" t="s">
        <v>3</v>
      </c>
      <c r="D36" s="28" t="s">
        <v>19</v>
      </c>
      <c r="E36" s="28" t="s">
        <v>1</v>
      </c>
    </row>
    <row r="37" spans="1:5" ht="15.75" thickBot="1" x14ac:dyDescent="0.35">
      <c r="A37" s="31">
        <v>0.01</v>
      </c>
      <c r="B37" s="32">
        <v>12</v>
      </c>
      <c r="C37" s="32">
        <v>250000</v>
      </c>
      <c r="D37" s="32">
        <v>-20000</v>
      </c>
      <c r="E37" s="34">
        <f>+C37*((1+A37)^B37-1)/A37+(D37/A37)*((((1+A37)^B37-1)/A37)-B37)</f>
        <v>1805619.7269052912</v>
      </c>
    </row>
    <row r="38" spans="1:5" s="20" customFormat="1" ht="15.75" thickBot="1" x14ac:dyDescent="0.35">
      <c r="A38" s="22"/>
      <c r="B38" s="21"/>
      <c r="C38" s="21"/>
      <c r="D38" s="21"/>
      <c r="E38" s="13"/>
    </row>
    <row r="39" spans="1:5" ht="30.75" customHeight="1" x14ac:dyDescent="0.2">
      <c r="A39" s="178" t="s">
        <v>31</v>
      </c>
      <c r="B39" s="179"/>
      <c r="C39" s="179"/>
      <c r="D39" s="179"/>
      <c r="E39" s="180"/>
    </row>
    <row r="40" spans="1:5" ht="15" x14ac:dyDescent="0.3">
      <c r="A40" s="11" t="s">
        <v>0</v>
      </c>
      <c r="B40" s="19"/>
      <c r="C40" s="17"/>
      <c r="D40" s="17"/>
      <c r="E40" s="16"/>
    </row>
    <row r="41" spans="1:5" ht="15" x14ac:dyDescent="0.3">
      <c r="A41" s="11" t="s">
        <v>20</v>
      </c>
      <c r="B41" s="18"/>
      <c r="C41" s="17"/>
      <c r="D41" s="17"/>
      <c r="E41" s="16"/>
    </row>
    <row r="42" spans="1:5" x14ac:dyDescent="0.2">
      <c r="A42" s="28" t="s">
        <v>5</v>
      </c>
      <c r="B42" s="28" t="s">
        <v>2</v>
      </c>
      <c r="C42" s="28" t="s">
        <v>3</v>
      </c>
      <c r="D42" s="28" t="s">
        <v>19</v>
      </c>
      <c r="E42" s="28" t="s">
        <v>1</v>
      </c>
    </row>
    <row r="43" spans="1:5" ht="15.75" thickBot="1" x14ac:dyDescent="0.35">
      <c r="A43" s="31">
        <v>0.01</v>
      </c>
      <c r="B43" s="32">
        <v>12</v>
      </c>
      <c r="C43" s="32">
        <v>250000</v>
      </c>
      <c r="D43" s="32">
        <v>20000</v>
      </c>
      <c r="E43" s="34">
        <f>(+C43*((1+A43)^B43-1)/A43+(D43/A43)*((((1+A43)^B43-1)/A43)-B43))*(1+A43)</f>
        <v>4580988.0974901291</v>
      </c>
    </row>
    <row r="44" spans="1:5" ht="15.75" thickBot="1" x14ac:dyDescent="0.25">
      <c r="A44" s="5"/>
      <c r="B44" s="5"/>
      <c r="C44" s="5"/>
      <c r="D44" s="5"/>
      <c r="E44" s="5"/>
    </row>
    <row r="45" spans="1:5" ht="34.5" customHeight="1" x14ac:dyDescent="0.2">
      <c r="A45" s="178" t="s">
        <v>30</v>
      </c>
      <c r="B45" s="179"/>
      <c r="C45" s="179"/>
      <c r="D45" s="179"/>
      <c r="E45" s="180"/>
    </row>
    <row r="46" spans="1:5" ht="15" x14ac:dyDescent="0.3">
      <c r="A46" s="11" t="s">
        <v>0</v>
      </c>
      <c r="B46" s="19"/>
      <c r="C46" s="17"/>
      <c r="D46" s="17"/>
      <c r="E46" s="16"/>
    </row>
    <row r="47" spans="1:5" ht="15" x14ac:dyDescent="0.3">
      <c r="A47" s="11" t="s">
        <v>20</v>
      </c>
      <c r="B47" s="18"/>
      <c r="C47" s="17"/>
      <c r="D47" s="17"/>
      <c r="E47" s="16"/>
    </row>
    <row r="48" spans="1:5" x14ac:dyDescent="0.2">
      <c r="A48" s="28" t="s">
        <v>5</v>
      </c>
      <c r="B48" s="28" t="s">
        <v>2</v>
      </c>
      <c r="C48" s="28" t="s">
        <v>3</v>
      </c>
      <c r="D48" s="28" t="s">
        <v>19</v>
      </c>
      <c r="E48" s="28" t="s">
        <v>1</v>
      </c>
    </row>
    <row r="49" spans="1:5" ht="15.75" thickBot="1" x14ac:dyDescent="0.35">
      <c r="A49" s="31">
        <v>0.01</v>
      </c>
      <c r="B49" s="32">
        <v>12</v>
      </c>
      <c r="C49" s="32">
        <v>250000</v>
      </c>
      <c r="D49" s="32">
        <v>-20000</v>
      </c>
      <c r="E49" s="34">
        <f>(+C49*((1+A49)^B49-1)/A49+(D49/A49)*((((1+A49)^B49-1)/A49)-B49))*(1+A49)</f>
        <v>1823675.9241743442</v>
      </c>
    </row>
    <row r="50" spans="1:5" ht="15.75" thickBot="1" x14ac:dyDescent="0.35">
      <c r="A50" s="15"/>
      <c r="B50" s="14"/>
      <c r="C50" s="14"/>
      <c r="D50" s="14"/>
      <c r="E50" s="13"/>
    </row>
    <row r="51" spans="1:5" ht="45" customHeight="1" x14ac:dyDescent="0.2">
      <c r="A51" s="178" t="s">
        <v>29</v>
      </c>
      <c r="B51" s="179"/>
      <c r="C51" s="179"/>
      <c r="D51" s="179"/>
      <c r="E51" s="180"/>
    </row>
    <row r="52" spans="1:5" ht="15" x14ac:dyDescent="0.3">
      <c r="A52" s="11" t="s">
        <v>0</v>
      </c>
      <c r="B52" s="19"/>
      <c r="C52" s="17"/>
      <c r="D52" s="17"/>
      <c r="E52" s="16"/>
    </row>
    <row r="53" spans="1:5" ht="15" x14ac:dyDescent="0.3">
      <c r="A53" s="11" t="s">
        <v>23</v>
      </c>
      <c r="B53" s="18"/>
      <c r="C53" s="17"/>
      <c r="D53" s="17"/>
      <c r="E53" s="16"/>
    </row>
    <row r="54" spans="1:5" x14ac:dyDescent="0.2">
      <c r="A54" s="28" t="s">
        <v>5</v>
      </c>
      <c r="B54" s="28" t="s">
        <v>2</v>
      </c>
      <c r="C54" s="28" t="s">
        <v>8</v>
      </c>
      <c r="D54" s="28" t="s">
        <v>19</v>
      </c>
      <c r="E54" s="28" t="s">
        <v>4</v>
      </c>
    </row>
    <row r="55" spans="1:5" ht="15.75" thickBot="1" x14ac:dyDescent="0.35">
      <c r="A55" s="31">
        <f>12.28%/12</f>
        <v>1.0233333333333332E-2</v>
      </c>
      <c r="B55" s="32">
        <v>180</v>
      </c>
      <c r="C55" s="32">
        <v>224000000</v>
      </c>
      <c r="D55" s="32">
        <v>5000</v>
      </c>
      <c r="E55" s="34">
        <f>+C55*(A55*(1+A55)^B55)/((1+A55)^B55-1)-D55*((1/A55)-((B55/((1+A55)^B55-1))))</f>
        <v>2411676.5303395218</v>
      </c>
    </row>
    <row r="56" spans="1:5" ht="15.75" thickBot="1" x14ac:dyDescent="0.35">
      <c r="A56" s="15"/>
      <c r="B56" s="14"/>
      <c r="C56" s="14"/>
      <c r="D56" s="14"/>
      <c r="E56" s="13"/>
    </row>
    <row r="57" spans="1:5" ht="45" customHeight="1" x14ac:dyDescent="0.2">
      <c r="A57" s="178" t="s">
        <v>28</v>
      </c>
      <c r="B57" s="179"/>
      <c r="C57" s="179"/>
      <c r="D57" s="179"/>
      <c r="E57" s="180"/>
    </row>
    <row r="58" spans="1:5" ht="15" x14ac:dyDescent="0.3">
      <c r="A58" s="11" t="s">
        <v>0</v>
      </c>
      <c r="B58" s="19"/>
      <c r="C58" s="17"/>
      <c r="D58" s="17"/>
      <c r="E58" s="16"/>
    </row>
    <row r="59" spans="1:5" ht="15" x14ac:dyDescent="0.3">
      <c r="A59" s="11" t="s">
        <v>23</v>
      </c>
      <c r="B59" s="18"/>
      <c r="C59" s="17"/>
      <c r="D59" s="17"/>
      <c r="E59" s="16"/>
    </row>
    <row r="60" spans="1:5" x14ac:dyDescent="0.2">
      <c r="A60" s="28" t="s">
        <v>5</v>
      </c>
      <c r="B60" s="28" t="s">
        <v>2</v>
      </c>
      <c r="C60" s="28" t="s">
        <v>8</v>
      </c>
      <c r="D60" s="28" t="s">
        <v>19</v>
      </c>
      <c r="E60" s="28" t="s">
        <v>4</v>
      </c>
    </row>
    <row r="61" spans="1:5" ht="15.75" thickBot="1" x14ac:dyDescent="0.35">
      <c r="A61" s="31">
        <f>12.28%/12</f>
        <v>1.0233333333333332E-2</v>
      </c>
      <c r="B61" s="32">
        <v>180</v>
      </c>
      <c r="C61" s="32">
        <v>224000000</v>
      </c>
      <c r="D61" s="32">
        <v>-5000</v>
      </c>
      <c r="E61" s="34">
        <f>+C61*(A61*(1+A61)^B61)/((1+A61)^B61-1)-D61*((1/A61)-((B61/((1+A61)^B61-1))))</f>
        <v>3046041.530774592</v>
      </c>
    </row>
    <row r="62" spans="1:5" ht="15.75" thickBot="1" x14ac:dyDescent="0.35">
      <c r="A62" s="15"/>
      <c r="B62" s="14"/>
      <c r="C62" s="14"/>
      <c r="D62" s="14"/>
      <c r="E62" s="13"/>
    </row>
    <row r="63" spans="1:5" ht="46.5" customHeight="1" x14ac:dyDescent="0.2">
      <c r="A63" s="178" t="s">
        <v>27</v>
      </c>
      <c r="B63" s="179"/>
      <c r="C63" s="179"/>
      <c r="D63" s="179"/>
      <c r="E63" s="180"/>
    </row>
    <row r="64" spans="1:5" ht="15" x14ac:dyDescent="0.3">
      <c r="A64" s="11" t="s">
        <v>0</v>
      </c>
      <c r="B64" s="19"/>
      <c r="C64" s="17"/>
      <c r="D64" s="17"/>
      <c r="E64" s="16"/>
    </row>
    <row r="65" spans="1:5" ht="15" x14ac:dyDescent="0.3">
      <c r="A65" s="11" t="s">
        <v>20</v>
      </c>
      <c r="B65" s="18"/>
      <c r="C65" s="17"/>
      <c r="D65" s="17"/>
      <c r="E65" s="16"/>
    </row>
    <row r="66" spans="1:5" x14ac:dyDescent="0.2">
      <c r="A66" s="28" t="s">
        <v>5</v>
      </c>
      <c r="B66" s="28" t="s">
        <v>2</v>
      </c>
      <c r="C66" s="28" t="s">
        <v>1</v>
      </c>
      <c r="D66" s="28" t="s">
        <v>19</v>
      </c>
      <c r="E66" s="28" t="s">
        <v>4</v>
      </c>
    </row>
    <row r="67" spans="1:5" ht="15.75" thickBot="1" x14ac:dyDescent="0.35">
      <c r="A67" s="31">
        <v>0.04</v>
      </c>
      <c r="B67" s="32">
        <v>12</v>
      </c>
      <c r="C67" s="32">
        <v>100000000</v>
      </c>
      <c r="D67" s="32">
        <v>500000</v>
      </c>
      <c r="E67" s="34">
        <f>+(C67)*(A67/((1+A67)^B67-1))-D67*((1/A67)-(B67/((1+A67)^B67-1)))</f>
        <v>4138043.1715141218</v>
      </c>
    </row>
    <row r="68" spans="1:5" ht="15.75" thickBot="1" x14ac:dyDescent="0.35">
      <c r="A68" s="15"/>
      <c r="B68" s="14"/>
      <c r="C68" s="14"/>
      <c r="D68" s="14"/>
      <c r="E68" s="13"/>
    </row>
    <row r="69" spans="1:5" ht="48" customHeight="1" x14ac:dyDescent="0.2">
      <c r="A69" s="178" t="s">
        <v>26</v>
      </c>
      <c r="B69" s="179"/>
      <c r="C69" s="179"/>
      <c r="D69" s="179"/>
      <c r="E69" s="180"/>
    </row>
    <row r="70" spans="1:5" ht="15" x14ac:dyDescent="0.3">
      <c r="A70" s="11" t="s">
        <v>0</v>
      </c>
      <c r="B70" s="19"/>
      <c r="C70" s="17"/>
      <c r="D70" s="17"/>
      <c r="E70" s="16"/>
    </row>
    <row r="71" spans="1:5" ht="15" x14ac:dyDescent="0.3">
      <c r="A71" s="11" t="s">
        <v>20</v>
      </c>
      <c r="B71" s="18"/>
      <c r="C71" s="17"/>
      <c r="D71" s="17"/>
      <c r="E71" s="16"/>
    </row>
    <row r="72" spans="1:5" x14ac:dyDescent="0.2">
      <c r="A72" s="28" t="s">
        <v>5</v>
      </c>
      <c r="B72" s="28" t="s">
        <v>2</v>
      </c>
      <c r="C72" s="28" t="s">
        <v>1</v>
      </c>
      <c r="D72" s="28" t="s">
        <v>19</v>
      </c>
      <c r="E72" s="28" t="s">
        <v>4</v>
      </c>
    </row>
    <row r="73" spans="1:5" ht="15.75" thickBot="1" x14ac:dyDescent="0.35">
      <c r="A73" s="31">
        <v>0.04</v>
      </c>
      <c r="B73" s="32">
        <v>12</v>
      </c>
      <c r="C73" s="32">
        <v>100000000</v>
      </c>
      <c r="D73" s="32">
        <v>-500000</v>
      </c>
      <c r="E73" s="34">
        <f>+(C73)*(A73/((1+A73)^B73-1))-D73*((1/A73)-(B73/((1+A73)^B73-1)))</f>
        <v>9172391.3656971753</v>
      </c>
    </row>
    <row r="74" spans="1:5" ht="15.75" thickBot="1" x14ac:dyDescent="0.35">
      <c r="A74" s="15"/>
      <c r="B74" s="14"/>
      <c r="C74" s="14"/>
      <c r="D74" s="14"/>
      <c r="E74" s="13"/>
    </row>
    <row r="75" spans="1:5" ht="45.75" customHeight="1" x14ac:dyDescent="0.2">
      <c r="A75" s="178" t="s">
        <v>25</v>
      </c>
      <c r="B75" s="179"/>
      <c r="C75" s="179"/>
      <c r="D75" s="179"/>
      <c r="E75" s="180"/>
    </row>
    <row r="76" spans="1:5" ht="15" x14ac:dyDescent="0.3">
      <c r="A76" s="11" t="s">
        <v>0</v>
      </c>
      <c r="B76" s="19"/>
      <c r="C76" s="17"/>
      <c r="D76" s="17"/>
      <c r="E76" s="16"/>
    </row>
    <row r="77" spans="1:5" ht="15" x14ac:dyDescent="0.3">
      <c r="A77" s="11" t="s">
        <v>23</v>
      </c>
      <c r="B77" s="18"/>
      <c r="C77" s="17"/>
      <c r="D77" s="17"/>
      <c r="E77" s="16"/>
    </row>
    <row r="78" spans="1:5" x14ac:dyDescent="0.2">
      <c r="A78" s="28" t="s">
        <v>5</v>
      </c>
      <c r="B78" s="28" t="s">
        <v>2</v>
      </c>
      <c r="C78" s="28" t="s">
        <v>8</v>
      </c>
      <c r="D78" s="28" t="s">
        <v>19</v>
      </c>
      <c r="E78" s="28" t="s">
        <v>4</v>
      </c>
    </row>
    <row r="79" spans="1:5" ht="15.75" thickBot="1" x14ac:dyDescent="0.35">
      <c r="A79" s="31">
        <f>12.28%/12</f>
        <v>1.0233333333333332E-2</v>
      </c>
      <c r="B79" s="32">
        <v>180</v>
      </c>
      <c r="C79" s="32">
        <v>224000000</v>
      </c>
      <c r="D79" s="32">
        <v>5000</v>
      </c>
      <c r="E79" s="34">
        <f>+((C79/(1+A79))*(A79*(1+A79)^B79)/((1+A79)^B79-1)-D79*((1/A79)-((B79/((1+A79)^B79-1)))))</f>
        <v>2384034.0806618566</v>
      </c>
    </row>
    <row r="80" spans="1:5" ht="15.75" thickBot="1" x14ac:dyDescent="0.35">
      <c r="A80" s="15"/>
      <c r="B80" s="14"/>
      <c r="C80" s="14"/>
      <c r="D80" s="14"/>
      <c r="E80" s="13"/>
    </row>
    <row r="81" spans="1:5" ht="50.25" customHeight="1" x14ac:dyDescent="0.2">
      <c r="A81" s="178" t="s">
        <v>24</v>
      </c>
      <c r="B81" s="179"/>
      <c r="C81" s="179"/>
      <c r="D81" s="179"/>
      <c r="E81" s="180"/>
    </row>
    <row r="82" spans="1:5" ht="15" x14ac:dyDescent="0.3">
      <c r="A82" s="11" t="s">
        <v>0</v>
      </c>
      <c r="B82" s="19"/>
      <c r="C82" s="17"/>
      <c r="D82" s="17"/>
      <c r="E82" s="16"/>
    </row>
    <row r="83" spans="1:5" ht="15" x14ac:dyDescent="0.3">
      <c r="A83" s="11" t="s">
        <v>23</v>
      </c>
      <c r="B83" s="18"/>
      <c r="C83" s="17"/>
      <c r="D83" s="17"/>
      <c r="E83" s="16"/>
    </row>
    <row r="84" spans="1:5" x14ac:dyDescent="0.2">
      <c r="A84" s="28" t="s">
        <v>5</v>
      </c>
      <c r="B84" s="28" t="s">
        <v>2</v>
      </c>
      <c r="C84" s="28" t="s">
        <v>8</v>
      </c>
      <c r="D84" s="28" t="s">
        <v>19</v>
      </c>
      <c r="E84" s="28" t="s">
        <v>4</v>
      </c>
    </row>
    <row r="85" spans="1:5" ht="15.75" thickBot="1" x14ac:dyDescent="0.35">
      <c r="A85" s="31">
        <f>12.28%/12</f>
        <v>1.0233333333333332E-2</v>
      </c>
      <c r="B85" s="32">
        <v>180</v>
      </c>
      <c r="C85" s="32">
        <v>224000000</v>
      </c>
      <c r="D85" s="32">
        <v>-5000</v>
      </c>
      <c r="E85" s="34">
        <f>+((C85/(1+A85))*(A85*(1+A85)^B85)/((1+A85)^B85-1)-D85*((1/A85)-((B85/((1+A85)^B85-1)))))</f>
        <v>3018399.0810969267</v>
      </c>
    </row>
    <row r="86" spans="1:5" ht="15.75" thickBot="1" x14ac:dyDescent="0.35">
      <c r="A86" s="15"/>
      <c r="B86" s="14"/>
      <c r="C86" s="14"/>
      <c r="D86" s="14"/>
      <c r="E86" s="13"/>
    </row>
    <row r="87" spans="1:5" ht="49.5" customHeight="1" x14ac:dyDescent="0.2">
      <c r="A87" s="178" t="s">
        <v>22</v>
      </c>
      <c r="B87" s="179"/>
      <c r="C87" s="179"/>
      <c r="D87" s="179"/>
      <c r="E87" s="180"/>
    </row>
    <row r="88" spans="1:5" ht="15" x14ac:dyDescent="0.3">
      <c r="A88" s="11" t="s">
        <v>0</v>
      </c>
      <c r="B88" s="19"/>
      <c r="C88" s="17"/>
      <c r="D88" s="17"/>
      <c r="E88" s="16"/>
    </row>
    <row r="89" spans="1:5" ht="15" x14ac:dyDescent="0.3">
      <c r="A89" s="11" t="s">
        <v>20</v>
      </c>
      <c r="B89" s="18"/>
      <c r="C89" s="17"/>
      <c r="D89" s="17"/>
      <c r="E89" s="16"/>
    </row>
    <row r="90" spans="1:5" x14ac:dyDescent="0.2">
      <c r="A90" s="28" t="s">
        <v>5</v>
      </c>
      <c r="B90" s="28" t="s">
        <v>2</v>
      </c>
      <c r="C90" s="28" t="s">
        <v>1</v>
      </c>
      <c r="D90" s="28" t="s">
        <v>19</v>
      </c>
      <c r="E90" s="28" t="s">
        <v>4</v>
      </c>
    </row>
    <row r="91" spans="1:5" ht="15.75" thickBot="1" x14ac:dyDescent="0.35">
      <c r="A91" s="31">
        <v>0.04</v>
      </c>
      <c r="B91" s="32">
        <v>12</v>
      </c>
      <c r="C91" s="32">
        <v>100000000</v>
      </c>
      <c r="D91" s="32">
        <v>500000</v>
      </c>
      <c r="E91" s="34">
        <f>+((C91/(1+A91))*(A91/((1+A91)^B91-1)))-D91*((1/A91)-(B91/((1+A91)^B91-1)))</f>
        <v>3882073.2765677497</v>
      </c>
    </row>
    <row r="92" spans="1:5" ht="15.75" thickBot="1" x14ac:dyDescent="0.35">
      <c r="A92" s="15"/>
      <c r="B92" s="14"/>
      <c r="C92" s="14"/>
      <c r="D92" s="14"/>
      <c r="E92" s="13"/>
    </row>
    <row r="93" spans="1:5" ht="48" customHeight="1" x14ac:dyDescent="0.2">
      <c r="A93" s="178" t="s">
        <v>21</v>
      </c>
      <c r="B93" s="179"/>
      <c r="C93" s="179"/>
      <c r="D93" s="179"/>
      <c r="E93" s="180"/>
    </row>
    <row r="94" spans="1:5" ht="15" x14ac:dyDescent="0.3">
      <c r="A94" s="11" t="s">
        <v>0</v>
      </c>
      <c r="B94" s="19"/>
      <c r="C94" s="17"/>
      <c r="D94" s="17"/>
      <c r="E94" s="16"/>
    </row>
    <row r="95" spans="1:5" ht="15" x14ac:dyDescent="0.3">
      <c r="A95" s="11" t="s">
        <v>20</v>
      </c>
      <c r="B95" s="18"/>
      <c r="C95" s="17"/>
      <c r="D95" s="17"/>
      <c r="E95" s="16"/>
    </row>
    <row r="96" spans="1:5" x14ac:dyDescent="0.2">
      <c r="A96" s="28" t="s">
        <v>5</v>
      </c>
      <c r="B96" s="28" t="s">
        <v>2</v>
      </c>
      <c r="C96" s="28" t="s">
        <v>1</v>
      </c>
      <c r="D96" s="28" t="s">
        <v>19</v>
      </c>
      <c r="E96" s="28" t="s">
        <v>4</v>
      </c>
    </row>
    <row r="97" spans="1:8" ht="15.75" thickBot="1" x14ac:dyDescent="0.35">
      <c r="A97" s="31">
        <v>0.04</v>
      </c>
      <c r="B97" s="32">
        <v>12</v>
      </c>
      <c r="C97" s="32">
        <v>100000000</v>
      </c>
      <c r="D97" s="32">
        <v>-500000</v>
      </c>
      <c r="E97" s="34">
        <f>+((C97/(1+A97))*(A97/((1+A97)^B97-1)))-D97*((1/A97)-(B97/((1+A97)^B97-1)))</f>
        <v>8916421.4707508031</v>
      </c>
    </row>
    <row r="98" spans="1:8" ht="15" x14ac:dyDescent="0.3">
      <c r="A98" s="15"/>
      <c r="B98" s="14"/>
      <c r="C98" s="14"/>
      <c r="D98" s="14"/>
      <c r="E98" s="13"/>
    </row>
    <row r="99" spans="1:8" ht="32.25" customHeight="1" x14ac:dyDescent="0.2">
      <c r="A99" s="194" t="s">
        <v>71</v>
      </c>
      <c r="B99" s="195"/>
      <c r="C99" s="195"/>
      <c r="D99" s="195"/>
      <c r="E99" s="195"/>
      <c r="F99" s="195"/>
      <c r="G99" s="195"/>
    </row>
    <row r="100" spans="1:8" ht="15" x14ac:dyDescent="0.3">
      <c r="A100" s="47" t="s">
        <v>0</v>
      </c>
      <c r="B100" s="48"/>
      <c r="C100" s="49"/>
      <c r="D100" s="49"/>
      <c r="E100" s="49"/>
      <c r="F100" s="50"/>
      <c r="G100" s="51"/>
    </row>
    <row r="101" spans="1:8" ht="15" x14ac:dyDescent="0.3">
      <c r="A101" s="52" t="s">
        <v>72</v>
      </c>
      <c r="B101" s="53"/>
      <c r="C101" s="54"/>
      <c r="D101" s="54"/>
      <c r="E101" s="54"/>
      <c r="F101" s="55"/>
      <c r="G101" s="56"/>
    </row>
    <row r="102" spans="1:8" x14ac:dyDescent="0.2">
      <c r="A102" s="29" t="s">
        <v>5</v>
      </c>
      <c r="B102" s="28" t="s">
        <v>2</v>
      </c>
      <c r="C102" s="29" t="s">
        <v>62</v>
      </c>
      <c r="D102" s="29" t="s">
        <v>63</v>
      </c>
      <c r="E102" s="29" t="s">
        <v>4</v>
      </c>
      <c r="F102" s="29" t="s">
        <v>73</v>
      </c>
      <c r="G102" s="29" t="s">
        <v>8</v>
      </c>
    </row>
    <row r="103" spans="1:8" ht="15.75" thickBot="1" x14ac:dyDescent="0.35">
      <c r="A103" s="42">
        <v>2.5000000000000001E-2</v>
      </c>
      <c r="B103" s="43">
        <v>42</v>
      </c>
      <c r="C103" s="43">
        <v>6</v>
      </c>
      <c r="D103" s="43">
        <v>36</v>
      </c>
      <c r="E103" s="43">
        <v>250000</v>
      </c>
      <c r="F103" s="43">
        <v>75000</v>
      </c>
      <c r="G103" s="34">
        <f>(E103/(1+A103)^C103)*(((1+A103)^D103-1)/((A103*(1+A103)^D103)))+(F103/(A103*(1+A103)^C103))*((((1+A103)^D103-1)/(A103*((1+A103)^D103)))-(D103/((1+A103)^D103)))</f>
        <v>27731203.220835581</v>
      </c>
    </row>
    <row r="105" spans="1:8" ht="36" customHeight="1" x14ac:dyDescent="0.2">
      <c r="A105" s="194" t="s">
        <v>74</v>
      </c>
      <c r="B105" s="195"/>
      <c r="C105" s="195"/>
      <c r="D105" s="195"/>
      <c r="E105" s="195"/>
      <c r="F105" s="195"/>
      <c r="G105" s="195"/>
      <c r="H105" s="195"/>
    </row>
    <row r="106" spans="1:8" ht="15" x14ac:dyDescent="0.3">
      <c r="A106" s="47" t="s">
        <v>0</v>
      </c>
      <c r="B106" s="48"/>
      <c r="C106" s="49"/>
      <c r="D106" s="49"/>
      <c r="E106" s="49"/>
      <c r="F106" s="50"/>
      <c r="G106" s="50"/>
      <c r="H106" s="51"/>
    </row>
    <row r="107" spans="1:8" ht="15" x14ac:dyDescent="0.3">
      <c r="A107" s="52" t="s">
        <v>78</v>
      </c>
      <c r="B107" s="53"/>
      <c r="C107" s="54"/>
      <c r="D107" s="54"/>
      <c r="E107" s="54"/>
      <c r="F107" s="55"/>
      <c r="G107" s="55"/>
      <c r="H107" s="56"/>
    </row>
    <row r="108" spans="1:8" x14ac:dyDescent="0.2">
      <c r="A108" s="29" t="s">
        <v>75</v>
      </c>
      <c r="B108" s="29" t="s">
        <v>76</v>
      </c>
      <c r="C108" s="29" t="s">
        <v>77</v>
      </c>
      <c r="D108" s="29" t="s">
        <v>62</v>
      </c>
      <c r="E108" s="29" t="s">
        <v>63</v>
      </c>
      <c r="F108" s="29" t="s">
        <v>73</v>
      </c>
      <c r="G108" s="29" t="s">
        <v>8</v>
      </c>
      <c r="H108" s="29" t="s">
        <v>4</v>
      </c>
    </row>
    <row r="109" spans="1:8" ht="15" x14ac:dyDescent="0.3">
      <c r="A109" s="42">
        <v>0.03</v>
      </c>
      <c r="B109" s="42">
        <v>0.04</v>
      </c>
      <c r="C109" s="43">
        <v>19</v>
      </c>
      <c r="D109" s="43">
        <v>4</v>
      </c>
      <c r="E109" s="43">
        <v>15</v>
      </c>
      <c r="F109" s="43">
        <v>800000</v>
      </c>
      <c r="G109" s="43">
        <v>105000000</v>
      </c>
      <c r="H109" s="57">
        <f>G109*(1+A109)^D109*((B109*(1+B109)^E109)/((1+B109)^E109-1))-F109*((1/B109)-E109/((1+B109)^E109-1))</f>
        <v>5611427.7003975175</v>
      </c>
    </row>
    <row r="114" ht="38.25" customHeight="1" x14ac:dyDescent="0.2"/>
    <row r="120" ht="29.25" customHeight="1" x14ac:dyDescent="0.2"/>
    <row r="126" ht="30.75" customHeight="1" x14ac:dyDescent="0.2"/>
    <row r="133" ht="33.75" customHeight="1" x14ac:dyDescent="0.2"/>
    <row r="139" ht="33" customHeight="1" x14ac:dyDescent="0.2"/>
    <row r="146" ht="31.5" customHeight="1" x14ac:dyDescent="0.2"/>
    <row r="152" ht="34.5" customHeight="1" x14ac:dyDescent="0.2"/>
    <row r="158" ht="33.75" customHeight="1" x14ac:dyDescent="0.2"/>
    <row r="164" ht="35.25" customHeight="1" x14ac:dyDescent="0.2"/>
    <row r="170" ht="31.5" customHeight="1" x14ac:dyDescent="0.2"/>
    <row r="176" ht="33.75" customHeight="1" x14ac:dyDescent="0.2"/>
    <row r="183" ht="30.75" customHeight="1" x14ac:dyDescent="0.2"/>
    <row r="189" ht="36.75" customHeight="1" x14ac:dyDescent="0.2"/>
  </sheetData>
  <mergeCells count="19">
    <mergeCell ref="A1:E1"/>
    <mergeCell ref="A3:E3"/>
    <mergeCell ref="A9:E9"/>
    <mergeCell ref="A27:E27"/>
    <mergeCell ref="A33:E33"/>
    <mergeCell ref="A15:E15"/>
    <mergeCell ref="A21:E21"/>
    <mergeCell ref="A39:E39"/>
    <mergeCell ref="A45:E45"/>
    <mergeCell ref="A51:E51"/>
    <mergeCell ref="A57:E57"/>
    <mergeCell ref="A75:E75"/>
    <mergeCell ref="A99:G99"/>
    <mergeCell ref="A105:H105"/>
    <mergeCell ref="A63:E63"/>
    <mergeCell ref="A69:E69"/>
    <mergeCell ref="A87:E87"/>
    <mergeCell ref="A93:E93"/>
    <mergeCell ref="A81:E8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H112"/>
  <sheetViews>
    <sheetView showGridLines="0" topLeftCell="A87" zoomScale="120" zoomScaleNormal="120" workbookViewId="0">
      <selection activeCell="A102" sqref="A102:G102"/>
    </sheetView>
  </sheetViews>
  <sheetFormatPr baseColWidth="10" defaultRowHeight="12.75" x14ac:dyDescent="0.2"/>
  <cols>
    <col min="1" max="2" width="11.42578125" style="12"/>
    <col min="3" max="3" width="12" style="12" bestFit="1" customWidth="1"/>
    <col min="4" max="4" width="11.42578125" style="12"/>
    <col min="5" max="5" width="14.28515625" style="12" bestFit="1" customWidth="1"/>
    <col min="6" max="6" width="13" style="12" bestFit="1" customWidth="1"/>
    <col min="7" max="7" width="15.140625" style="12" bestFit="1" customWidth="1"/>
    <col min="8" max="8" width="12.42578125" style="12" bestFit="1" customWidth="1"/>
    <col min="9" max="16384" width="11.42578125" style="12"/>
  </cols>
  <sheetData>
    <row r="1" spans="1:5" ht="24" thickBot="1" x14ac:dyDescent="0.25">
      <c r="A1" s="183" t="s">
        <v>60</v>
      </c>
      <c r="B1" s="184"/>
      <c r="C1" s="184"/>
      <c r="D1" s="184"/>
      <c r="E1" s="185"/>
    </row>
    <row r="2" spans="1:5" customFormat="1" ht="15.75" thickBot="1" x14ac:dyDescent="0.3"/>
    <row r="3" spans="1:5" ht="30.75" customHeight="1" x14ac:dyDescent="0.2">
      <c r="A3" s="178" t="s">
        <v>59</v>
      </c>
      <c r="B3" s="179"/>
      <c r="C3" s="179"/>
      <c r="D3" s="179"/>
      <c r="E3" s="180"/>
    </row>
    <row r="4" spans="1:5" ht="15" x14ac:dyDescent="0.3">
      <c r="A4" s="11" t="s">
        <v>0</v>
      </c>
      <c r="B4" s="19"/>
      <c r="C4" s="17"/>
      <c r="D4" s="17"/>
      <c r="E4" s="16"/>
    </row>
    <row r="5" spans="1:5" ht="15" x14ac:dyDescent="0.3">
      <c r="A5" s="11" t="s">
        <v>55</v>
      </c>
      <c r="B5" s="18"/>
      <c r="C5" s="17"/>
      <c r="D5" s="17"/>
      <c r="E5" s="16"/>
    </row>
    <row r="6" spans="1:5" x14ac:dyDescent="0.2">
      <c r="A6" s="28" t="s">
        <v>5</v>
      </c>
      <c r="B6" s="28" t="s">
        <v>2</v>
      </c>
      <c r="C6" s="28" t="s">
        <v>3</v>
      </c>
      <c r="D6" s="28" t="s">
        <v>19</v>
      </c>
      <c r="E6" s="28" t="s">
        <v>8</v>
      </c>
    </row>
    <row r="7" spans="1:5" ht="15.75" thickBot="1" x14ac:dyDescent="0.35">
      <c r="A7" s="31">
        <v>1.4999999999999999E-2</v>
      </c>
      <c r="B7" s="32">
        <v>5</v>
      </c>
      <c r="C7" s="32">
        <v>300000</v>
      </c>
      <c r="D7" s="35">
        <v>0.1</v>
      </c>
      <c r="E7" s="34">
        <f>(C7/(A7-D7))*(1-(((1+D7)^(B7))/((1+A7)^(B7))))</f>
        <v>1746961.8941260157</v>
      </c>
    </row>
    <row r="8" spans="1:5" ht="15.75" thickBot="1" x14ac:dyDescent="0.25">
      <c r="A8" s="8"/>
      <c r="B8" s="7"/>
      <c r="C8" s="6"/>
      <c r="D8" s="5"/>
      <c r="E8" s="5"/>
    </row>
    <row r="9" spans="1:5" ht="34.5" customHeight="1" x14ac:dyDescent="0.2">
      <c r="A9" s="178" t="s">
        <v>58</v>
      </c>
      <c r="B9" s="179"/>
      <c r="C9" s="179"/>
      <c r="D9" s="179"/>
      <c r="E9" s="180"/>
    </row>
    <row r="10" spans="1:5" ht="15" x14ac:dyDescent="0.3">
      <c r="A10" s="11" t="s">
        <v>0</v>
      </c>
      <c r="B10" s="19"/>
      <c r="C10" s="17"/>
      <c r="D10" s="17"/>
      <c r="E10" s="16"/>
    </row>
    <row r="11" spans="1:5" ht="15" x14ac:dyDescent="0.3">
      <c r="A11" s="11" t="s">
        <v>55</v>
      </c>
      <c r="B11" s="18"/>
      <c r="C11" s="17"/>
      <c r="D11" s="17"/>
      <c r="E11" s="16"/>
    </row>
    <row r="12" spans="1:5" x14ac:dyDescent="0.2">
      <c r="A12" s="28" t="s">
        <v>5</v>
      </c>
      <c r="B12" s="28" t="s">
        <v>2</v>
      </c>
      <c r="C12" s="28" t="s">
        <v>3</v>
      </c>
      <c r="D12" s="28" t="s">
        <v>19</v>
      </c>
      <c r="E12" s="28" t="s">
        <v>8</v>
      </c>
    </row>
    <row r="13" spans="1:5" ht="15.75" thickBot="1" x14ac:dyDescent="0.35">
      <c r="A13" s="31">
        <v>5.0000000000000001E-3</v>
      </c>
      <c r="B13" s="32">
        <v>7</v>
      </c>
      <c r="C13" s="32">
        <v>120000</v>
      </c>
      <c r="D13" s="35">
        <v>-0.05</v>
      </c>
      <c r="E13" s="34">
        <f>(C13/(A13-D13))*(1-(((1+D13)^(B13))/((1+A13)^(B13))))</f>
        <v>710449.99646255735</v>
      </c>
    </row>
    <row r="14" spans="1:5" ht="15.75" thickBot="1" x14ac:dyDescent="0.25">
      <c r="A14" s="8"/>
      <c r="B14" s="7"/>
      <c r="C14" s="6"/>
      <c r="D14" s="5"/>
      <c r="E14" s="5"/>
    </row>
    <row r="15" spans="1:5" ht="33" customHeight="1" x14ac:dyDescent="0.2">
      <c r="A15" s="178" t="s">
        <v>57</v>
      </c>
      <c r="B15" s="179"/>
      <c r="C15" s="179"/>
      <c r="D15" s="179"/>
      <c r="E15" s="180"/>
    </row>
    <row r="16" spans="1:5" ht="15" x14ac:dyDescent="0.3">
      <c r="A16" s="11" t="s">
        <v>0</v>
      </c>
      <c r="B16" s="19"/>
      <c r="C16" s="17"/>
      <c r="D16" s="17"/>
      <c r="E16" s="16"/>
    </row>
    <row r="17" spans="1:5" ht="15" x14ac:dyDescent="0.3">
      <c r="A17" s="11" t="s">
        <v>55</v>
      </c>
      <c r="B17" s="18"/>
      <c r="C17" s="17"/>
      <c r="D17" s="17"/>
      <c r="E17" s="16"/>
    </row>
    <row r="18" spans="1:5" x14ac:dyDescent="0.2">
      <c r="A18" s="28" t="s">
        <v>5</v>
      </c>
      <c r="B18" s="28" t="s">
        <v>2</v>
      </c>
      <c r="C18" s="28" t="s">
        <v>3</v>
      </c>
      <c r="D18" s="28" t="s">
        <v>19</v>
      </c>
      <c r="E18" s="28" t="s">
        <v>8</v>
      </c>
    </row>
    <row r="19" spans="1:5" ht="15.75" thickBot="1" x14ac:dyDescent="0.35">
      <c r="A19" s="31">
        <v>0.01</v>
      </c>
      <c r="B19" s="32">
        <v>12</v>
      </c>
      <c r="C19" s="32">
        <v>1250000</v>
      </c>
      <c r="D19" s="35">
        <v>0.05</v>
      </c>
      <c r="E19" s="34">
        <f>((C19/(A19-D19))*(1-(((1+D19)^(B19))/((1+A19)^(B19)))))*(1+A19)</f>
        <v>18739644.320875697</v>
      </c>
    </row>
    <row r="20" spans="1:5" ht="13.5" thickBot="1" x14ac:dyDescent="0.25"/>
    <row r="21" spans="1:5" ht="35.25" customHeight="1" x14ac:dyDescent="0.2">
      <c r="A21" s="178" t="s">
        <v>56</v>
      </c>
      <c r="B21" s="179"/>
      <c r="C21" s="179"/>
      <c r="D21" s="179"/>
      <c r="E21" s="180"/>
    </row>
    <row r="22" spans="1:5" ht="15" x14ac:dyDescent="0.3">
      <c r="A22" s="11" t="s">
        <v>0</v>
      </c>
      <c r="B22" s="19"/>
      <c r="C22" s="17"/>
      <c r="D22" s="17"/>
      <c r="E22" s="16"/>
    </row>
    <row r="23" spans="1:5" ht="15" x14ac:dyDescent="0.3">
      <c r="A23" s="11" t="s">
        <v>55</v>
      </c>
      <c r="B23" s="18"/>
      <c r="C23" s="17"/>
      <c r="D23" s="17"/>
      <c r="E23" s="16"/>
    </row>
    <row r="24" spans="1:5" x14ac:dyDescent="0.2">
      <c r="A24" s="28" t="s">
        <v>5</v>
      </c>
      <c r="B24" s="28" t="s">
        <v>2</v>
      </c>
      <c r="C24" s="28" t="s">
        <v>3</v>
      </c>
      <c r="D24" s="28" t="s">
        <v>19</v>
      </c>
      <c r="E24" s="28" t="s">
        <v>8</v>
      </c>
    </row>
    <row r="25" spans="1:5" ht="15.75" thickBot="1" x14ac:dyDescent="0.35">
      <c r="A25" s="31">
        <v>3.0200000000000001E-2</v>
      </c>
      <c r="B25" s="32">
        <v>28</v>
      </c>
      <c r="C25" s="32">
        <v>1500000</v>
      </c>
      <c r="D25" s="35">
        <v>-0.01</v>
      </c>
      <c r="E25" s="34">
        <f>((C25/(A25-D25))*(1-(((1+D25)^(B25))/((1+A25)^(B25)))))*(1+A25)</f>
        <v>25828735.179656506</v>
      </c>
    </row>
    <row r="26" spans="1:5" ht="15.75" thickBot="1" x14ac:dyDescent="0.25">
      <c r="A26" s="8"/>
      <c r="B26" s="7"/>
      <c r="C26" s="6"/>
      <c r="D26" s="5"/>
      <c r="E26" s="5"/>
    </row>
    <row r="27" spans="1:5" ht="34.5" customHeight="1" x14ac:dyDescent="0.2">
      <c r="A27" s="178" t="s">
        <v>54</v>
      </c>
      <c r="B27" s="179"/>
      <c r="C27" s="179"/>
      <c r="D27" s="179"/>
      <c r="E27" s="180"/>
    </row>
    <row r="28" spans="1:5" ht="15" x14ac:dyDescent="0.3">
      <c r="A28" s="11" t="s">
        <v>0</v>
      </c>
      <c r="B28" s="19"/>
      <c r="C28" s="17"/>
      <c r="D28" s="17"/>
      <c r="E28" s="16"/>
    </row>
    <row r="29" spans="1:5" ht="15" x14ac:dyDescent="0.3">
      <c r="A29" s="11" t="s">
        <v>50</v>
      </c>
      <c r="B29" s="18"/>
      <c r="C29" s="17"/>
      <c r="D29" s="17"/>
      <c r="E29" s="16"/>
    </row>
    <row r="30" spans="1:5" x14ac:dyDescent="0.2">
      <c r="A30" s="28" t="s">
        <v>5</v>
      </c>
      <c r="B30" s="28" t="s">
        <v>2</v>
      </c>
      <c r="C30" s="28" t="s">
        <v>3</v>
      </c>
      <c r="D30" s="28" t="s">
        <v>19</v>
      </c>
      <c r="E30" s="28" t="s">
        <v>1</v>
      </c>
    </row>
    <row r="31" spans="1:5" ht="15.75" thickBot="1" x14ac:dyDescent="0.35">
      <c r="A31" s="31">
        <v>2.3567073118145654E-2</v>
      </c>
      <c r="B31" s="32">
        <v>12</v>
      </c>
      <c r="C31" s="32">
        <v>80000</v>
      </c>
      <c r="D31" s="35">
        <v>0.01</v>
      </c>
      <c r="E31" s="34">
        <f>((((C31/(A31-D31))*((1+A31)^(B31)-(1+D31)^(B31)))))</f>
        <v>1153822.7481434811</v>
      </c>
    </row>
    <row r="32" spans="1:5" ht="15.75" thickBot="1" x14ac:dyDescent="0.25">
      <c r="A32" s="8"/>
      <c r="B32" s="7"/>
      <c r="C32" s="6"/>
      <c r="D32" s="5"/>
      <c r="E32" s="5"/>
    </row>
    <row r="33" spans="1:5" ht="39" customHeight="1" x14ac:dyDescent="0.2">
      <c r="A33" s="178" t="s">
        <v>53</v>
      </c>
      <c r="B33" s="179"/>
      <c r="C33" s="179"/>
      <c r="D33" s="179"/>
      <c r="E33" s="180"/>
    </row>
    <row r="34" spans="1:5" ht="15" x14ac:dyDescent="0.3">
      <c r="A34" s="11" t="s">
        <v>0</v>
      </c>
      <c r="B34" s="19"/>
      <c r="C34" s="17"/>
      <c r="D34" s="17"/>
      <c r="E34" s="16"/>
    </row>
    <row r="35" spans="1:5" ht="15" x14ac:dyDescent="0.3">
      <c r="A35" s="11" t="s">
        <v>50</v>
      </c>
      <c r="B35" s="18"/>
      <c r="C35" s="17"/>
      <c r="D35" s="17"/>
      <c r="E35" s="16"/>
    </row>
    <row r="36" spans="1:5" x14ac:dyDescent="0.2">
      <c r="A36" s="28" t="s">
        <v>5</v>
      </c>
      <c r="B36" s="28" t="s">
        <v>2</v>
      </c>
      <c r="C36" s="28" t="s">
        <v>3</v>
      </c>
      <c r="D36" s="28" t="s">
        <v>19</v>
      </c>
      <c r="E36" s="28" t="s">
        <v>1</v>
      </c>
    </row>
    <row r="37" spans="1:5" ht="15.75" thickBot="1" x14ac:dyDescent="0.35">
      <c r="A37" s="31">
        <v>2.3567073118145654E-2</v>
      </c>
      <c r="B37" s="32">
        <v>12</v>
      </c>
      <c r="C37" s="32">
        <v>80000</v>
      </c>
      <c r="D37" s="35">
        <v>-0.01</v>
      </c>
      <c r="E37" s="34">
        <f>((((C37/(A37-D37))*((1+A37)^(B37)-(1+D37)^(B37)))))</f>
        <v>1039387.9186281881</v>
      </c>
    </row>
    <row r="39" spans="1:5" ht="13.5" thickBot="1" x14ac:dyDescent="0.25"/>
    <row r="40" spans="1:5" ht="36" customHeight="1" x14ac:dyDescent="0.2">
      <c r="A40" s="178" t="s">
        <v>52</v>
      </c>
      <c r="B40" s="179"/>
      <c r="C40" s="179"/>
      <c r="D40" s="179"/>
      <c r="E40" s="180"/>
    </row>
    <row r="41" spans="1:5" ht="15" x14ac:dyDescent="0.3">
      <c r="A41" s="11" t="s">
        <v>0</v>
      </c>
      <c r="B41" s="19"/>
      <c r="C41" s="17"/>
      <c r="D41" s="17"/>
      <c r="E41" s="16"/>
    </row>
    <row r="42" spans="1:5" ht="15" x14ac:dyDescent="0.3">
      <c r="A42" s="11" t="s">
        <v>50</v>
      </c>
      <c r="B42" s="18"/>
      <c r="C42" s="17"/>
      <c r="D42" s="17"/>
      <c r="E42" s="16"/>
    </row>
    <row r="43" spans="1:5" x14ac:dyDescent="0.2">
      <c r="A43" s="28" t="s">
        <v>5</v>
      </c>
      <c r="B43" s="28" t="s">
        <v>2</v>
      </c>
      <c r="C43" s="28" t="s">
        <v>3</v>
      </c>
      <c r="D43" s="28" t="s">
        <v>19</v>
      </c>
      <c r="E43" s="28" t="s">
        <v>1</v>
      </c>
    </row>
    <row r="44" spans="1:5" ht="15.75" thickBot="1" x14ac:dyDescent="0.35">
      <c r="A44" s="31">
        <v>0.01</v>
      </c>
      <c r="B44" s="32">
        <v>12</v>
      </c>
      <c r="C44" s="32">
        <v>1250000</v>
      </c>
      <c r="D44" s="35">
        <v>0.05</v>
      </c>
      <c r="E44" s="34">
        <f>((((C44/(A44-D44))*((1+A44)^(B44)-(1+D44)^(B44)))))*(1+A44)</f>
        <v>21116300.276533157</v>
      </c>
    </row>
    <row r="45" spans="1:5" ht="13.5" thickBot="1" x14ac:dyDescent="0.25"/>
    <row r="46" spans="1:5" ht="36" customHeight="1" x14ac:dyDescent="0.2">
      <c r="A46" s="178" t="s">
        <v>51</v>
      </c>
      <c r="B46" s="179"/>
      <c r="C46" s="179"/>
      <c r="D46" s="179"/>
      <c r="E46" s="180"/>
    </row>
    <row r="47" spans="1:5" ht="15" x14ac:dyDescent="0.3">
      <c r="A47" s="11" t="s">
        <v>0</v>
      </c>
      <c r="B47" s="19"/>
      <c r="C47" s="17"/>
      <c r="D47" s="17"/>
      <c r="E47" s="16"/>
    </row>
    <row r="48" spans="1:5" ht="15" x14ac:dyDescent="0.3">
      <c r="A48" s="11" t="s">
        <v>50</v>
      </c>
      <c r="B48" s="18"/>
      <c r="C48" s="17"/>
      <c r="D48" s="17"/>
      <c r="E48" s="16"/>
    </row>
    <row r="49" spans="1:5" x14ac:dyDescent="0.2">
      <c r="A49" s="28" t="s">
        <v>5</v>
      </c>
      <c r="B49" s="28" t="s">
        <v>2</v>
      </c>
      <c r="C49" s="28" t="s">
        <v>3</v>
      </c>
      <c r="D49" s="28" t="s">
        <v>19</v>
      </c>
      <c r="E49" s="28" t="s">
        <v>1</v>
      </c>
    </row>
    <row r="50" spans="1:5" ht="15.75" thickBot="1" x14ac:dyDescent="0.35">
      <c r="A50" s="31">
        <v>0.01</v>
      </c>
      <c r="B50" s="32">
        <v>12</v>
      </c>
      <c r="C50" s="32">
        <v>1250000</v>
      </c>
      <c r="D50" s="35">
        <v>-0.05</v>
      </c>
      <c r="E50" s="34">
        <f>((((C50/(A50-D50))*((1+A50)^(B50)-(1+D50)^(B50)))))*(1+A50)</f>
        <v>12340199.831125546</v>
      </c>
    </row>
    <row r="52" spans="1:5" ht="13.5" thickBot="1" x14ac:dyDescent="0.25"/>
    <row r="53" spans="1:5" ht="33" customHeight="1" x14ac:dyDescent="0.2">
      <c r="A53" s="178" t="s">
        <v>49</v>
      </c>
      <c r="B53" s="179"/>
      <c r="C53" s="179"/>
      <c r="D53" s="179"/>
      <c r="E53" s="180"/>
    </row>
    <row r="54" spans="1:5" ht="15" x14ac:dyDescent="0.3">
      <c r="A54" s="11" t="s">
        <v>0</v>
      </c>
      <c r="B54" s="19"/>
      <c r="C54" s="17"/>
      <c r="D54" s="17"/>
      <c r="E54" s="16"/>
    </row>
    <row r="55" spans="1:5" ht="15" x14ac:dyDescent="0.3">
      <c r="A55" s="11" t="s">
        <v>45</v>
      </c>
      <c r="B55" s="18"/>
      <c r="C55" s="17"/>
      <c r="D55" s="17"/>
      <c r="E55" s="16"/>
    </row>
    <row r="56" spans="1:5" x14ac:dyDescent="0.2">
      <c r="A56" s="28" t="s">
        <v>5</v>
      </c>
      <c r="B56" s="28" t="s">
        <v>2</v>
      </c>
      <c r="C56" s="28" t="s">
        <v>8</v>
      </c>
      <c r="D56" s="28" t="s">
        <v>19</v>
      </c>
      <c r="E56" s="28" t="s">
        <v>4</v>
      </c>
    </row>
    <row r="57" spans="1:5" ht="15.75" thickBot="1" x14ac:dyDescent="0.35">
      <c r="A57" s="31">
        <v>0.01</v>
      </c>
      <c r="B57" s="32">
        <v>15</v>
      </c>
      <c r="C57" s="32">
        <v>3000000</v>
      </c>
      <c r="D57" s="35">
        <v>0.05</v>
      </c>
      <c r="E57" s="34">
        <f>+C57*(((1+A57)^B57*(A57-D57))/((1+A57)^B57-(1+D57)^B57))</f>
        <v>151767.38900345893</v>
      </c>
    </row>
    <row r="58" spans="1:5" ht="13.5" thickBot="1" x14ac:dyDescent="0.25"/>
    <row r="59" spans="1:5" ht="44.25" customHeight="1" x14ac:dyDescent="0.2">
      <c r="A59" s="178" t="s">
        <v>48</v>
      </c>
      <c r="B59" s="179"/>
      <c r="C59" s="179"/>
      <c r="D59" s="179"/>
      <c r="E59" s="180"/>
    </row>
    <row r="60" spans="1:5" ht="15" x14ac:dyDescent="0.3">
      <c r="A60" s="11" t="s">
        <v>0</v>
      </c>
      <c r="B60" s="19"/>
      <c r="C60" s="17"/>
      <c r="D60" s="17"/>
      <c r="E60" s="16"/>
    </row>
    <row r="61" spans="1:5" ht="15" x14ac:dyDescent="0.3">
      <c r="A61" s="11" t="s">
        <v>45</v>
      </c>
      <c r="B61" s="18"/>
      <c r="C61" s="17"/>
      <c r="D61" s="17"/>
      <c r="E61" s="16"/>
    </row>
    <row r="62" spans="1:5" x14ac:dyDescent="0.2">
      <c r="A62" s="28" t="s">
        <v>5</v>
      </c>
      <c r="B62" s="28" t="s">
        <v>2</v>
      </c>
      <c r="C62" s="28" t="s">
        <v>8</v>
      </c>
      <c r="D62" s="28" t="s">
        <v>19</v>
      </c>
      <c r="E62" s="28" t="s">
        <v>4</v>
      </c>
    </row>
    <row r="63" spans="1:5" ht="15.75" thickBot="1" x14ac:dyDescent="0.35">
      <c r="A63" s="31">
        <v>0.01</v>
      </c>
      <c r="B63" s="32">
        <v>15</v>
      </c>
      <c r="C63" s="32">
        <v>3000000</v>
      </c>
      <c r="D63" s="35">
        <v>-0.05</v>
      </c>
      <c r="E63" s="34">
        <f>+C63*(((1+A63)^B63*(A63-D63))/((1+A63)^B63-(1+D63)^B63))</f>
        <v>299528.57087937748</v>
      </c>
    </row>
    <row r="64" spans="1:5" ht="13.5" thickBot="1" x14ac:dyDescent="0.25"/>
    <row r="65" spans="1:5" ht="44.25" customHeight="1" x14ac:dyDescent="0.2">
      <c r="A65" s="178" t="s">
        <v>47</v>
      </c>
      <c r="B65" s="179"/>
      <c r="C65" s="179"/>
      <c r="D65" s="179"/>
      <c r="E65" s="180"/>
    </row>
    <row r="66" spans="1:5" ht="15" x14ac:dyDescent="0.3">
      <c r="A66" s="11" t="s">
        <v>0</v>
      </c>
      <c r="B66" s="19"/>
      <c r="C66" s="17"/>
      <c r="D66" s="17"/>
      <c r="E66" s="16"/>
    </row>
    <row r="67" spans="1:5" ht="15" x14ac:dyDescent="0.3">
      <c r="A67" s="11" t="s">
        <v>45</v>
      </c>
      <c r="B67" s="18"/>
      <c r="C67" s="17"/>
      <c r="D67" s="17"/>
      <c r="E67" s="16"/>
    </row>
    <row r="68" spans="1:5" x14ac:dyDescent="0.2">
      <c r="A68" s="28" t="s">
        <v>5</v>
      </c>
      <c r="B68" s="28" t="s">
        <v>2</v>
      </c>
      <c r="C68" s="28" t="s">
        <v>8</v>
      </c>
      <c r="D68" s="28" t="s">
        <v>19</v>
      </c>
      <c r="E68" s="28" t="s">
        <v>4</v>
      </c>
    </row>
    <row r="69" spans="1:5" ht="15.75" thickBot="1" x14ac:dyDescent="0.35">
      <c r="A69" s="31">
        <v>0.01</v>
      </c>
      <c r="B69" s="32">
        <v>15</v>
      </c>
      <c r="C69" s="32">
        <v>3000000</v>
      </c>
      <c r="D69" s="35">
        <v>0.05</v>
      </c>
      <c r="E69" s="34">
        <f>+(C69/(1+A69))*(((1+A69)^B69*(A69-D69))/((1+A69)^B69-(1+D69)^B69))</f>
        <v>150264.74158758309</v>
      </c>
    </row>
    <row r="70" spans="1:5" ht="13.5" thickBot="1" x14ac:dyDescent="0.25"/>
    <row r="71" spans="1:5" ht="45" customHeight="1" x14ac:dyDescent="0.2">
      <c r="A71" s="178" t="s">
        <v>46</v>
      </c>
      <c r="B71" s="179"/>
      <c r="C71" s="179"/>
      <c r="D71" s="179"/>
      <c r="E71" s="180"/>
    </row>
    <row r="72" spans="1:5" ht="15" x14ac:dyDescent="0.3">
      <c r="A72" s="11" t="s">
        <v>0</v>
      </c>
      <c r="B72" s="19"/>
      <c r="C72" s="17"/>
      <c r="D72" s="17"/>
      <c r="E72" s="16"/>
    </row>
    <row r="73" spans="1:5" ht="15" x14ac:dyDescent="0.3">
      <c r="A73" s="11" t="s">
        <v>45</v>
      </c>
      <c r="B73" s="18"/>
      <c r="C73" s="17"/>
      <c r="D73" s="17"/>
      <c r="E73" s="16"/>
    </row>
    <row r="74" spans="1:5" x14ac:dyDescent="0.2">
      <c r="A74" s="28" t="s">
        <v>5</v>
      </c>
      <c r="B74" s="28" t="s">
        <v>2</v>
      </c>
      <c r="C74" s="28" t="s">
        <v>8</v>
      </c>
      <c r="D74" s="28" t="s">
        <v>19</v>
      </c>
      <c r="E74" s="28" t="s">
        <v>4</v>
      </c>
    </row>
    <row r="75" spans="1:5" ht="15.75" thickBot="1" x14ac:dyDescent="0.35">
      <c r="A75" s="31">
        <v>0.01</v>
      </c>
      <c r="B75" s="32">
        <v>15</v>
      </c>
      <c r="C75" s="32">
        <v>3000000</v>
      </c>
      <c r="D75" s="35">
        <v>-0.05</v>
      </c>
      <c r="E75" s="34">
        <f>+(C75/(1+A75))*(((1+A75)^B75*(A75-D75))/((1+A75)^B75-(1+D75)^B75))</f>
        <v>296562.94146473019</v>
      </c>
    </row>
    <row r="76" spans="1:5" ht="13.5" thickBot="1" x14ac:dyDescent="0.25"/>
    <row r="77" spans="1:5" ht="33.75" customHeight="1" x14ac:dyDescent="0.2">
      <c r="A77" s="178" t="s">
        <v>44</v>
      </c>
      <c r="B77" s="179"/>
      <c r="C77" s="179"/>
      <c r="D77" s="179"/>
      <c r="E77" s="180"/>
    </row>
    <row r="78" spans="1:5" ht="15" x14ac:dyDescent="0.3">
      <c r="A78" s="11" t="s">
        <v>0</v>
      </c>
      <c r="B78" s="19"/>
      <c r="C78" s="17"/>
      <c r="D78" s="17"/>
      <c r="E78" s="16"/>
    </row>
    <row r="79" spans="1:5" ht="15" x14ac:dyDescent="0.3">
      <c r="A79" s="11" t="s">
        <v>40</v>
      </c>
      <c r="B79" s="18"/>
      <c r="C79" s="17"/>
      <c r="D79" s="17"/>
      <c r="E79" s="16"/>
    </row>
    <row r="80" spans="1:5" x14ac:dyDescent="0.2">
      <c r="A80" s="28" t="s">
        <v>5</v>
      </c>
      <c r="B80" s="28" t="s">
        <v>2</v>
      </c>
      <c r="C80" s="28" t="s">
        <v>1</v>
      </c>
      <c r="D80" s="28" t="s">
        <v>19</v>
      </c>
      <c r="E80" s="28" t="s">
        <v>4</v>
      </c>
    </row>
    <row r="81" spans="1:5" ht="15.75" thickBot="1" x14ac:dyDescent="0.35">
      <c r="A81" s="31">
        <v>3.3300000000000003E-2</v>
      </c>
      <c r="B81" s="32">
        <v>8</v>
      </c>
      <c r="C81" s="32">
        <v>20000000</v>
      </c>
      <c r="D81" s="35">
        <v>0.1</v>
      </c>
      <c r="E81" s="34">
        <f>+C81*((A81-D81)/((1+A81)^B81-(1+D81)^B81))</f>
        <v>1580599.385196496</v>
      </c>
    </row>
    <row r="82" spans="1:5" ht="13.5" thickBot="1" x14ac:dyDescent="0.25"/>
    <row r="83" spans="1:5" ht="44.25" customHeight="1" x14ac:dyDescent="0.2">
      <c r="A83" s="178" t="s">
        <v>43</v>
      </c>
      <c r="B83" s="179"/>
      <c r="C83" s="179"/>
      <c r="D83" s="179"/>
      <c r="E83" s="180"/>
    </row>
    <row r="84" spans="1:5" ht="15" x14ac:dyDescent="0.3">
      <c r="A84" s="11" t="s">
        <v>0</v>
      </c>
      <c r="B84" s="19"/>
      <c r="C84" s="17"/>
      <c r="D84" s="17"/>
      <c r="E84" s="16"/>
    </row>
    <row r="85" spans="1:5" ht="15" x14ac:dyDescent="0.3">
      <c r="A85" s="11" t="s">
        <v>40</v>
      </c>
      <c r="B85" s="18"/>
      <c r="C85" s="17"/>
      <c r="D85" s="17"/>
      <c r="E85" s="16"/>
    </row>
    <row r="86" spans="1:5" x14ac:dyDescent="0.2">
      <c r="A86" s="28" t="s">
        <v>5</v>
      </c>
      <c r="B86" s="28" t="s">
        <v>2</v>
      </c>
      <c r="C86" s="28" t="s">
        <v>1</v>
      </c>
      <c r="D86" s="28" t="s">
        <v>19</v>
      </c>
      <c r="E86" s="28" t="s">
        <v>4</v>
      </c>
    </row>
    <row r="87" spans="1:5" ht="15.75" thickBot="1" x14ac:dyDescent="0.35">
      <c r="A87" s="31">
        <v>3.3300000000000003E-2</v>
      </c>
      <c r="B87" s="32">
        <v>8</v>
      </c>
      <c r="C87" s="32">
        <v>20000000</v>
      </c>
      <c r="D87" s="35">
        <v>-0.1</v>
      </c>
      <c r="E87" s="34">
        <f>+C87*((A87-D87)/((1+A87)^B87-(1+D87)^B87))</f>
        <v>3067407.1079985094</v>
      </c>
    </row>
    <row r="89" spans="1:5" ht="13.5" thickBot="1" x14ac:dyDescent="0.25"/>
    <row r="90" spans="1:5" ht="44.25" customHeight="1" x14ac:dyDescent="0.2">
      <c r="A90" s="178" t="s">
        <v>42</v>
      </c>
      <c r="B90" s="179"/>
      <c r="C90" s="179"/>
      <c r="D90" s="179"/>
      <c r="E90" s="180"/>
    </row>
    <row r="91" spans="1:5" ht="15" x14ac:dyDescent="0.3">
      <c r="A91" s="11" t="s">
        <v>0</v>
      </c>
      <c r="B91" s="19"/>
      <c r="C91" s="17"/>
      <c r="D91" s="17"/>
      <c r="E91" s="16"/>
    </row>
    <row r="92" spans="1:5" ht="15" x14ac:dyDescent="0.3">
      <c r="A92" s="11" t="s">
        <v>40</v>
      </c>
      <c r="B92" s="18"/>
      <c r="C92" s="17"/>
      <c r="D92" s="17"/>
      <c r="E92" s="16"/>
    </row>
    <row r="93" spans="1:5" x14ac:dyDescent="0.2">
      <c r="A93" s="28" t="s">
        <v>5</v>
      </c>
      <c r="B93" s="28" t="s">
        <v>2</v>
      </c>
      <c r="C93" s="28" t="s">
        <v>1</v>
      </c>
      <c r="D93" s="28" t="s">
        <v>19</v>
      </c>
      <c r="E93" s="28" t="s">
        <v>4</v>
      </c>
    </row>
    <row r="94" spans="1:5" ht="15.75" thickBot="1" x14ac:dyDescent="0.35">
      <c r="A94" s="31">
        <v>3.3300000000000003E-2</v>
      </c>
      <c r="B94" s="32">
        <v>8</v>
      </c>
      <c r="C94" s="32">
        <v>20000000</v>
      </c>
      <c r="D94" s="35">
        <v>0.1</v>
      </c>
      <c r="E94" s="34">
        <f>+(C94/(1+A94))*((A94-D94)/((1+A94)^B94-(1+D94)^B94))</f>
        <v>1529661.6521789373</v>
      </c>
    </row>
    <row r="95" spans="1:5" ht="13.5" thickBot="1" x14ac:dyDescent="0.25"/>
    <row r="96" spans="1:5" ht="45" customHeight="1" x14ac:dyDescent="0.2">
      <c r="A96" s="178" t="s">
        <v>41</v>
      </c>
      <c r="B96" s="179"/>
      <c r="C96" s="179"/>
      <c r="D96" s="179"/>
      <c r="E96" s="180"/>
    </row>
    <row r="97" spans="1:8" ht="15" x14ac:dyDescent="0.3">
      <c r="A97" s="11" t="s">
        <v>0</v>
      </c>
      <c r="B97" s="19"/>
      <c r="C97" s="17"/>
      <c r="D97" s="17"/>
      <c r="E97" s="16"/>
    </row>
    <row r="98" spans="1:8" ht="15" x14ac:dyDescent="0.3">
      <c r="A98" s="11" t="s">
        <v>40</v>
      </c>
      <c r="B98" s="18"/>
      <c r="C98" s="17"/>
      <c r="D98" s="17"/>
      <c r="E98" s="16"/>
    </row>
    <row r="99" spans="1:8" x14ac:dyDescent="0.2">
      <c r="A99" s="28" t="s">
        <v>5</v>
      </c>
      <c r="B99" s="28" t="s">
        <v>2</v>
      </c>
      <c r="C99" s="28" t="s">
        <v>1</v>
      </c>
      <c r="D99" s="28" t="s">
        <v>19</v>
      </c>
      <c r="E99" s="28" t="s">
        <v>4</v>
      </c>
    </row>
    <row r="100" spans="1:8" ht="15.75" thickBot="1" x14ac:dyDescent="0.35">
      <c r="A100" s="31">
        <v>3.3300000000000003E-2</v>
      </c>
      <c r="B100" s="32">
        <v>8</v>
      </c>
      <c r="C100" s="32">
        <v>20000000</v>
      </c>
      <c r="D100" s="35">
        <v>-0.1</v>
      </c>
      <c r="E100" s="34">
        <f>+(C100/(1+A100))*((A100-D100)/((1+A100)^B100-(1+D100)^B100))</f>
        <v>2968554.251426022</v>
      </c>
    </row>
    <row r="102" spans="1:8" ht="30.75" customHeight="1" x14ac:dyDescent="0.2">
      <c r="A102" s="194" t="s">
        <v>79</v>
      </c>
      <c r="B102" s="195"/>
      <c r="C102" s="195"/>
      <c r="D102" s="195"/>
      <c r="E102" s="195"/>
      <c r="F102" s="195"/>
      <c r="G102" s="195"/>
    </row>
    <row r="103" spans="1:8" ht="15" x14ac:dyDescent="0.3">
      <c r="A103" s="47" t="s">
        <v>0</v>
      </c>
      <c r="B103" s="48"/>
      <c r="C103" s="49"/>
      <c r="D103" s="49"/>
      <c r="E103" s="49"/>
      <c r="F103" s="50"/>
      <c r="G103" s="51"/>
    </row>
    <row r="104" spans="1:8" ht="15" x14ac:dyDescent="0.3">
      <c r="A104" s="52" t="s">
        <v>81</v>
      </c>
      <c r="B104" s="53"/>
      <c r="C104" s="54"/>
      <c r="D104" s="54"/>
      <c r="E104" s="54"/>
      <c r="F104" s="55"/>
      <c r="G104" s="56"/>
    </row>
    <row r="105" spans="1:8" x14ac:dyDescent="0.2">
      <c r="A105" s="29" t="s">
        <v>5</v>
      </c>
      <c r="B105" s="28" t="s">
        <v>2</v>
      </c>
      <c r="C105" s="29" t="s">
        <v>62</v>
      </c>
      <c r="D105" s="29" t="s">
        <v>63</v>
      </c>
      <c r="E105" s="29" t="s">
        <v>4</v>
      </c>
      <c r="F105" s="29" t="s">
        <v>83</v>
      </c>
      <c r="G105" s="29" t="s">
        <v>8</v>
      </c>
    </row>
    <row r="106" spans="1:8" ht="15.75" thickBot="1" x14ac:dyDescent="0.35">
      <c r="A106" s="42">
        <v>2.5000000000000001E-2</v>
      </c>
      <c r="B106" s="43">
        <v>21</v>
      </c>
      <c r="C106" s="43">
        <v>3</v>
      </c>
      <c r="D106" s="43">
        <v>18</v>
      </c>
      <c r="E106" s="43">
        <v>800000</v>
      </c>
      <c r="F106" s="59">
        <v>0.02</v>
      </c>
      <c r="G106" s="34">
        <f>E106/(A106-F106)*((((1+A106)^D106)-(1+F106)^D106))/((1+A106)^D106)*(1/(1+A106)^C106)</f>
        <v>12518589.198015081</v>
      </c>
    </row>
    <row r="108" spans="1:8" ht="36.75" customHeight="1" x14ac:dyDescent="0.25">
      <c r="A108" s="189" t="s">
        <v>80</v>
      </c>
      <c r="B108" s="190"/>
      <c r="C108" s="190"/>
      <c r="D108" s="190"/>
      <c r="E108" s="190"/>
      <c r="F108" s="190"/>
      <c r="G108" s="191"/>
      <c r="H108"/>
    </row>
    <row r="109" spans="1:8" ht="15.75" x14ac:dyDescent="0.3">
      <c r="A109" s="47" t="s">
        <v>0</v>
      </c>
      <c r="B109" s="48"/>
      <c r="C109" s="49"/>
      <c r="D109" s="49"/>
      <c r="E109" s="49"/>
      <c r="F109" s="50"/>
      <c r="G109" s="51"/>
      <c r="H109"/>
    </row>
    <row r="110" spans="1:8" ht="15.75" x14ac:dyDescent="0.3">
      <c r="A110" s="52" t="s">
        <v>82</v>
      </c>
      <c r="B110" s="53"/>
      <c r="C110" s="54"/>
      <c r="D110" s="54"/>
      <c r="E110" s="54"/>
      <c r="F110" s="55"/>
      <c r="G110" s="56"/>
      <c r="H110"/>
    </row>
    <row r="111" spans="1:8" x14ac:dyDescent="0.2">
      <c r="A111" s="29" t="s">
        <v>5</v>
      </c>
      <c r="B111" s="28" t="s">
        <v>2</v>
      </c>
      <c r="C111" s="29" t="s">
        <v>62</v>
      </c>
      <c r="D111" s="29" t="s">
        <v>63</v>
      </c>
      <c r="E111" s="29" t="s">
        <v>83</v>
      </c>
      <c r="F111" s="29" t="s">
        <v>8</v>
      </c>
      <c r="G111" s="29" t="s">
        <v>4</v>
      </c>
    </row>
    <row r="112" spans="1:8" ht="15" x14ac:dyDescent="0.3">
      <c r="A112" s="61">
        <v>0.1</v>
      </c>
      <c r="B112" s="60">
        <v>12</v>
      </c>
      <c r="C112" s="43">
        <v>2</v>
      </c>
      <c r="D112" s="43">
        <v>10</v>
      </c>
      <c r="E112" s="58">
        <v>0.08</v>
      </c>
      <c r="F112" s="43">
        <v>30000000</v>
      </c>
      <c r="G112" s="57">
        <f>F112*(1+A112)^C112*(A112-E112)*(((1+A112)^D112)/(((1+A112)^D112)-((1+E112)^D112)))</f>
        <v>4330683.9927468207</v>
      </c>
    </row>
  </sheetData>
  <mergeCells count="19">
    <mergeCell ref="A102:G102"/>
    <mergeCell ref="A108:G108"/>
    <mergeCell ref="A3:E3"/>
    <mergeCell ref="A27:E27"/>
    <mergeCell ref="A9:E9"/>
    <mergeCell ref="A96:E96"/>
    <mergeCell ref="A1:E1"/>
    <mergeCell ref="A90:E90"/>
    <mergeCell ref="A15:E15"/>
    <mergeCell ref="A21:E21"/>
    <mergeCell ref="A40:E40"/>
    <mergeCell ref="A46:E46"/>
    <mergeCell ref="A59:E59"/>
    <mergeCell ref="A53:E53"/>
    <mergeCell ref="A33:E33"/>
    <mergeCell ref="A65:E65"/>
    <mergeCell ref="A71:E71"/>
    <mergeCell ref="A77:E77"/>
    <mergeCell ref="A83:E8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99084444715716"/>
  </sheetPr>
  <dimension ref="D1:T45"/>
  <sheetViews>
    <sheetView showGridLines="0" showRowColHeaders="0" zoomScale="140" zoomScaleNormal="140" workbookViewId="0"/>
  </sheetViews>
  <sheetFormatPr baseColWidth="10" defaultRowHeight="15" x14ac:dyDescent="0.25"/>
  <cols>
    <col min="5" max="5" width="28.42578125" bestFit="1" customWidth="1"/>
    <col min="7" max="7" width="13" customWidth="1"/>
    <col min="12" max="12" width="8.5703125" bestFit="1" customWidth="1"/>
    <col min="13" max="20" width="11.42578125" customWidth="1"/>
  </cols>
  <sheetData>
    <row r="1" spans="4:12" ht="15.75" thickBot="1" x14ac:dyDescent="0.3"/>
    <row r="2" spans="4:12" x14ac:dyDescent="0.25">
      <c r="D2" s="62"/>
      <c r="E2" s="63"/>
      <c r="F2" s="63"/>
      <c r="G2" s="64"/>
    </row>
    <row r="3" spans="4:12" s="67" customFormat="1" ht="18.75" x14ac:dyDescent="0.3">
      <c r="D3" s="65"/>
      <c r="E3" s="196" t="s">
        <v>90</v>
      </c>
      <c r="F3" s="196"/>
      <c r="G3" s="66"/>
    </row>
    <row r="4" spans="4:12" s="71" customFormat="1" ht="9.75" customHeight="1" x14ac:dyDescent="0.35">
      <c r="D4" s="68"/>
      <c r="E4" s="69"/>
      <c r="F4" s="69"/>
      <c r="G4" s="70"/>
    </row>
    <row r="5" spans="4:12" s="71" customFormat="1" ht="21" x14ac:dyDescent="0.35">
      <c r="D5" s="68"/>
      <c r="E5" s="197" t="s">
        <v>91</v>
      </c>
      <c r="F5" s="197"/>
      <c r="G5" s="70"/>
      <c r="L5" s="72"/>
    </row>
    <row r="6" spans="4:12" ht="9.75" customHeight="1" thickBot="1" x14ac:dyDescent="0.3">
      <c r="D6" s="73"/>
      <c r="E6" s="74"/>
      <c r="F6" s="74"/>
      <c r="G6" s="75"/>
      <c r="L6" s="76"/>
    </row>
    <row r="7" spans="4:12" ht="16.5" thickTop="1" thickBot="1" x14ac:dyDescent="0.3">
      <c r="D7" s="73"/>
      <c r="E7" s="198" t="s">
        <v>92</v>
      </c>
      <c r="F7" s="199"/>
      <c r="G7" s="77"/>
      <c r="L7" s="76"/>
    </row>
    <row r="8" spans="4:12" ht="16.5" thickTop="1" thickBot="1" x14ac:dyDescent="0.3">
      <c r="D8" s="73"/>
      <c r="E8" s="78" t="s">
        <v>93</v>
      </c>
      <c r="F8" s="79">
        <v>0.185</v>
      </c>
      <c r="G8" s="75"/>
      <c r="L8" s="80"/>
    </row>
    <row r="9" spans="4:12" ht="16.5" hidden="1" thickTop="1" thickBot="1" x14ac:dyDescent="0.3">
      <c r="D9" s="73"/>
      <c r="E9" s="81" t="s">
        <v>94</v>
      </c>
      <c r="F9" s="82" t="s">
        <v>95</v>
      </c>
      <c r="G9" s="75"/>
      <c r="H9" t="s">
        <v>96</v>
      </c>
    </row>
    <row r="10" spans="4:12" ht="16.5" hidden="1" thickTop="1" thickBot="1" x14ac:dyDescent="0.3">
      <c r="D10" s="73"/>
      <c r="E10" s="81"/>
      <c r="F10" s="82"/>
      <c r="G10" s="75"/>
    </row>
    <row r="11" spans="4:12" ht="16.5" hidden="1" thickTop="1" thickBot="1" x14ac:dyDescent="0.3">
      <c r="D11" s="73"/>
      <c r="E11" s="81" t="s">
        <v>97</v>
      </c>
      <c r="F11" s="83" t="s">
        <v>98</v>
      </c>
      <c r="G11" s="75"/>
      <c r="H11" t="s">
        <v>98</v>
      </c>
    </row>
    <row r="12" spans="4:12" ht="16.5" hidden="1" thickTop="1" thickBot="1" x14ac:dyDescent="0.3">
      <c r="D12" s="73"/>
      <c r="E12" s="81"/>
      <c r="F12" s="81"/>
      <c r="G12" s="75"/>
    </row>
    <row r="13" spans="4:12" ht="16.5" thickTop="1" thickBot="1" x14ac:dyDescent="0.3">
      <c r="D13" s="73"/>
      <c r="E13" s="84" t="s">
        <v>99</v>
      </c>
      <c r="F13" s="85" t="s">
        <v>100</v>
      </c>
      <c r="G13" s="75"/>
    </row>
    <row r="14" spans="4:12" ht="15.75" thickTop="1" x14ac:dyDescent="0.25">
      <c r="D14" s="73"/>
      <c r="E14" s="74"/>
      <c r="F14" s="74"/>
      <c r="G14" s="75"/>
    </row>
    <row r="15" spans="4:12" ht="21" x14ac:dyDescent="0.35">
      <c r="D15" s="73"/>
      <c r="E15" s="200" t="s">
        <v>101</v>
      </c>
      <c r="F15" s="200"/>
      <c r="G15" s="75"/>
    </row>
    <row r="16" spans="4:12" ht="9" customHeight="1" thickBot="1" x14ac:dyDescent="0.3">
      <c r="D16" s="73"/>
      <c r="E16" s="74"/>
      <c r="F16" s="86"/>
      <c r="G16" s="75"/>
    </row>
    <row r="17" spans="4:20" ht="16.5" thickTop="1" thickBot="1" x14ac:dyDescent="0.3">
      <c r="D17" s="73"/>
      <c r="E17" s="87" t="s">
        <v>102</v>
      </c>
      <c r="F17" s="88">
        <f>((1+M39)^(1/O41)-1)*O41</f>
        <v>0.17094898062800468</v>
      </c>
      <c r="G17" s="89"/>
    </row>
    <row r="18" spans="4:20" ht="16.5" thickTop="1" thickBot="1" x14ac:dyDescent="0.3">
      <c r="D18" s="73"/>
      <c r="E18" s="90" t="s">
        <v>103</v>
      </c>
      <c r="F18" s="88">
        <f>+(1+M39)^(1/O41)-1</f>
        <v>1.4245748385667056E-2</v>
      </c>
      <c r="G18" s="89"/>
    </row>
    <row r="19" spans="4:20" ht="16.5" thickTop="1" thickBot="1" x14ac:dyDescent="0.3">
      <c r="D19" s="73"/>
      <c r="E19" s="90" t="s">
        <v>104</v>
      </c>
      <c r="F19" s="88">
        <f>+F18/(1+F18)</f>
        <v>1.4045657483249423E-2</v>
      </c>
      <c r="G19" s="89"/>
    </row>
    <row r="20" spans="4:20" ht="16.5" thickTop="1" thickBot="1" x14ac:dyDescent="0.3">
      <c r="D20" s="73"/>
      <c r="E20" s="87" t="s">
        <v>105</v>
      </c>
      <c r="F20" s="88">
        <f>+F19*O41</f>
        <v>0.16854788979899307</v>
      </c>
      <c r="G20" s="89"/>
    </row>
    <row r="21" spans="4:20" ht="16.5" thickTop="1" thickBot="1" x14ac:dyDescent="0.3">
      <c r="D21" s="91"/>
      <c r="E21" s="92"/>
      <c r="F21" s="93"/>
      <c r="G21" s="94"/>
    </row>
    <row r="22" spans="4:20" x14ac:dyDescent="0.25">
      <c r="E22" s="95"/>
      <c r="F22" s="96"/>
      <c r="G22" s="80"/>
    </row>
    <row r="23" spans="4:20" x14ac:dyDescent="0.25">
      <c r="G23" s="80"/>
      <c r="I23" s="80"/>
      <c r="J23" s="80"/>
    </row>
    <row r="30" spans="4:20" ht="45" x14ac:dyDescent="0.35">
      <c r="M30" s="72"/>
      <c r="N30" s="71"/>
      <c r="O30" s="71"/>
      <c r="P30" s="97" t="s">
        <v>94</v>
      </c>
      <c r="Q30" s="97" t="s">
        <v>97</v>
      </c>
      <c r="R30" s="71"/>
      <c r="S30" s="97" t="s">
        <v>106</v>
      </c>
      <c r="T30" s="97" t="s">
        <v>107</v>
      </c>
    </row>
    <row r="31" spans="4:20" x14ac:dyDescent="0.25">
      <c r="M31" s="76"/>
      <c r="P31" t="s">
        <v>96</v>
      </c>
      <c r="Q31" t="s">
        <v>98</v>
      </c>
      <c r="S31" t="s">
        <v>108</v>
      </c>
      <c r="T31">
        <v>365</v>
      </c>
    </row>
    <row r="32" spans="4:20" x14ac:dyDescent="0.25">
      <c r="M32" s="98">
        <f>+N40</f>
        <v>0.17094898062800468</v>
      </c>
      <c r="P32" t="s">
        <v>95</v>
      </c>
      <c r="Q32" t="s">
        <v>109</v>
      </c>
      <c r="S32" t="s">
        <v>100</v>
      </c>
      <c r="T32">
        <v>12</v>
      </c>
    </row>
    <row r="33" spans="11:20" x14ac:dyDescent="0.25">
      <c r="S33" t="s">
        <v>110</v>
      </c>
      <c r="T33">
        <v>6</v>
      </c>
    </row>
    <row r="34" spans="11:20" x14ac:dyDescent="0.25">
      <c r="M34" s="76" t="s">
        <v>111</v>
      </c>
      <c r="N34" s="76" t="s">
        <v>112</v>
      </c>
      <c r="O34" s="76" t="s">
        <v>113</v>
      </c>
      <c r="S34" t="s">
        <v>114</v>
      </c>
      <c r="T34">
        <v>4</v>
      </c>
    </row>
    <row r="35" spans="11:20" x14ac:dyDescent="0.25">
      <c r="M35" s="80">
        <f>+IF(O35&gt;0,(O35/N41+1)^N41-1,0)</f>
        <v>0</v>
      </c>
      <c r="N35" s="80">
        <f>+IF(AND($H$9=P31,$H$11=Q31)=TRUE,F17,0)</f>
        <v>0.17094898062800468</v>
      </c>
      <c r="O35" s="80">
        <f>+IF(AND($F$9=P31,$F$11=Q31)=TRUE,$F$8,0)</f>
        <v>0</v>
      </c>
      <c r="S35" t="s">
        <v>115</v>
      </c>
      <c r="T35">
        <v>2</v>
      </c>
    </row>
    <row r="36" spans="11:20" x14ac:dyDescent="0.25">
      <c r="M36" s="80">
        <f>+IF(O36&gt;0,(O36+1)^N41-1,0)</f>
        <v>0.18500000000000005</v>
      </c>
      <c r="N36" s="80">
        <f>+IF(AND($H$9=P32,$H$11=Q31)=TRUE,F18,0)</f>
        <v>0</v>
      </c>
      <c r="O36" s="80">
        <f>+IF(AND($F$9=P32,$F$11=Q31)=TRUE,$F$8,0)</f>
        <v>0.185</v>
      </c>
      <c r="S36" t="s">
        <v>116</v>
      </c>
      <c r="T36">
        <v>1</v>
      </c>
    </row>
    <row r="37" spans="11:20" x14ac:dyDescent="0.25">
      <c r="M37" s="80">
        <f>IF(O37&gt;0,((O37/(1-O37))+1)^N41-1,0)</f>
        <v>0</v>
      </c>
      <c r="N37" s="80">
        <f>+IF(AND($H$9=P32,$H$11=Q32)=TRUE,F19,0)</f>
        <v>0</v>
      </c>
      <c r="O37" s="80">
        <f>+IF(AND($F$9=P32,$F$11=Q32)=TRUE,$F$8,0)</f>
        <v>0</v>
      </c>
    </row>
    <row r="38" spans="11:20" x14ac:dyDescent="0.25">
      <c r="M38" s="80">
        <f>+IF(O38&gt;0,((O38/N41)/(1-O38/N41)+1)^N41-1,0)</f>
        <v>0</v>
      </c>
      <c r="N38" s="80">
        <f>+IF(AND($H$9=P31,$H$11=Q32)=TRUE,F20,0)</f>
        <v>0</v>
      </c>
      <c r="O38" s="80">
        <f>+IF(AND($F$9=P31,$F$11=Q32)=TRUE,$F$8,0)</f>
        <v>0</v>
      </c>
    </row>
    <row r="39" spans="11:20" x14ac:dyDescent="0.25">
      <c r="M39" s="80">
        <f>SUM(M35:M38)</f>
        <v>0.18500000000000005</v>
      </c>
      <c r="N39" s="80"/>
      <c r="O39" s="80"/>
    </row>
    <row r="40" spans="11:20" x14ac:dyDescent="0.25">
      <c r="K40" t="s">
        <v>117</v>
      </c>
      <c r="L40" s="80"/>
      <c r="M40" s="80"/>
      <c r="N40" s="80">
        <f>SUM(N35:N38)</f>
        <v>0.17094898062800468</v>
      </c>
      <c r="O40" s="80"/>
    </row>
    <row r="41" spans="11:20" x14ac:dyDescent="0.25">
      <c r="K41" t="s">
        <v>118</v>
      </c>
      <c r="N41">
        <f>+VLOOKUP(O45,S31:T36,2,0)</f>
        <v>1</v>
      </c>
      <c r="O41">
        <f>+VLOOKUP(F13,S31:T36,2,0)</f>
        <v>12</v>
      </c>
    </row>
    <row r="45" spans="11:20" x14ac:dyDescent="0.25">
      <c r="N45" t="s">
        <v>119</v>
      </c>
      <c r="O45" t="s">
        <v>116</v>
      </c>
    </row>
  </sheetData>
  <mergeCells count="4">
    <mergeCell ref="E3:F3"/>
    <mergeCell ref="E5:F5"/>
    <mergeCell ref="E7:F7"/>
    <mergeCell ref="E15:F15"/>
  </mergeCells>
  <dataValidations count="3">
    <dataValidation type="list" allowBlank="1" showInputMessage="1" showErrorMessage="1" sqref="O45 L44 F13">
      <formula1>$S$31:$S$36</formula1>
    </dataValidation>
    <dataValidation type="list" allowBlank="1" showInputMessage="1" showErrorMessage="1" sqref="F9 H9:L9">
      <formula1>$P$31:$P$32</formula1>
    </dataValidation>
    <dataValidation type="list" allowBlank="1" showInputMessage="1" showErrorMessage="1" sqref="F11:F12 H11:L12">
      <formula1>$Q$31:$Q$32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D2:J43"/>
  <sheetViews>
    <sheetView showGridLines="0" showRowColHeaders="0" zoomScale="140" zoomScaleNormal="140" workbookViewId="0"/>
  </sheetViews>
  <sheetFormatPr baseColWidth="10" defaultRowHeight="15" x14ac:dyDescent="0.25"/>
  <cols>
    <col min="4" max="4" width="10.28515625" customWidth="1"/>
    <col min="5" max="5" width="27.28515625" bestFit="1" customWidth="1"/>
    <col min="9" max="9" width="11.42578125" customWidth="1"/>
  </cols>
  <sheetData>
    <row r="2" spans="4:7" ht="15.75" thickBot="1" x14ac:dyDescent="0.3"/>
    <row r="3" spans="4:7" x14ac:dyDescent="0.25">
      <c r="D3" s="62"/>
      <c r="E3" s="63"/>
      <c r="F3" s="63"/>
      <c r="G3" s="64"/>
    </row>
    <row r="4" spans="4:7" ht="18.75" customHeight="1" x14ac:dyDescent="0.3">
      <c r="D4" s="73"/>
      <c r="E4" s="196" t="s">
        <v>90</v>
      </c>
      <c r="F4" s="196"/>
      <c r="G4" s="75"/>
    </row>
    <row r="5" spans="4:7" ht="10.5" customHeight="1" x14ac:dyDescent="0.35">
      <c r="D5" s="73"/>
      <c r="E5" s="69"/>
      <c r="F5" s="69"/>
      <c r="G5" s="75"/>
    </row>
    <row r="6" spans="4:7" ht="18.75" x14ac:dyDescent="0.3">
      <c r="D6" s="73"/>
      <c r="E6" s="197" t="s">
        <v>120</v>
      </c>
      <c r="F6" s="197"/>
      <c r="G6" s="75"/>
    </row>
    <row r="7" spans="4:7" ht="9" customHeight="1" thickBot="1" x14ac:dyDescent="0.3">
      <c r="D7" s="73"/>
      <c r="E7" s="74"/>
      <c r="F7" s="86"/>
      <c r="G7" s="75"/>
    </row>
    <row r="8" spans="4:7" ht="16.5" thickTop="1" thickBot="1" x14ac:dyDescent="0.3">
      <c r="D8" s="73"/>
      <c r="E8" s="198" t="s">
        <v>92</v>
      </c>
      <c r="F8" s="199"/>
      <c r="G8" s="75"/>
    </row>
    <row r="9" spans="4:7" ht="16.5" thickTop="1" thickBot="1" x14ac:dyDescent="0.3">
      <c r="D9" s="73"/>
      <c r="E9" s="84" t="s">
        <v>121</v>
      </c>
      <c r="F9" s="99">
        <v>0.18</v>
      </c>
      <c r="G9" s="75"/>
    </row>
    <row r="10" spans="4:7" ht="16.5" hidden="1" thickTop="1" thickBot="1" x14ac:dyDescent="0.3">
      <c r="D10" s="73"/>
      <c r="E10" s="84" t="s">
        <v>94</v>
      </c>
      <c r="F10" s="81" t="s">
        <v>96</v>
      </c>
      <c r="G10" s="75"/>
    </row>
    <row r="11" spans="4:7" ht="16.5" hidden="1" thickTop="1" thickBot="1" x14ac:dyDescent="0.3">
      <c r="D11" s="73"/>
      <c r="E11" s="81"/>
      <c r="F11" s="81"/>
      <c r="G11" s="75"/>
    </row>
    <row r="12" spans="4:7" ht="16.5" thickTop="1" thickBot="1" x14ac:dyDescent="0.3">
      <c r="D12" s="73"/>
      <c r="E12" s="84" t="s">
        <v>99</v>
      </c>
      <c r="F12" s="100" t="s">
        <v>100</v>
      </c>
      <c r="G12" s="75"/>
    </row>
    <row r="13" spans="4:7" ht="16.5" hidden="1" thickTop="1" thickBot="1" x14ac:dyDescent="0.3">
      <c r="D13" s="73"/>
      <c r="E13" s="81"/>
      <c r="F13" s="81"/>
      <c r="G13" s="75"/>
    </row>
    <row r="14" spans="4:7" ht="16.5" thickTop="1" thickBot="1" x14ac:dyDescent="0.3">
      <c r="D14" s="73"/>
      <c r="E14" s="84" t="s">
        <v>97</v>
      </c>
      <c r="F14" s="100" t="s">
        <v>98</v>
      </c>
      <c r="G14" s="75"/>
    </row>
    <row r="15" spans="4:7" ht="15.75" thickTop="1" x14ac:dyDescent="0.25">
      <c r="D15" s="73"/>
      <c r="E15" s="74"/>
      <c r="F15" s="74"/>
      <c r="G15" s="75"/>
    </row>
    <row r="16" spans="4:7" ht="21" x14ac:dyDescent="0.35">
      <c r="D16" s="73"/>
      <c r="E16" s="200" t="s">
        <v>112</v>
      </c>
      <c r="F16" s="200"/>
      <c r="G16" s="75"/>
    </row>
    <row r="17" spans="4:10" ht="8.25" customHeight="1" thickBot="1" x14ac:dyDescent="0.3">
      <c r="D17" s="73"/>
      <c r="E17" s="74"/>
      <c r="F17" s="74"/>
      <c r="G17" s="75"/>
    </row>
    <row r="18" spans="4:10" ht="16.5" thickTop="1" thickBot="1" x14ac:dyDescent="0.3">
      <c r="D18" s="73"/>
      <c r="E18" s="90" t="s">
        <v>93</v>
      </c>
      <c r="F18" s="101">
        <f>SUM(I21:I24)</f>
        <v>0.19561817146153326</v>
      </c>
      <c r="G18" s="75"/>
    </row>
    <row r="19" spans="4:10" ht="16.5" thickTop="1" thickBot="1" x14ac:dyDescent="0.3">
      <c r="D19" s="91"/>
      <c r="E19" s="102"/>
      <c r="F19" s="102"/>
      <c r="G19" s="103"/>
    </row>
    <row r="20" spans="4:10" hidden="1" x14ac:dyDescent="0.25">
      <c r="F20" s="76" t="s">
        <v>113</v>
      </c>
      <c r="G20" s="76" t="s">
        <v>111</v>
      </c>
      <c r="H20" s="76" t="s">
        <v>122</v>
      </c>
      <c r="I20" s="76" t="s">
        <v>112</v>
      </c>
      <c r="J20" s="76" t="s">
        <v>123</v>
      </c>
    </row>
    <row r="21" spans="4:10" hidden="1" x14ac:dyDescent="0.25">
      <c r="E21" t="s">
        <v>102</v>
      </c>
      <c r="F21" s="80">
        <f>+IF(AND($F$10=G35,$F$14=H35)=TRUE,$F$9,0)</f>
        <v>0.18</v>
      </c>
      <c r="G21" s="80">
        <f>+IF(F21&gt;0,(F21/F26+1)^F26-1,0)</f>
        <v>0.19561817146153326</v>
      </c>
      <c r="H21" s="80">
        <f>((1+G25)^(1/H26)-1)*H26</f>
        <v>0.19561817146153326</v>
      </c>
      <c r="I21" s="80">
        <f>+IF(AND($J$22=G35,$J$26=H35)=TRUE,H21,0)</f>
        <v>0</v>
      </c>
      <c r="J21" s="80">
        <f>+F18</f>
        <v>0.19561817146153326</v>
      </c>
    </row>
    <row r="22" spans="4:10" hidden="1" x14ac:dyDescent="0.25">
      <c r="E22" s="104" t="s">
        <v>103</v>
      </c>
      <c r="F22" s="80">
        <f>+IF(AND($F$10=G36,$F$14=H35)=TRUE,$F$9,0)</f>
        <v>0</v>
      </c>
      <c r="G22" s="80">
        <f>+IF(F22&gt;0,(F22+1)^F26-1,0)</f>
        <v>0</v>
      </c>
      <c r="H22" s="80">
        <f>+(1+G25)^(1/H26)-1</f>
        <v>0.19561817146153326</v>
      </c>
      <c r="I22" s="80">
        <f>+IF(AND($J$22=G36,$J$26=H35)=TRUE,H22,0)</f>
        <v>0.19561817146153326</v>
      </c>
      <c r="J22" t="s">
        <v>95</v>
      </c>
    </row>
    <row r="23" spans="4:10" hidden="1" x14ac:dyDescent="0.25">
      <c r="E23" s="104" t="s">
        <v>104</v>
      </c>
      <c r="F23" s="80">
        <f>+IF(AND($F$10=G36,$F$14=H36)=TRUE,$F$9,0)</f>
        <v>0</v>
      </c>
      <c r="G23" s="80">
        <f>IF(F23&gt;0,((F23/(1-F23))+1)^F26-1,0)</f>
        <v>0</v>
      </c>
      <c r="H23" s="80">
        <f>+H22/(1+H22)</f>
        <v>0.16361257810460345</v>
      </c>
      <c r="I23" s="80">
        <f>+IF(AND($J$22=G36,$J$26=H36)=TRUE,H23,0)</f>
        <v>0</v>
      </c>
    </row>
    <row r="24" spans="4:10" hidden="1" x14ac:dyDescent="0.25">
      <c r="E24" t="s">
        <v>105</v>
      </c>
      <c r="F24" s="80">
        <f>+IF(AND($F$10=G35,$F$14=H36)=TRUE,$F$9,0)</f>
        <v>0</v>
      </c>
      <c r="G24" s="80">
        <f>+IF(F24&gt;0,((F24/F26)/(1-F24/F26)+1)^F26-1,0)</f>
        <v>0</v>
      </c>
      <c r="H24" s="80">
        <f>+H23*H26</f>
        <v>0.16361257810460345</v>
      </c>
      <c r="I24" s="80">
        <f>+IF(AND($J$22=G35,$J$26=H36)=TRUE,H24,0)</f>
        <v>0</v>
      </c>
      <c r="J24" t="s">
        <v>116</v>
      </c>
    </row>
    <row r="25" spans="4:10" hidden="1" x14ac:dyDescent="0.25">
      <c r="E25" t="s">
        <v>117</v>
      </c>
      <c r="F25" s="80"/>
      <c r="G25" s="80">
        <f>SUM(G21:G24)</f>
        <v>0.19561817146153326</v>
      </c>
      <c r="H25" s="80"/>
    </row>
    <row r="26" spans="4:10" hidden="1" x14ac:dyDescent="0.25">
      <c r="E26" t="s">
        <v>118</v>
      </c>
      <c r="F26">
        <f>+VLOOKUP(F12,E38:F43,2,0)</f>
        <v>12</v>
      </c>
      <c r="H26">
        <f>+VLOOKUP(J24,E38:F43,2,0)</f>
        <v>1</v>
      </c>
      <c r="J26" t="s">
        <v>98</v>
      </c>
    </row>
    <row r="34" spans="5:8" x14ac:dyDescent="0.25">
      <c r="G34" s="97" t="s">
        <v>94</v>
      </c>
      <c r="H34" s="97" t="s">
        <v>97</v>
      </c>
    </row>
    <row r="35" spans="5:8" x14ac:dyDescent="0.25">
      <c r="G35" t="s">
        <v>96</v>
      </c>
      <c r="H35" t="s">
        <v>98</v>
      </c>
    </row>
    <row r="36" spans="5:8" x14ac:dyDescent="0.25">
      <c r="G36" t="s">
        <v>95</v>
      </c>
      <c r="H36" t="s">
        <v>109</v>
      </c>
    </row>
    <row r="37" spans="5:8" ht="45" x14ac:dyDescent="0.25">
      <c r="E37" s="97" t="s">
        <v>106</v>
      </c>
      <c r="F37" s="97" t="s">
        <v>107</v>
      </c>
    </row>
    <row r="38" spans="5:8" x14ac:dyDescent="0.25">
      <c r="E38" t="s">
        <v>108</v>
      </c>
      <c r="F38">
        <v>365</v>
      </c>
    </row>
    <row r="39" spans="5:8" x14ac:dyDescent="0.25">
      <c r="E39" t="s">
        <v>100</v>
      </c>
      <c r="F39">
        <v>12</v>
      </c>
    </row>
    <row r="40" spans="5:8" x14ac:dyDescent="0.25">
      <c r="E40" t="s">
        <v>110</v>
      </c>
      <c r="F40">
        <v>6</v>
      </c>
    </row>
    <row r="41" spans="5:8" x14ac:dyDescent="0.25">
      <c r="E41" t="s">
        <v>114</v>
      </c>
      <c r="F41">
        <v>4</v>
      </c>
    </row>
    <row r="42" spans="5:8" x14ac:dyDescent="0.25">
      <c r="E42" t="s">
        <v>115</v>
      </c>
      <c r="F42">
        <v>2</v>
      </c>
    </row>
    <row r="43" spans="5:8" x14ac:dyDescent="0.25">
      <c r="E43" t="s">
        <v>116</v>
      </c>
      <c r="F43">
        <v>1</v>
      </c>
    </row>
  </sheetData>
  <sheetProtection selectLockedCells="1"/>
  <mergeCells count="4">
    <mergeCell ref="E4:F4"/>
    <mergeCell ref="E6:F6"/>
    <mergeCell ref="E8:F8"/>
    <mergeCell ref="E16:F16"/>
  </mergeCells>
  <dataValidations count="3">
    <dataValidation type="list" allowBlank="1" showInputMessage="1" showErrorMessage="1" sqref="J22 F10">
      <formula1>$G$35:$G$36</formula1>
    </dataValidation>
    <dataValidation type="list" allowBlank="1" showInputMessage="1" showErrorMessage="1" sqref="J26 F14">
      <formula1>$H$35:$H$36</formula1>
    </dataValidation>
    <dataValidation type="list" allowBlank="1" showInputMessage="1" showErrorMessage="1" sqref="J24 F12">
      <formula1>$E$38:$E$43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E21"/>
  <sheetViews>
    <sheetView showGridLines="0" zoomScale="110" zoomScaleNormal="110" workbookViewId="0">
      <selection activeCell="A4" sqref="A4"/>
    </sheetView>
  </sheetViews>
  <sheetFormatPr baseColWidth="10" defaultRowHeight="15" x14ac:dyDescent="0.25"/>
  <cols>
    <col min="1" max="1" width="14.42578125" bestFit="1" customWidth="1"/>
    <col min="2" max="2" width="10.7109375" bestFit="1" customWidth="1"/>
    <col min="3" max="3" width="10.28515625" bestFit="1" customWidth="1"/>
    <col min="4" max="5" width="12.85546875" bestFit="1" customWidth="1"/>
    <col min="6" max="6" width="20.5703125" bestFit="1" customWidth="1"/>
  </cols>
  <sheetData>
    <row r="1" spans="1:5" ht="33.75" customHeight="1" x14ac:dyDescent="0.25">
      <c r="A1" s="202" t="s">
        <v>124</v>
      </c>
      <c r="B1" s="203"/>
      <c r="C1" s="203"/>
      <c r="D1" s="203"/>
      <c r="E1" s="203"/>
    </row>
    <row r="2" spans="1:5" ht="15" customHeight="1" x14ac:dyDescent="0.25">
      <c r="A2" s="204" t="s">
        <v>125</v>
      </c>
      <c r="B2" s="204" t="s">
        <v>5</v>
      </c>
      <c r="C2" s="204" t="s">
        <v>2</v>
      </c>
      <c r="D2" s="206" t="s">
        <v>64</v>
      </c>
      <c r="E2" s="206"/>
    </row>
    <row r="3" spans="1:5" x14ac:dyDescent="0.25">
      <c r="A3" s="205"/>
      <c r="B3" s="205"/>
      <c r="C3" s="205"/>
      <c r="D3" s="105" t="s">
        <v>126</v>
      </c>
      <c r="E3" s="105" t="s">
        <v>127</v>
      </c>
    </row>
    <row r="4" spans="1:5" ht="15.75" x14ac:dyDescent="0.3">
      <c r="A4" s="106">
        <v>15000000</v>
      </c>
      <c r="B4" s="107">
        <v>0.02</v>
      </c>
      <c r="C4" s="108">
        <v>12</v>
      </c>
      <c r="D4" s="109">
        <f>(((A4*((B4*(1+B4)^(C4))))/((1+B4)^(C4)-1)))</f>
        <v>1418393.9493442725</v>
      </c>
      <c r="E4" s="44">
        <f>+PMT(B4,C4,-A4)</f>
        <v>1418393.949344272</v>
      </c>
    </row>
    <row r="7" spans="1:5" x14ac:dyDescent="0.25">
      <c r="A7" s="201" t="s">
        <v>128</v>
      </c>
      <c r="B7" s="201"/>
      <c r="C7" s="201"/>
      <c r="D7" s="201"/>
      <c r="E7" s="201"/>
    </row>
    <row r="8" spans="1:5" s="113" customFormat="1" x14ac:dyDescent="0.25">
      <c r="A8" s="110" t="s">
        <v>129</v>
      </c>
      <c r="B8" s="111" t="s">
        <v>130</v>
      </c>
      <c r="C8" s="112" t="s">
        <v>131</v>
      </c>
      <c r="D8" s="112" t="s">
        <v>132</v>
      </c>
      <c r="E8" s="112" t="s">
        <v>133</v>
      </c>
    </row>
    <row r="9" spans="1:5" x14ac:dyDescent="0.25">
      <c r="A9" s="114">
        <v>0</v>
      </c>
      <c r="B9" s="115"/>
      <c r="C9" s="115"/>
      <c r="D9" s="115"/>
      <c r="E9" s="116">
        <f>+$A$4</f>
        <v>15000000</v>
      </c>
    </row>
    <row r="10" spans="1:5" x14ac:dyDescent="0.25">
      <c r="A10" s="114">
        <v>1</v>
      </c>
      <c r="B10" s="117">
        <f t="shared" ref="B10:B21" si="0">+$D$4</f>
        <v>1418393.9493442725</v>
      </c>
      <c r="C10" s="117">
        <f>+E9*$B$4</f>
        <v>300000</v>
      </c>
      <c r="D10" s="117">
        <f>+B10-C10</f>
        <v>1118393.9493442725</v>
      </c>
      <c r="E10" s="116">
        <f>+E9-D10</f>
        <v>13881606.050655728</v>
      </c>
    </row>
    <row r="11" spans="1:5" x14ac:dyDescent="0.25">
      <c r="A11" s="114">
        <v>2</v>
      </c>
      <c r="B11" s="117">
        <f t="shared" si="0"/>
        <v>1418393.9493442725</v>
      </c>
      <c r="C11" s="117">
        <f t="shared" ref="C11:C21" si="1">+E10*$B$4</f>
        <v>277632.12101311458</v>
      </c>
      <c r="D11" s="117">
        <f t="shared" ref="D11:D21" si="2">+B11-C11</f>
        <v>1140761.828331158</v>
      </c>
      <c r="E11" s="116">
        <f t="shared" ref="E11:E21" si="3">+E10-D11</f>
        <v>12740844.222324571</v>
      </c>
    </row>
    <row r="12" spans="1:5" x14ac:dyDescent="0.25">
      <c r="A12" s="114">
        <v>3</v>
      </c>
      <c r="B12" s="117">
        <f t="shared" si="0"/>
        <v>1418393.9493442725</v>
      </c>
      <c r="C12" s="117">
        <f t="shared" si="1"/>
        <v>254816.88444649143</v>
      </c>
      <c r="D12" s="117">
        <f t="shared" si="2"/>
        <v>1163577.064897781</v>
      </c>
      <c r="E12" s="116">
        <f t="shared" si="3"/>
        <v>11577267.157426789</v>
      </c>
    </row>
    <row r="13" spans="1:5" x14ac:dyDescent="0.25">
      <c r="A13" s="114">
        <v>4</v>
      </c>
      <c r="B13" s="117">
        <f t="shared" si="0"/>
        <v>1418393.9493442725</v>
      </c>
      <c r="C13" s="117">
        <f t="shared" si="1"/>
        <v>231545.34314853579</v>
      </c>
      <c r="D13" s="117">
        <f t="shared" si="2"/>
        <v>1186848.6061957367</v>
      </c>
      <c r="E13" s="116">
        <f t="shared" si="3"/>
        <v>10390418.551231053</v>
      </c>
    </row>
    <row r="14" spans="1:5" x14ac:dyDescent="0.25">
      <c r="A14" s="114">
        <v>5</v>
      </c>
      <c r="B14" s="117">
        <f t="shared" si="0"/>
        <v>1418393.9493442725</v>
      </c>
      <c r="C14" s="117">
        <f t="shared" si="1"/>
        <v>207808.37102462107</v>
      </c>
      <c r="D14" s="117">
        <f t="shared" si="2"/>
        <v>1210585.5783196515</v>
      </c>
      <c r="E14" s="116">
        <f t="shared" si="3"/>
        <v>9179832.9729114007</v>
      </c>
    </row>
    <row r="15" spans="1:5" x14ac:dyDescent="0.25">
      <c r="A15" s="114">
        <v>6</v>
      </c>
      <c r="B15" s="117">
        <f t="shared" si="0"/>
        <v>1418393.9493442725</v>
      </c>
      <c r="C15" s="117">
        <f t="shared" si="1"/>
        <v>183596.65945822801</v>
      </c>
      <c r="D15" s="117">
        <f t="shared" si="2"/>
        <v>1234797.2898860446</v>
      </c>
      <c r="E15" s="116">
        <f t="shared" si="3"/>
        <v>7945035.6830253564</v>
      </c>
    </row>
    <row r="16" spans="1:5" x14ac:dyDescent="0.25">
      <c r="A16" s="114">
        <v>7</v>
      </c>
      <c r="B16" s="117">
        <f t="shared" si="0"/>
        <v>1418393.9493442725</v>
      </c>
      <c r="C16" s="117">
        <f t="shared" si="1"/>
        <v>158900.71366050714</v>
      </c>
      <c r="D16" s="117">
        <f t="shared" si="2"/>
        <v>1259493.2356837653</v>
      </c>
      <c r="E16" s="116">
        <f t="shared" si="3"/>
        <v>6685542.4473415911</v>
      </c>
    </row>
    <row r="17" spans="1:5" x14ac:dyDescent="0.25">
      <c r="A17" s="114">
        <v>8</v>
      </c>
      <c r="B17" s="117">
        <f t="shared" si="0"/>
        <v>1418393.9493442725</v>
      </c>
      <c r="C17" s="117">
        <f t="shared" si="1"/>
        <v>133710.84894683183</v>
      </c>
      <c r="D17" s="117">
        <f t="shared" si="2"/>
        <v>1284683.1003974406</v>
      </c>
      <c r="E17" s="116">
        <f t="shared" si="3"/>
        <v>5400859.3469441505</v>
      </c>
    </row>
    <row r="18" spans="1:5" x14ac:dyDescent="0.25">
      <c r="A18" s="114">
        <v>9</v>
      </c>
      <c r="B18" s="117">
        <f t="shared" si="0"/>
        <v>1418393.9493442725</v>
      </c>
      <c r="C18" s="117">
        <f t="shared" si="1"/>
        <v>108017.18693888301</v>
      </c>
      <c r="D18" s="117">
        <f t="shared" si="2"/>
        <v>1310376.7624053895</v>
      </c>
      <c r="E18" s="116">
        <f t="shared" si="3"/>
        <v>4090482.5845387611</v>
      </c>
    </row>
    <row r="19" spans="1:5" x14ac:dyDescent="0.25">
      <c r="A19" s="114">
        <v>10</v>
      </c>
      <c r="B19" s="117">
        <f t="shared" si="0"/>
        <v>1418393.9493442725</v>
      </c>
      <c r="C19" s="117">
        <f t="shared" si="1"/>
        <v>81809.651690775223</v>
      </c>
      <c r="D19" s="117">
        <f t="shared" si="2"/>
        <v>1336584.2976534972</v>
      </c>
      <c r="E19" s="116">
        <f t="shared" si="3"/>
        <v>2753898.2868852639</v>
      </c>
    </row>
    <row r="20" spans="1:5" x14ac:dyDescent="0.25">
      <c r="A20" s="114">
        <v>11</v>
      </c>
      <c r="B20" s="117">
        <f t="shared" si="0"/>
        <v>1418393.9493442725</v>
      </c>
      <c r="C20" s="117">
        <f t="shared" si="1"/>
        <v>55077.965737705279</v>
      </c>
      <c r="D20" s="117">
        <f t="shared" si="2"/>
        <v>1363315.9836065671</v>
      </c>
      <c r="E20" s="116">
        <f t="shared" si="3"/>
        <v>1390582.3032786967</v>
      </c>
    </row>
    <row r="21" spans="1:5" x14ac:dyDescent="0.25">
      <c r="A21" s="114">
        <v>12</v>
      </c>
      <c r="B21" s="117">
        <f t="shared" si="0"/>
        <v>1418393.9493442725</v>
      </c>
      <c r="C21" s="117">
        <f t="shared" si="1"/>
        <v>27811.646065573936</v>
      </c>
      <c r="D21" s="117">
        <f t="shared" si="2"/>
        <v>1390582.3032786986</v>
      </c>
      <c r="E21" s="118">
        <f t="shared" si="3"/>
        <v>-1.862645149230957E-9</v>
      </c>
    </row>
  </sheetData>
  <sheetProtection selectLockedCells="1"/>
  <mergeCells count="6">
    <mergeCell ref="A7:E7"/>
    <mergeCell ref="A1:E1"/>
    <mergeCell ref="A2:A3"/>
    <mergeCell ref="B2:B3"/>
    <mergeCell ref="C2:C3"/>
    <mergeCell ref="D2:E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INDICE</vt:lpstr>
      <vt:lpstr>VENCIDA-ANTICIPADA</vt:lpstr>
      <vt:lpstr>DIFERIDA</vt:lpstr>
      <vt:lpstr>PERPETUA</vt:lpstr>
      <vt:lpstr>GRADIENTE ARITMETICO</vt:lpstr>
      <vt:lpstr>GRADIENTE GEOMETRICO</vt:lpstr>
      <vt:lpstr>TASA NOMINAL</vt:lpstr>
      <vt:lpstr>TASA EFECTIVA</vt:lpstr>
      <vt:lpstr>C.FIJA</vt:lpstr>
      <vt:lpstr>C.EXTRAS</vt:lpstr>
      <vt:lpstr>ANUALIDAD DIFERIDA</vt:lpstr>
      <vt:lpstr>GRAD. ARITMETICO </vt:lpstr>
      <vt:lpstr>GRAD. GEOMETRICO </vt:lpstr>
      <vt:lpstr>IND.CONVENIENCIA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Serna</dc:creator>
  <cp:lastModifiedBy>Rafael Serna</cp:lastModifiedBy>
  <dcterms:created xsi:type="dcterms:W3CDTF">2011-04-12T02:32:43Z</dcterms:created>
  <dcterms:modified xsi:type="dcterms:W3CDTF">2012-05-04T19:33:53Z</dcterms:modified>
</cp:coreProperties>
</file>