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omments4.xml" ContentType="application/vnd.openxmlformats-officedocument.spreadsheetml.comments+xml"/>
  <Override PartName="/xl/charts/chart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0"/>
  <workbookPr codeName="ThisWorkbook" defaultThemeVersion="124226"/>
  <mc:AlternateContent xmlns:mc="http://schemas.openxmlformats.org/markup-compatibility/2006">
    <mc:Choice Requires="x15">
      <x15ac:absPath xmlns:x15ac="http://schemas.microsoft.com/office/spreadsheetml/2010/11/ac" url="https://universidadeaneduco.sharepoint.com/sites/TrabajodeGrado-ConsultoradelosODSenlasorganizaciones/Documentos compartidos/General/Entrega Final/"/>
    </mc:Choice>
  </mc:AlternateContent>
  <xr:revisionPtr revIDLastSave="20" documentId="13_ncr:1_{D11BC5EA-5167-4853-990D-6600E66AC1FC}" xr6:coauthVersionLast="47" xr6:coauthVersionMax="47" xr10:uidLastSave="{687AE76F-FF05-4B6E-A260-A5D598C8377B}"/>
  <bookViews>
    <workbookView xWindow="-120" yWindow="-120" windowWidth="20730" windowHeight="11160" tabRatio="703" firstSheet="6" activeTab="6" xr2:uid="{00000000-000D-0000-FFFF-FFFF00000000}"/>
  </bookViews>
  <sheets>
    <sheet name="Menú" sheetId="7" r:id="rId1"/>
    <sheet name="1" sheetId="1" r:id="rId2"/>
    <sheet name="2" sheetId="4" r:id="rId3"/>
    <sheet name="3" sheetId="3" r:id="rId4"/>
    <sheet name="4" sheetId="5" r:id="rId5"/>
    <sheet name="5" sheetId="6" r:id="rId6"/>
    <sheet name="Revisión Monetaria" sheetId="8" r:id="rId7"/>
  </sheets>
  <definedNames>
    <definedName name="_xlnm.Print_Area" localSheetId="0">Menú!$B$2:$J$24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21" i="8" l="1"/>
  <c r="M62" i="8"/>
  <c r="I14" i="8" l="1"/>
  <c r="D16" i="8"/>
  <c r="G39" i="8" l="1"/>
  <c r="D41" i="8"/>
  <c r="M25" i="8"/>
  <c r="M17" i="8"/>
  <c r="M19" i="8"/>
  <c r="M15" i="8"/>
  <c r="D19" i="8"/>
  <c r="D18" i="8"/>
  <c r="D15" i="8"/>
  <c r="M16" i="8" s="1"/>
  <c r="M14" i="8"/>
  <c r="M20" i="8" l="1"/>
  <c r="M23" i="8"/>
  <c r="M22" i="8"/>
  <c r="M24" i="8"/>
  <c r="M18" i="8"/>
  <c r="F25" i="4"/>
  <c r="F24" i="4"/>
  <c r="F23" i="4"/>
  <c r="F22" i="4"/>
  <c r="F21" i="4"/>
  <c r="F20" i="4"/>
  <c r="L98" i="8"/>
  <c r="G113" i="8" s="1"/>
  <c r="C25" i="4" a="1"/>
  <c r="C25" i="4" s="1"/>
  <c r="C28" i="4" s="1"/>
  <c r="C29" i="4" s="1"/>
  <c r="C30" i="4" s="1"/>
  <c r="C31" i="4" s="1"/>
  <c r="L91" i="8"/>
  <c r="C6" i="4" s="1"/>
  <c r="L79" i="8"/>
  <c r="C10" i="4" s="1"/>
  <c r="C7" i="4" a="1"/>
  <c r="C7" i="4" s="1"/>
  <c r="C5" i="4" a="1"/>
  <c r="C5" i="4" s="1"/>
  <c r="D45" i="8"/>
  <c r="M44" i="8" s="1"/>
  <c r="N44" i="8" s="1"/>
  <c r="F62" i="8"/>
  <c r="H24" i="8"/>
  <c r="C24" i="8"/>
  <c r="H12" i="8"/>
  <c r="B39" i="6"/>
  <c r="B40" i="6" s="1"/>
  <c r="B41" i="6" s="1"/>
  <c r="B42" i="6" s="1"/>
  <c r="B43" i="6" s="1"/>
  <c r="B44" i="6" s="1"/>
  <c r="B45" i="6" s="1"/>
  <c r="B46" i="6" s="1"/>
  <c r="B47" i="6" s="1"/>
  <c r="C40" i="6"/>
  <c r="C41" i="6"/>
  <c r="C42" i="6"/>
  <c r="C43" i="6"/>
  <c r="C44" i="6"/>
  <c r="C45" i="6"/>
  <c r="C46" i="6"/>
  <c r="C47" i="6"/>
  <c r="H25" i="8" l="1"/>
  <c r="F19" i="4"/>
  <c r="K113" i="8"/>
  <c r="I24" i="8"/>
  <c r="C20" i="4"/>
  <c r="C22" i="4"/>
  <c r="I12" i="8"/>
  <c r="D24" i="8"/>
  <c r="B78" i="8"/>
  <c r="C4" i="4" a="1"/>
  <c r="C4" i="4" s="1"/>
  <c r="F18" i="4" s="1"/>
  <c r="B76" i="8"/>
  <c r="F11" i="5"/>
  <c r="G11" i="5"/>
  <c r="H28" i="8" l="1"/>
  <c r="H26" i="8"/>
  <c r="B77" i="8" s="1"/>
  <c r="B79" i="8" s="1"/>
  <c r="M26" i="8"/>
  <c r="N26" i="8" s="1"/>
  <c r="C18" i="4"/>
  <c r="I25" i="8"/>
  <c r="C11" i="4"/>
  <c r="E11" i="5"/>
  <c r="D11" i="5"/>
  <c r="C11" i="5"/>
  <c r="C79" i="8" l="1"/>
  <c r="B81" i="8"/>
  <c r="B82" i="8" s="1"/>
  <c r="B83" i="8" s="1"/>
  <c r="J15" i="6" s="1"/>
  <c r="J16" i="6"/>
  <c r="J17" i="6"/>
  <c r="J18" i="6"/>
  <c r="J19" i="6"/>
  <c r="J20" i="6"/>
  <c r="J21" i="6"/>
  <c r="J22" i="6"/>
  <c r="J23" i="6"/>
  <c r="J14" i="6"/>
  <c r="H16" i="6"/>
  <c r="H17" i="6"/>
  <c r="H18" i="6"/>
  <c r="H19" i="6"/>
  <c r="H20" i="6"/>
  <c r="H21" i="6"/>
  <c r="H22" i="6"/>
  <c r="H23" i="6"/>
  <c r="H14" i="6"/>
  <c r="D32" i="6"/>
  <c r="G15" i="6"/>
  <c r="G16" i="6" s="1"/>
  <c r="G17" i="6" s="1"/>
  <c r="G18" i="6" s="1"/>
  <c r="G19" i="6" s="1"/>
  <c r="G20" i="6" s="1"/>
  <c r="G21" i="6" s="1"/>
  <c r="G22" i="6" s="1"/>
  <c r="G23" i="6" s="1"/>
  <c r="G24" i="6" s="1"/>
  <c r="C16" i="6"/>
  <c r="C17" i="6"/>
  <c r="C18" i="6"/>
  <c r="C19" i="6"/>
  <c r="C20" i="6"/>
  <c r="C21" i="6"/>
  <c r="C22" i="6"/>
  <c r="C23" i="6"/>
  <c r="C14" i="6"/>
  <c r="B15" i="6"/>
  <c r="B16" i="6"/>
  <c r="B17" i="6"/>
  <c r="B18" i="6"/>
  <c r="B19" i="6"/>
  <c r="B20" i="6"/>
  <c r="B21" i="6"/>
  <c r="B22" i="6"/>
  <c r="B23" i="6"/>
  <c r="B14" i="6"/>
  <c r="B13" i="6"/>
  <c r="C38" i="6" l="1"/>
  <c r="C23" i="4"/>
  <c r="C9" i="5" s="1"/>
  <c r="B49" i="5"/>
  <c r="B45" i="5"/>
  <c r="B23" i="5"/>
  <c r="C23" i="5" s="1"/>
  <c r="G6" i="4"/>
  <c r="G7" i="4"/>
  <c r="G8" i="4"/>
  <c r="G9" i="4"/>
  <c r="G10" i="4"/>
  <c r="G11" i="4"/>
  <c r="G5" i="4"/>
  <c r="B34" i="5"/>
  <c r="C34" i="5" s="1"/>
  <c r="B30" i="5"/>
  <c r="C39" i="6" l="1"/>
  <c r="H15" i="6"/>
  <c r="C15" i="6"/>
  <c r="G12" i="4"/>
  <c r="C12" i="5" s="1"/>
  <c r="D23" i="5"/>
  <c r="B36" i="5"/>
  <c r="D34" i="5"/>
  <c r="E23" i="5" l="1"/>
  <c r="F23" i="5" s="1"/>
  <c r="E34" i="5"/>
  <c r="G23" i="5" l="1"/>
  <c r="F34" i="5"/>
  <c r="G34" i="5" l="1"/>
  <c r="D10" i="3" l="1"/>
  <c r="D9" i="3"/>
  <c r="F17" i="4"/>
  <c r="F31" i="4"/>
  <c r="C10" i="5" s="1"/>
  <c r="D10" i="5" s="1"/>
  <c r="E10" i="5" s="1"/>
  <c r="F10" i="5" s="1"/>
  <c r="G10" i="5" s="1"/>
  <c r="C12" i="4"/>
  <c r="D11" i="3" l="1"/>
  <c r="C32" i="6"/>
  <c r="C4" i="3"/>
  <c r="B24" i="5"/>
  <c r="C25" i="5"/>
  <c r="C49" i="5" s="1"/>
  <c r="D12" i="5"/>
  <c r="D9" i="5"/>
  <c r="E9" i="5" s="1"/>
  <c r="F9" i="5" s="1"/>
  <c r="R16" i="1"/>
  <c r="S16" i="1"/>
  <c r="V16" i="1"/>
  <c r="W16" i="1"/>
  <c r="G2" i="1"/>
  <c r="B31" i="1"/>
  <c r="P18" i="1"/>
  <c r="P19" i="1"/>
  <c r="Q19" i="1" s="1"/>
  <c r="R19" i="1" s="1"/>
  <c r="P20" i="1"/>
  <c r="Q20" i="1" s="1"/>
  <c r="R20" i="1" s="1"/>
  <c r="S20" i="1" s="1"/>
  <c r="P21" i="1"/>
  <c r="Q21" i="1" s="1"/>
  <c r="R21" i="1" s="1"/>
  <c r="P22" i="1"/>
  <c r="P23" i="1"/>
  <c r="P24" i="1"/>
  <c r="P25" i="1"/>
  <c r="Q25" i="1" s="1"/>
  <c r="R25" i="1" s="1"/>
  <c r="P26" i="1"/>
  <c r="Q26" i="1" s="1"/>
  <c r="R26" i="1" s="1"/>
  <c r="S26" i="1" s="1"/>
  <c r="P17" i="1"/>
  <c r="P16" i="1"/>
  <c r="Q16" i="1"/>
  <c r="T16" i="1"/>
  <c r="U16" i="1"/>
  <c r="P4" i="1"/>
  <c r="Q4" i="1" s="1"/>
  <c r="R4" i="1" s="1"/>
  <c r="S4" i="1" s="1"/>
  <c r="P5" i="1"/>
  <c r="Q5" i="1" s="1"/>
  <c r="R5" i="1" s="1"/>
  <c r="S5" i="1" s="1"/>
  <c r="P6" i="1"/>
  <c r="Q6" i="1" s="1"/>
  <c r="R6" i="1" s="1"/>
  <c r="S6" i="1" s="1"/>
  <c r="P7" i="1"/>
  <c r="Q7" i="1" s="1"/>
  <c r="R7" i="1" s="1"/>
  <c r="S7" i="1" s="1"/>
  <c r="P8" i="1"/>
  <c r="Q8" i="1" s="1"/>
  <c r="R8" i="1" s="1"/>
  <c r="S8" i="1" s="1"/>
  <c r="P9" i="1"/>
  <c r="Q9" i="1" s="1"/>
  <c r="R9" i="1" s="1"/>
  <c r="S9" i="1" s="1"/>
  <c r="P10" i="1"/>
  <c r="Q10" i="1" s="1"/>
  <c r="R10" i="1" s="1"/>
  <c r="S10" i="1" s="1"/>
  <c r="P11" i="1"/>
  <c r="Q11" i="1" s="1"/>
  <c r="R11" i="1" s="1"/>
  <c r="S11" i="1" s="1"/>
  <c r="P12" i="1"/>
  <c r="Q12" i="1" s="1"/>
  <c r="R12" i="1" s="1"/>
  <c r="S12" i="1" s="1"/>
  <c r="P3" i="1"/>
  <c r="Q3" i="1" s="1"/>
  <c r="R3" i="1" s="1"/>
  <c r="S3" i="1" s="1"/>
  <c r="L4" i="1"/>
  <c r="L5" i="1"/>
  <c r="M5" i="1" s="1"/>
  <c r="N5" i="1" s="1"/>
  <c r="O5" i="1" s="1"/>
  <c r="L6" i="1"/>
  <c r="M6" i="1" s="1"/>
  <c r="N6" i="1" s="1"/>
  <c r="O6" i="1" s="1"/>
  <c r="L7" i="1"/>
  <c r="M7" i="1" s="1"/>
  <c r="N7" i="1" s="1"/>
  <c r="O7" i="1" s="1"/>
  <c r="L8" i="1"/>
  <c r="L9" i="1"/>
  <c r="L10" i="1"/>
  <c r="M10" i="1" s="1"/>
  <c r="N10" i="1" s="1"/>
  <c r="O10" i="1" s="1"/>
  <c r="L11" i="1"/>
  <c r="M11" i="1" s="1"/>
  <c r="N11" i="1" s="1"/>
  <c r="O11" i="1" s="1"/>
  <c r="L12" i="1"/>
  <c r="M12" i="1" s="1"/>
  <c r="N12" i="1" s="1"/>
  <c r="O12" i="1" s="1"/>
  <c r="L3" i="1"/>
  <c r="M3" i="1" s="1"/>
  <c r="N3" i="1" s="1"/>
  <c r="O3" i="1" s="1"/>
  <c r="D27" i="1"/>
  <c r="E4" i="1"/>
  <c r="E5" i="1"/>
  <c r="E6" i="1"/>
  <c r="E7" i="1"/>
  <c r="E8" i="1"/>
  <c r="E9" i="1"/>
  <c r="E10" i="1"/>
  <c r="E11" i="1"/>
  <c r="E12" i="1"/>
  <c r="E3" i="1"/>
  <c r="B18" i="1"/>
  <c r="B19" i="1"/>
  <c r="B20" i="1"/>
  <c r="B21" i="1"/>
  <c r="B22" i="1"/>
  <c r="B23" i="1"/>
  <c r="B24" i="1"/>
  <c r="B25" i="1"/>
  <c r="B26" i="1"/>
  <c r="B17" i="1"/>
  <c r="C18" i="1"/>
  <c r="E18" i="1" s="1"/>
  <c r="C19" i="1"/>
  <c r="E19" i="1" s="1"/>
  <c r="C20" i="1"/>
  <c r="E20" i="1" s="1"/>
  <c r="C21" i="1"/>
  <c r="L21" i="1" s="1"/>
  <c r="M21" i="1" s="1"/>
  <c r="N21" i="1" s="1"/>
  <c r="O21" i="1" s="1"/>
  <c r="C22" i="1"/>
  <c r="E22" i="1" s="1"/>
  <c r="C23" i="1"/>
  <c r="E23" i="1" s="1"/>
  <c r="C24" i="1"/>
  <c r="E24" i="1" s="1"/>
  <c r="C25" i="1"/>
  <c r="E25" i="1" s="1"/>
  <c r="C26" i="1"/>
  <c r="E26" i="1" s="1"/>
  <c r="C17" i="1"/>
  <c r="E17" i="1" s="1"/>
  <c r="A17" i="1"/>
  <c r="A4" i="1"/>
  <c r="A18" i="1" s="1"/>
  <c r="C5" i="5" l="1"/>
  <c r="C20" i="5" s="1"/>
  <c r="D6" i="6" s="1"/>
  <c r="E9" i="3"/>
  <c r="G9" i="5"/>
  <c r="H2" i="1"/>
  <c r="I2" i="1" s="1"/>
  <c r="B28" i="4"/>
  <c r="C33" i="6"/>
  <c r="C34" i="6" s="1"/>
  <c r="F32" i="6"/>
  <c r="W12" i="1"/>
  <c r="W11" i="1"/>
  <c r="W10" i="1"/>
  <c r="W7" i="1"/>
  <c r="W6" i="1"/>
  <c r="W5" i="1"/>
  <c r="W3" i="1"/>
  <c r="B26" i="5"/>
  <c r="B48" i="5" s="1"/>
  <c r="B50" i="5" s="1"/>
  <c r="C24" i="5"/>
  <c r="E12" i="5"/>
  <c r="F12" i="5" s="1"/>
  <c r="D25" i="5"/>
  <c r="D49" i="5" s="1"/>
  <c r="C31" i="1"/>
  <c r="L2" i="1"/>
  <c r="L16" i="1" s="1"/>
  <c r="S25" i="1"/>
  <c r="S21" i="1"/>
  <c r="W21" i="1" s="1"/>
  <c r="V21" i="1"/>
  <c r="S19" i="1"/>
  <c r="V12" i="1"/>
  <c r="V10" i="1"/>
  <c r="V6" i="1"/>
  <c r="V3" i="1"/>
  <c r="V11" i="1"/>
  <c r="V7" i="1"/>
  <c r="V5" i="1"/>
  <c r="Z3" i="1"/>
  <c r="AA3" i="1" s="1"/>
  <c r="AB3" i="1" s="1"/>
  <c r="AC3" i="1" s="1"/>
  <c r="L19" i="1"/>
  <c r="M19" i="1" s="1"/>
  <c r="L17" i="1"/>
  <c r="M17" i="1" s="1"/>
  <c r="N17" i="1" s="1"/>
  <c r="O17" i="1" s="1"/>
  <c r="L18" i="1"/>
  <c r="M18" i="1" s="1"/>
  <c r="N18" i="1" s="1"/>
  <c r="O18" i="1" s="1"/>
  <c r="L23" i="1"/>
  <c r="M23" i="1" s="1"/>
  <c r="N23" i="1" s="1"/>
  <c r="O23" i="1" s="1"/>
  <c r="Q23" i="1"/>
  <c r="R23" i="1" s="1"/>
  <c r="S23" i="1" s="1"/>
  <c r="L22" i="1"/>
  <c r="M22" i="1" s="1"/>
  <c r="N22" i="1" s="1"/>
  <c r="O22" i="1" s="1"/>
  <c r="A5" i="1"/>
  <c r="A6" i="1" s="1"/>
  <c r="A7" i="1" s="1"/>
  <c r="A8" i="1" s="1"/>
  <c r="A9" i="1" s="1"/>
  <c r="A10" i="1" s="1"/>
  <c r="A11" i="1" s="1"/>
  <c r="A12" i="1" s="1"/>
  <c r="A26" i="1" s="1"/>
  <c r="E21" i="1"/>
  <c r="E27" i="1" s="1"/>
  <c r="L25" i="1"/>
  <c r="M25" i="1" s="1"/>
  <c r="U21" i="1"/>
  <c r="Q17" i="1"/>
  <c r="R17" i="1" s="1"/>
  <c r="S17" i="1" s="1"/>
  <c r="L26" i="1"/>
  <c r="M26" i="1" s="1"/>
  <c r="U6" i="1"/>
  <c r="L24" i="1"/>
  <c r="M24" i="1" s="1"/>
  <c r="N24" i="1" s="1"/>
  <c r="O24" i="1" s="1"/>
  <c r="L20" i="1"/>
  <c r="M20" i="1" s="1"/>
  <c r="Q24" i="1"/>
  <c r="R24" i="1" s="1"/>
  <c r="Q22" i="1"/>
  <c r="R22" i="1" s="1"/>
  <c r="S22" i="1" s="1"/>
  <c r="Q18" i="1"/>
  <c r="R18" i="1" s="1"/>
  <c r="T21" i="1"/>
  <c r="T9" i="1"/>
  <c r="U5" i="1"/>
  <c r="U10" i="1"/>
  <c r="T3" i="1"/>
  <c r="T10" i="1"/>
  <c r="T6" i="1"/>
  <c r="U11" i="1"/>
  <c r="U7" i="1"/>
  <c r="U3" i="1"/>
  <c r="T5" i="1"/>
  <c r="U12" i="1"/>
  <c r="T12" i="1"/>
  <c r="T8" i="1"/>
  <c r="T4" i="1"/>
  <c r="T11" i="1"/>
  <c r="M9" i="1"/>
  <c r="M8" i="1"/>
  <c r="T7" i="1"/>
  <c r="M4" i="1"/>
  <c r="E13" i="1"/>
  <c r="D5" i="5" l="1"/>
  <c r="D20" i="5" s="1"/>
  <c r="E6" i="6" s="1"/>
  <c r="E10" i="3"/>
  <c r="C43" i="5"/>
  <c r="G12" i="5"/>
  <c r="F25" i="5"/>
  <c r="J2" i="1"/>
  <c r="B31" i="4" s="1"/>
  <c r="B30" i="4"/>
  <c r="M2" i="1"/>
  <c r="B29" i="4"/>
  <c r="A21" i="1"/>
  <c r="F24" i="1"/>
  <c r="F21" i="1"/>
  <c r="F25" i="1"/>
  <c r="F18" i="1"/>
  <c r="F22" i="1"/>
  <c r="F26" i="1"/>
  <c r="F19" i="1"/>
  <c r="F23" i="1"/>
  <c r="F17" i="1"/>
  <c r="F20" i="1"/>
  <c r="F4" i="1"/>
  <c r="D15" i="6" s="1"/>
  <c r="E15" i="6" s="1"/>
  <c r="F5" i="1"/>
  <c r="D16" i="6" s="1"/>
  <c r="E16" i="6" s="1"/>
  <c r="F9" i="1"/>
  <c r="D20" i="6" s="1"/>
  <c r="E20" i="6" s="1"/>
  <c r="F3" i="1"/>
  <c r="D14" i="6" s="1"/>
  <c r="E14" i="6" s="1"/>
  <c r="F6" i="1"/>
  <c r="D17" i="6" s="1"/>
  <c r="E17" i="6" s="1"/>
  <c r="F10" i="1"/>
  <c r="D21" i="6" s="1"/>
  <c r="E21" i="6" s="1"/>
  <c r="F7" i="1"/>
  <c r="D18" i="6" s="1"/>
  <c r="E18" i="6" s="1"/>
  <c r="F11" i="1"/>
  <c r="D22" i="6" s="1"/>
  <c r="E22" i="6" s="1"/>
  <c r="F8" i="1"/>
  <c r="D19" i="6" s="1"/>
  <c r="E19" i="6" s="1"/>
  <c r="F12" i="1"/>
  <c r="D23" i="6" s="1"/>
  <c r="E23" i="6" s="1"/>
  <c r="B33" i="1"/>
  <c r="B32" i="1"/>
  <c r="C6" i="5" s="1"/>
  <c r="W23" i="1"/>
  <c r="W22" i="1"/>
  <c r="U26" i="1"/>
  <c r="N26" i="1"/>
  <c r="U25" i="1"/>
  <c r="N25" i="1"/>
  <c r="U9" i="1"/>
  <c r="N9" i="1"/>
  <c r="U8" i="1"/>
  <c r="N8" i="1"/>
  <c r="U20" i="1"/>
  <c r="N20" i="1"/>
  <c r="U19" i="1"/>
  <c r="N19" i="1"/>
  <c r="U4" i="1"/>
  <c r="N4" i="1"/>
  <c r="W17" i="1"/>
  <c r="D24" i="5"/>
  <c r="C26" i="5"/>
  <c r="C48" i="5" s="1"/>
  <c r="C50" i="5" s="1"/>
  <c r="E25" i="5"/>
  <c r="E49" i="5" s="1"/>
  <c r="D31" i="1"/>
  <c r="V23" i="1"/>
  <c r="S18" i="1"/>
  <c r="W18" i="1" s="1"/>
  <c r="V18" i="1"/>
  <c r="V22" i="1"/>
  <c r="V17" i="1"/>
  <c r="S24" i="1"/>
  <c r="W24" i="1" s="1"/>
  <c r="V24" i="1"/>
  <c r="T18" i="1"/>
  <c r="A24" i="1"/>
  <c r="A19" i="1"/>
  <c r="U23" i="1"/>
  <c r="U18" i="1"/>
  <c r="T25" i="1"/>
  <c r="U22" i="1"/>
  <c r="T22" i="1"/>
  <c r="A25" i="1"/>
  <c r="A22" i="1"/>
  <c r="T23" i="1"/>
  <c r="A23" i="1"/>
  <c r="A20" i="1"/>
  <c r="U24" i="1"/>
  <c r="T20" i="1"/>
  <c r="U17" i="1"/>
  <c r="T17" i="1"/>
  <c r="T26" i="1"/>
  <c r="T24" i="1"/>
  <c r="T19" i="1"/>
  <c r="T13" i="1"/>
  <c r="C32" i="1" s="1"/>
  <c r="D6" i="5" s="1"/>
  <c r="D43" i="5" l="1"/>
  <c r="E5" i="5"/>
  <c r="E20" i="5" s="1"/>
  <c r="F6" i="6" s="1"/>
  <c r="E11" i="3"/>
  <c r="G25" i="5"/>
  <c r="D8" i="3"/>
  <c r="D12" i="3" s="1"/>
  <c r="D14" i="3" s="1"/>
  <c r="C7" i="6" s="1"/>
  <c r="M16" i="1"/>
  <c r="N2" i="1"/>
  <c r="E26" i="6"/>
  <c r="E27" i="6" s="1"/>
  <c r="C7" i="5"/>
  <c r="C8" i="5" s="1"/>
  <c r="U13" i="1"/>
  <c r="D32" i="1" s="1"/>
  <c r="E6" i="5" s="1"/>
  <c r="F27" i="1"/>
  <c r="F13" i="1"/>
  <c r="B34" i="1"/>
  <c r="O26" i="1"/>
  <c r="W26" i="1" s="1"/>
  <c r="V26" i="1"/>
  <c r="O25" i="1"/>
  <c r="W25" i="1" s="1"/>
  <c r="V25" i="1"/>
  <c r="O9" i="1"/>
  <c r="W9" i="1" s="1"/>
  <c r="V9" i="1"/>
  <c r="O8" i="1"/>
  <c r="W8" i="1" s="1"/>
  <c r="V8" i="1"/>
  <c r="O20" i="1"/>
  <c r="W20" i="1" s="1"/>
  <c r="V20" i="1"/>
  <c r="O19" i="1"/>
  <c r="W19" i="1" s="1"/>
  <c r="V19" i="1"/>
  <c r="O4" i="1"/>
  <c r="W4" i="1" s="1"/>
  <c r="V4" i="1"/>
  <c r="E24" i="5"/>
  <c r="F24" i="5" s="1"/>
  <c r="D26" i="5"/>
  <c r="D48" i="5" s="1"/>
  <c r="D50" i="5" s="1"/>
  <c r="F49" i="5"/>
  <c r="E31" i="1"/>
  <c r="U27" i="1"/>
  <c r="D33" i="1" s="1"/>
  <c r="T27" i="1"/>
  <c r="C33" i="1" s="1"/>
  <c r="E43" i="5" l="1"/>
  <c r="F5" i="5"/>
  <c r="F20" i="5" s="1"/>
  <c r="G6" i="6" s="1"/>
  <c r="E12" i="3"/>
  <c r="G24" i="5"/>
  <c r="G26" i="5" s="1"/>
  <c r="F26" i="5"/>
  <c r="D16" i="3"/>
  <c r="N16" i="1"/>
  <c r="O2" i="1"/>
  <c r="O16" i="1" s="1"/>
  <c r="C13" i="5"/>
  <c r="C55" i="5" s="1"/>
  <c r="C56" i="5" s="1"/>
  <c r="C57" i="5" s="1"/>
  <c r="F22" i="6"/>
  <c r="D46" i="6" s="1"/>
  <c r="E46" i="6" s="1"/>
  <c r="F23" i="6"/>
  <c r="D47" i="6" s="1"/>
  <c r="E47" i="6" s="1"/>
  <c r="F18" i="6"/>
  <c r="D42" i="6" s="1"/>
  <c r="E42" i="6" s="1"/>
  <c r="F19" i="6"/>
  <c r="D43" i="6" s="1"/>
  <c r="E43" i="6" s="1"/>
  <c r="F15" i="6"/>
  <c r="D39" i="6" s="1"/>
  <c r="E39" i="6" s="1"/>
  <c r="F17" i="6"/>
  <c r="D41" i="6" s="1"/>
  <c r="E41" i="6" s="1"/>
  <c r="F14" i="6"/>
  <c r="D38" i="6" s="1"/>
  <c r="E38" i="6" s="1"/>
  <c r="F16" i="6"/>
  <c r="D40" i="6" s="1"/>
  <c r="E40" i="6" s="1"/>
  <c r="F20" i="6"/>
  <c r="D44" i="6" s="1"/>
  <c r="E44" i="6" s="1"/>
  <c r="F21" i="6"/>
  <c r="D45" i="6" s="1"/>
  <c r="E45" i="6" s="1"/>
  <c r="V13" i="1"/>
  <c r="V27" i="1"/>
  <c r="E33" i="1" s="1"/>
  <c r="F7" i="5" s="1"/>
  <c r="W27" i="1"/>
  <c r="W13" i="1"/>
  <c r="E26" i="5"/>
  <c r="E48" i="5" s="1"/>
  <c r="E50" i="5" s="1"/>
  <c r="G49" i="5"/>
  <c r="C34" i="1"/>
  <c r="D7" i="5"/>
  <c r="D8" i="5" s="1"/>
  <c r="D34" i="1"/>
  <c r="E7" i="5"/>
  <c r="E8" i="5" s="1"/>
  <c r="F31" i="1"/>
  <c r="E13" i="3" s="1"/>
  <c r="E48" i="6" l="1"/>
  <c r="E28" i="6" s="1"/>
  <c r="F43" i="5"/>
  <c r="J8" i="3"/>
  <c r="B31" i="5" s="1"/>
  <c r="B32" i="5" s="1"/>
  <c r="B38" i="5" s="1"/>
  <c r="B22" i="5" s="1"/>
  <c r="B44" i="5" s="1"/>
  <c r="B46" i="5" s="1"/>
  <c r="B52" i="5" s="1"/>
  <c r="F33" i="1"/>
  <c r="G7" i="5" s="1"/>
  <c r="F32" i="1"/>
  <c r="G6" i="5" s="1"/>
  <c r="E32" i="1"/>
  <c r="F6" i="5" s="1"/>
  <c r="F8" i="5" s="1"/>
  <c r="F13" i="5" s="1"/>
  <c r="D13" i="5"/>
  <c r="D55" i="5" s="1"/>
  <c r="D56" i="5" s="1"/>
  <c r="D57" i="5" s="1"/>
  <c r="E13" i="5"/>
  <c r="E55" i="5" s="1"/>
  <c r="E56" i="5" s="1"/>
  <c r="E57" i="5" s="1"/>
  <c r="E33" i="6"/>
  <c r="F33" i="6" s="1"/>
  <c r="D33" i="6"/>
  <c r="F24" i="6"/>
  <c r="B33" i="6" s="1"/>
  <c r="B34" i="6" s="1"/>
  <c r="G48" i="5"/>
  <c r="G50" i="5" s="1"/>
  <c r="F48" i="5"/>
  <c r="F50" i="5" s="1"/>
  <c r="G5" i="5"/>
  <c r="G20" i="5" s="1"/>
  <c r="H6" i="6" s="1"/>
  <c r="F34" i="1" l="1"/>
  <c r="E34" i="1"/>
  <c r="G8" i="5"/>
  <c r="G13" i="5" s="1"/>
  <c r="G55" i="5" s="1"/>
  <c r="G56" i="5" s="1"/>
  <c r="G57" i="5" s="1"/>
  <c r="B27" i="5"/>
  <c r="B39" i="5" s="1"/>
  <c r="I9" i="3"/>
  <c r="F9" i="3"/>
  <c r="G9" i="3" s="1"/>
  <c r="C14" i="5" s="1"/>
  <c r="C15" i="5" s="1"/>
  <c r="C16" i="5" s="1"/>
  <c r="C29" i="5" s="1"/>
  <c r="F55" i="5"/>
  <c r="F56" i="5" s="1"/>
  <c r="F57" i="5" s="1"/>
  <c r="I15" i="6"/>
  <c r="I16" i="6"/>
  <c r="I21" i="6"/>
  <c r="I19" i="6"/>
  <c r="I20" i="6"/>
  <c r="I22" i="6"/>
  <c r="I23" i="6"/>
  <c r="I14" i="6"/>
  <c r="I18" i="6"/>
  <c r="I17" i="6"/>
  <c r="G43" i="5"/>
  <c r="C17" i="5" l="1"/>
  <c r="C35" i="5" s="1"/>
  <c r="C36" i="5" s="1"/>
  <c r="H9" i="3"/>
  <c r="J9" i="3" s="1"/>
  <c r="I10" i="3" s="1"/>
  <c r="E34" i="6"/>
  <c r="F34" i="6" s="1"/>
  <c r="D34" i="6"/>
  <c r="C30" i="5"/>
  <c r="C45" i="5"/>
  <c r="F10" i="3" l="1"/>
  <c r="G10" i="3" s="1"/>
  <c r="D14" i="5" s="1"/>
  <c r="D15" i="5" s="1"/>
  <c r="D16" i="5" s="1"/>
  <c r="D29" i="5" s="1"/>
  <c r="D45" i="5" s="1"/>
  <c r="C31" i="5"/>
  <c r="C32" i="5" s="1"/>
  <c r="C38" i="5" s="1"/>
  <c r="C22" i="5" s="1"/>
  <c r="H10" i="3" l="1"/>
  <c r="J10" i="3" s="1"/>
  <c r="D31" i="5" s="1"/>
  <c r="D30" i="5"/>
  <c r="D17" i="5"/>
  <c r="D35" i="5" s="1"/>
  <c r="D36" i="5" s="1"/>
  <c r="C27" i="5"/>
  <c r="C39" i="5" s="1"/>
  <c r="C44" i="5"/>
  <c r="C46" i="5" s="1"/>
  <c r="C52" i="5" s="1"/>
  <c r="C58" i="5" s="1"/>
  <c r="I11" i="3" l="1"/>
  <c r="F11" i="3"/>
  <c r="G11" i="3" s="1"/>
  <c r="E14" i="5" s="1"/>
  <c r="E15" i="5" s="1"/>
  <c r="E16" i="5" s="1"/>
  <c r="E29" i="5" s="1"/>
  <c r="E30" i="5" s="1"/>
  <c r="D32" i="5"/>
  <c r="D38" i="5" s="1"/>
  <c r="D22" i="5" s="1"/>
  <c r="D27" i="5" s="1"/>
  <c r="D39" i="5" s="1"/>
  <c r="C59" i="5"/>
  <c r="D7" i="6" s="1"/>
  <c r="H11" i="3" l="1"/>
  <c r="J11" i="3" s="1"/>
  <c r="D44" i="5"/>
  <c r="D46" i="5" s="1"/>
  <c r="D52" i="5" s="1"/>
  <c r="E45" i="5"/>
  <c r="E17" i="5"/>
  <c r="E35" i="5" s="1"/>
  <c r="E36" i="5" s="1"/>
  <c r="I12" i="3" l="1"/>
  <c r="F12" i="3"/>
  <c r="G12" i="3" s="1"/>
  <c r="F14" i="5" s="1"/>
  <c r="F15" i="5" s="1"/>
  <c r="F16" i="5" s="1"/>
  <c r="F17" i="5" s="1"/>
  <c r="F35" i="5" s="1"/>
  <c r="F36" i="5" s="1"/>
  <c r="E31" i="5"/>
  <c r="E32" i="5" s="1"/>
  <c r="E38" i="5" s="1"/>
  <c r="E22" i="5" s="1"/>
  <c r="E27" i="5" s="1"/>
  <c r="E39" i="5" s="1"/>
  <c r="D58" i="5"/>
  <c r="D59" i="5" s="1"/>
  <c r="E7" i="6" s="1"/>
  <c r="H12" i="3" l="1"/>
  <c r="J12" i="3" s="1"/>
  <c r="F13" i="3" s="1"/>
  <c r="G13" i="3" s="1"/>
  <c r="G14" i="5" s="1"/>
  <c r="G15" i="5" s="1"/>
  <c r="G16" i="5" s="1"/>
  <c r="G17" i="5" s="1"/>
  <c r="F29" i="5"/>
  <c r="F45" i="5" s="1"/>
  <c r="E44" i="5"/>
  <c r="E46" i="5" s="1"/>
  <c r="E52" i="5" s="1"/>
  <c r="F31" i="5" l="1"/>
  <c r="G29" i="5"/>
  <c r="G45" i="5" s="1"/>
  <c r="F30" i="5"/>
  <c r="I13" i="3"/>
  <c r="H13" i="3" s="1"/>
  <c r="J13" i="3" s="1"/>
  <c r="G31" i="5" s="1"/>
  <c r="E58" i="5"/>
  <c r="E59" i="5" s="1"/>
  <c r="F7" i="6" s="1"/>
  <c r="G35" i="5"/>
  <c r="G36" i="5" s="1"/>
  <c r="F32" i="5" l="1"/>
  <c r="F38" i="5" s="1"/>
  <c r="F22" i="5" s="1"/>
  <c r="F44" i="5" s="1"/>
  <c r="F46" i="5" s="1"/>
  <c r="F52" i="5" s="1"/>
  <c r="F58" i="5" s="1"/>
  <c r="F59" i="5" s="1"/>
  <c r="G7" i="6" s="1"/>
  <c r="G30" i="5"/>
  <c r="G32" i="5" s="1"/>
  <c r="G38" i="5" s="1"/>
  <c r="G22" i="5" s="1"/>
  <c r="F27" i="5" l="1"/>
  <c r="F39" i="5" s="1"/>
  <c r="G27" i="5"/>
  <c r="G39" i="5" s="1"/>
  <c r="G44" i="5"/>
  <c r="G46" i="5" s="1"/>
  <c r="G52" i="5" s="1"/>
  <c r="G58" i="5" s="1"/>
  <c r="G59" i="5" l="1"/>
  <c r="H7" i="6" s="1"/>
  <c r="D10" i="6" s="1"/>
  <c r="C8" i="6" l="1"/>
  <c r="E8" i="6"/>
  <c r="D8" i="6"/>
  <c r="F8" i="6"/>
  <c r="G8" i="6"/>
  <c r="H8" i="6"/>
  <c r="D9" i="6"/>
  <c r="H10"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Z1" authorId="0" shapeId="0" xr:uid="{00000000-0006-0000-0100-000001000000}">
      <text>
        <r>
          <rPr>
            <b/>
            <sz val="9"/>
            <color rgb="FF000000"/>
            <rFont val="Tahoma"/>
            <family val="2"/>
          </rPr>
          <t>DARIO MAURICIO REYES GIRALDO:</t>
        </r>
        <r>
          <rPr>
            <sz val="9"/>
            <color rgb="FF000000"/>
            <rFont val="Tahoma"/>
            <family val="2"/>
          </rPr>
          <t xml:space="preserve">
</t>
        </r>
        <r>
          <rPr>
            <sz val="9"/>
            <color rgb="FF000000"/>
            <rFont val="Tahoma"/>
            <family val="2"/>
          </rPr>
          <t>Defina el año base o de inicio de la operación del negocio.</t>
        </r>
      </text>
    </comment>
    <comment ref="B3" authorId="0" shapeId="0" xr:uid="{00000000-0006-0000-0100-000002000000}">
      <text>
        <r>
          <rPr>
            <b/>
            <sz val="9"/>
            <color rgb="FF000000"/>
            <rFont val="Tahoma"/>
            <family val="2"/>
          </rPr>
          <t>DARIO MAURICIO REYES GIRALDO:</t>
        </r>
        <r>
          <rPr>
            <sz val="9"/>
            <color rgb="FF000000"/>
            <rFont val="Tahoma"/>
            <family val="2"/>
          </rPr>
          <t xml:space="preserve">
</t>
        </r>
        <r>
          <rPr>
            <sz val="9"/>
            <color rgb="FF000000"/>
            <rFont val="Tahoma"/>
            <family val="2"/>
          </rPr>
          <t>Digita el nombre de cada línea de producto o servicio a vender</t>
        </r>
      </text>
    </comment>
    <comment ref="C3" authorId="0" shapeId="0" xr:uid="{00000000-0006-0000-0100-000003000000}">
      <text>
        <r>
          <rPr>
            <b/>
            <sz val="9"/>
            <color indexed="81"/>
            <rFont val="Tahoma"/>
            <family val="2"/>
          </rPr>
          <t>DARIO MAURICIO REYES GIRALDO:</t>
        </r>
        <r>
          <rPr>
            <sz val="9"/>
            <color indexed="81"/>
            <rFont val="Tahoma"/>
            <family val="2"/>
          </rPr>
          <t xml:space="preserve">
Digita las cantidades a vender en el primer año de cada pdto/servicio.</t>
        </r>
      </text>
    </comment>
    <comment ref="D3" authorId="0" shapeId="0" xr:uid="{00000000-0006-0000-0100-000004000000}">
      <text>
        <r>
          <rPr>
            <b/>
            <sz val="9"/>
            <color indexed="81"/>
            <rFont val="Tahoma"/>
            <family val="2"/>
          </rPr>
          <t>DARIO MAURICIO REYES GIRALDO:</t>
        </r>
        <r>
          <rPr>
            <sz val="9"/>
            <color indexed="81"/>
            <rFont val="Tahoma"/>
            <family val="2"/>
          </rPr>
          <t xml:space="preserve">
Digita el precio UNITARIO, sin IVA, de cada pdto/servicio.</t>
        </r>
      </text>
    </comment>
    <comment ref="G3" authorId="0" shapeId="0" xr:uid="{00000000-0006-0000-0100-000005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H3" authorId="0" shapeId="0" xr:uid="{2924A4FE-33B7-4061-AC86-3CF577D6A69D}">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3" authorId="0" shapeId="0" xr:uid="{E48D61BA-BC7C-48C7-8803-014FDACDE9D8}">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3" authorId="0" shapeId="0" xr:uid="{0097494D-AFCB-431F-9168-2F035CAEEECF}">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G4" authorId="0" shapeId="0" xr:uid="{012847D8-E9E8-4A76-91AB-7B2A2CD2A755}">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H4" authorId="0" shapeId="0" xr:uid="{9CC1CDCF-88D5-4CA5-A99D-12EDCFB625AC}">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4" authorId="0" shapeId="0" xr:uid="{DDFAE3DE-5FAA-497F-8FB1-EBDFACB72079}">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4" authorId="0" shapeId="0" xr:uid="{CF04C37D-E160-4583-BFD8-1B077FD0FB36}">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Y4" authorId="0" shapeId="0" xr:uid="{00000000-0006-0000-0100-000009000000}">
      <text>
        <r>
          <rPr>
            <b/>
            <sz val="9"/>
            <color indexed="81"/>
            <rFont val="Tahoma"/>
            <family val="2"/>
          </rPr>
          <t>DARIO MAURICIO REYES GIRALDO:</t>
        </r>
        <r>
          <rPr>
            <sz val="9"/>
            <color indexed="81"/>
            <rFont val="Tahoma"/>
            <family val="2"/>
          </rPr>
          <t xml:space="preserve">
Actualizar los datos según proyecciones macroeconómicas. Se pueden buscar en la página web del Banco de la República o del Banco de Colombia.</t>
        </r>
      </text>
    </comment>
    <comment ref="Y5" authorId="0" shapeId="0" xr:uid="{00000000-0006-0000-0100-00000A000000}">
      <text>
        <r>
          <rPr>
            <b/>
            <sz val="9"/>
            <color indexed="81"/>
            <rFont val="Tahoma"/>
            <family val="2"/>
          </rPr>
          <t>DARIO MAURICIO REYES GIRALDO:</t>
        </r>
        <r>
          <rPr>
            <sz val="9"/>
            <color indexed="81"/>
            <rFont val="Tahoma"/>
            <family val="2"/>
          </rPr>
          <t xml:space="preserve">
Actualizar los datos según proyecciones macroeconómicas. Se pueden buscar en la página web del Banco de la República o del Banco de Colombia.</t>
        </r>
      </text>
    </comment>
    <comment ref="AB7" authorId="0" shapeId="0" xr:uid="{00000000-0006-0000-0100-00000B000000}">
      <text>
        <r>
          <rPr>
            <b/>
            <sz val="9"/>
            <color indexed="81"/>
            <rFont val="Tahoma"/>
            <family val="2"/>
          </rPr>
          <t>DARIO MAURICIO REYES GIRALDO:</t>
        </r>
        <r>
          <rPr>
            <sz val="9"/>
            <color indexed="81"/>
            <rFont val="Tahoma"/>
            <family val="2"/>
          </rPr>
          <t xml:space="preserve">
incluya la tasa de impuesto de Renta vigente.</t>
        </r>
      </text>
    </comment>
    <comment ref="D17" authorId="0" shapeId="0" xr:uid="{00000000-0006-0000-0100-00000C000000}">
      <text>
        <r>
          <rPr>
            <b/>
            <sz val="9"/>
            <color indexed="81"/>
            <rFont val="Tahoma"/>
            <family val="2"/>
          </rPr>
          <t>DARIO MAURICIO REYES GIRALDO:</t>
        </r>
        <r>
          <rPr>
            <sz val="9"/>
            <color indexed="81"/>
            <rFont val="Tahoma"/>
            <family val="2"/>
          </rPr>
          <t xml:space="preserve">
INCLUIR  SOLO LOS COSTOS VARIABLES UNITARIOS DE PRODUCCIÓN, COMERCIALIZACIÓN O DE PRESTACIÓN DEL SERVICIO.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C4" authorId="0" shapeId="0" xr:uid="{00000000-0006-0000-0200-000001000000}">
      <text>
        <r>
          <rPr>
            <b/>
            <sz val="9"/>
            <color indexed="81"/>
            <rFont val="Tahoma"/>
            <family val="2"/>
          </rPr>
          <t>DARIO MAURICIO REYES GIRALDO:</t>
        </r>
        <r>
          <rPr>
            <sz val="9"/>
            <color indexed="81"/>
            <rFont val="Tahoma"/>
            <family val="2"/>
          </rPr>
          <t xml:space="preserve">
Todos los valores deben se anuales.</t>
        </r>
      </text>
    </comment>
    <comment ref="C18" authorId="0" shapeId="0" xr:uid="{00000000-0006-0000-0200-000002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F18" authorId="0" shapeId="0" xr:uid="{00000000-0006-0000-0200-000003000000}">
      <text>
        <r>
          <rPr>
            <b/>
            <sz val="9"/>
            <color indexed="81"/>
            <rFont val="Tahoma"/>
            <family val="2"/>
          </rPr>
          <t>DARIO MAURICIO REYES GIRALDO:</t>
        </r>
        <r>
          <rPr>
            <sz val="9"/>
            <color indexed="81"/>
            <rFont val="Tahoma"/>
            <family val="2"/>
          </rPr>
          <t xml:space="preserve">
Todos los valores deben se anuales.</t>
        </r>
      </text>
    </comment>
    <comment ref="C20" authorId="0" shapeId="0" xr:uid="{00000000-0006-0000-0200-000004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2" authorId="0" shapeId="0" xr:uid="{00000000-0006-0000-0200-000005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5" authorId="0" shapeId="0" xr:uid="{00000000-0006-0000-0200-000006000000}">
      <text>
        <r>
          <rPr>
            <b/>
            <sz val="9"/>
            <color indexed="81"/>
            <rFont val="Tahoma"/>
            <family val="2"/>
          </rPr>
          <t>DARIO MAURICIO REYES GIRALDO:</t>
        </r>
        <r>
          <rPr>
            <sz val="9"/>
            <color indexed="81"/>
            <rFont val="Tahoma"/>
            <family val="2"/>
          </rPr>
          <t xml:space="preserve">
Incluya el valor anual del presupuesto para el desarrollo de las estrategias de:
1. Producto (diseño, empaque, imagen)
2. Promoción.
3. Comunicación.
4. Servicio.
5. Precio (si hay presupuestos asociados para este proceso).</t>
        </r>
      </text>
    </comment>
    <comment ref="E25" authorId="0" shapeId="0" xr:uid="{00000000-0006-0000-0200-000007000000}">
      <text>
        <r>
          <rPr>
            <b/>
            <sz val="9"/>
            <color indexed="81"/>
            <rFont val="Tahoma"/>
            <family val="2"/>
          </rPr>
          <t>DARIO MAURICIO REYES GIRALDO:</t>
        </r>
        <r>
          <rPr>
            <sz val="9"/>
            <color indexed="81"/>
            <rFont val="Tahoma"/>
            <family val="2"/>
          </rPr>
          <t xml:space="preserve">
Digite el nombre de los rubros adicionales.</t>
        </r>
      </text>
    </comment>
    <comment ref="E26" authorId="0" shapeId="0" xr:uid="{00000000-0006-0000-0200-000008000000}">
      <text>
        <r>
          <rPr>
            <b/>
            <sz val="9"/>
            <color indexed="81"/>
            <rFont val="Tahoma"/>
            <family val="2"/>
          </rPr>
          <t>DARIO MAURICIO REYES GIRALDO:</t>
        </r>
        <r>
          <rPr>
            <sz val="9"/>
            <color indexed="81"/>
            <rFont val="Tahoma"/>
            <family val="2"/>
          </rPr>
          <t xml:space="preserve">
Digite el nombre de los rubros adicionales.</t>
        </r>
      </text>
    </comment>
    <comment ref="E27" authorId="0" shapeId="0" xr:uid="{00000000-0006-0000-0200-000009000000}">
      <text>
        <r>
          <rPr>
            <b/>
            <sz val="9"/>
            <color indexed="81"/>
            <rFont val="Tahoma"/>
            <family val="2"/>
          </rPr>
          <t>DARIO MAURICIO REYES GIRALDO:</t>
        </r>
        <r>
          <rPr>
            <sz val="9"/>
            <color indexed="81"/>
            <rFont val="Tahoma"/>
            <family val="2"/>
          </rPr>
          <t xml:space="preserve">
Digite el nombre de los rubros adicionales.</t>
        </r>
      </text>
    </comment>
    <comment ref="E28" authorId="0" shapeId="0" xr:uid="{00000000-0006-0000-0200-00000A000000}">
      <text>
        <r>
          <rPr>
            <b/>
            <sz val="9"/>
            <color indexed="81"/>
            <rFont val="Tahoma"/>
            <family val="2"/>
          </rPr>
          <t>DARIO MAURICIO REYES GIRALDO:</t>
        </r>
        <r>
          <rPr>
            <sz val="9"/>
            <color indexed="81"/>
            <rFont val="Tahoma"/>
            <family val="2"/>
          </rPr>
          <t xml:space="preserve">
Digite el nombre de los rubros adicionales.</t>
        </r>
      </text>
    </comment>
    <comment ref="E29" authorId="0" shapeId="0" xr:uid="{00000000-0006-0000-0200-00000B000000}">
      <text>
        <r>
          <rPr>
            <b/>
            <sz val="9"/>
            <color indexed="81"/>
            <rFont val="Tahoma"/>
            <family val="2"/>
          </rPr>
          <t>DARIO MAURICIO REYES GIRALDO:</t>
        </r>
        <r>
          <rPr>
            <sz val="9"/>
            <color indexed="81"/>
            <rFont val="Tahoma"/>
            <family val="2"/>
          </rPr>
          <t xml:space="preserve">
Digite el nombre de los rubros adicionales.</t>
        </r>
      </text>
    </comment>
    <comment ref="E30" authorId="0" shapeId="0" xr:uid="{00000000-0006-0000-0200-00000C000000}">
      <text>
        <r>
          <rPr>
            <b/>
            <sz val="9"/>
            <color indexed="81"/>
            <rFont val="Tahoma"/>
            <family val="2"/>
          </rPr>
          <t>DARIO MAURICIO REYES GIRALDO:</t>
        </r>
        <r>
          <rPr>
            <sz val="9"/>
            <color indexed="81"/>
            <rFont val="Tahoma"/>
            <family val="2"/>
          </rPr>
          <t xml:space="preserve">
Digite el nombre de los rubros adicionales.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F4" authorId="0" shapeId="0" xr:uid="{00000000-0006-0000-0300-000001000000}">
      <text>
        <r>
          <rPr>
            <b/>
            <sz val="9"/>
            <color indexed="81"/>
            <rFont val="Tahoma"/>
            <family val="2"/>
          </rPr>
          <t>DARIO MAURICIO REYES GIRALDO:</t>
        </r>
        <r>
          <rPr>
            <sz val="9"/>
            <color indexed="81"/>
            <rFont val="Tahoma"/>
            <family val="2"/>
          </rPr>
          <t xml:space="preserve">
Digite la tasa de interés anual a la que un banco les podría prestar esete dinero.</t>
        </r>
      </text>
    </comment>
    <comment ref="J4" authorId="0" shapeId="0" xr:uid="{00000000-0006-0000-0300-000002000000}">
      <text>
        <r>
          <rPr>
            <b/>
            <sz val="9"/>
            <color indexed="81"/>
            <rFont val="Tahoma"/>
            <family val="2"/>
          </rPr>
          <t>DARIO MAURICIO REYES GIRALDO:</t>
        </r>
        <r>
          <rPr>
            <sz val="9"/>
            <color indexed="81"/>
            <rFont val="Tahoma"/>
            <family val="2"/>
          </rPr>
          <t xml:space="preserve">
Escoja un valor entre 1 y 5.</t>
        </r>
      </text>
    </comment>
    <comment ref="C7" authorId="0" shapeId="0" xr:uid="{00000000-0006-0000-0300-000003000000}">
      <text>
        <r>
          <rPr>
            <b/>
            <sz val="9"/>
            <color indexed="81"/>
            <rFont val="Tahoma"/>
            <family val="2"/>
          </rPr>
          <t>DARIO MAURICIO REYES GIRALDO:</t>
        </r>
        <r>
          <rPr>
            <sz val="9"/>
            <color indexed="81"/>
            <rFont val="Tahoma"/>
            <family val="2"/>
          </rPr>
          <t xml:space="preserve">
Este valor debe ser el resultado de la política de Capital de Trabajo, es decir, deben calcular cuantos meses de efectivo  requieren para cubrir estas necesidades, hasta que se recuperen las primeras ventas. Luego el negocio debe ser autosuficiente por si mismo.</t>
        </r>
      </text>
    </comment>
    <comment ref="D15" authorId="0" shapeId="0" xr:uid="{00000000-0006-0000-0300-000004000000}">
      <text>
        <r>
          <rPr>
            <b/>
            <sz val="9"/>
            <color indexed="81"/>
            <rFont val="Tahoma"/>
            <family val="2"/>
          </rPr>
          <t>DARIO MAURICIO REYES GIRALDO:</t>
        </r>
        <r>
          <rPr>
            <sz val="9"/>
            <color indexed="81"/>
            <rFont val="Tahoma"/>
            <family val="2"/>
          </rPr>
          <t xml:space="preserve">
Digitar el valor del aporte realizado por los emprendedores.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E3" authorId="0" shapeId="0" xr:uid="{00000000-0006-0000-0500-000001000000}">
      <text>
        <r>
          <rPr>
            <b/>
            <sz val="9"/>
            <color indexed="81"/>
            <rFont val="Tahoma"/>
            <family val="2"/>
          </rPr>
          <t>DARIO MAURICIO REYES GIRALDO:</t>
        </r>
        <r>
          <rPr>
            <sz val="9"/>
            <color indexed="81"/>
            <rFont val="Tahoma"/>
            <family val="2"/>
          </rPr>
          <t xml:space="preserve">
Esta es la tasa mínima que usted como emprendedor espera obtener al invertir en este plan de negocio.
Sea justo y realista en su determinación, revise la rentabilidad promedio de las empresas del sector, también tenga en cuenta que usted debe aspirar como mínimo a ganar rentabilidades por encima de las que ofrezcan las inversiones de bajo o cero riesgo, en nuestro caso puede tomar como punto de partida las tasas de los CDT.  A esta tasa le puede sumar la tasa de inflación promedio para los próximos 5 años, estos indicadores los puede consultar en la Página del Banco de la República o En la de estudios económicos de Bancolombia, por último puede sumar un porcentaje adicional debido al riesgo implícito en el tipo de actividad económica que usted como emprendedor piensa desarrollar, para ello consulte la rentabilidad promedio de la Industria. </t>
        </r>
      </text>
    </comment>
    <comment ref="H10" authorId="0" shapeId="0" xr:uid="{00000000-0006-0000-0500-000002000000}">
      <text>
        <r>
          <rPr>
            <b/>
            <sz val="9"/>
            <color indexed="81"/>
            <rFont val="Tahoma"/>
            <family val="2"/>
          </rPr>
          <t>DARIO MAURICIO REYES GIRALDO:</t>
        </r>
        <r>
          <rPr>
            <sz val="9"/>
            <color indexed="81"/>
            <rFont val="Tahoma"/>
            <family val="2"/>
          </rPr>
          <t xml:space="preserve">
Si el resultado es negativo, no es valido!</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<sst xmlns="http://schemas.openxmlformats.org/spreadsheetml/2006/main" count="300" uniqueCount="263">
  <si>
    <t>TUTORIAL</t>
  </si>
  <si>
    <t>INGRESOS/VENTAS DEL PRIMER AÑO</t>
  </si>
  <si>
    <t>CRECIMIENTO PORCENTUAL  EN VTAS (CANTIDADES)</t>
  </si>
  <si>
    <t>INCREMENTO EN PRECIO</t>
  </si>
  <si>
    <t>AÑO BASE</t>
  </si>
  <si>
    <t>NOMBRE DEL PRODUCTO O SERVICIO</t>
  </si>
  <si>
    <t>CANTIDADES</t>
  </si>
  <si>
    <t>PRECIO DE VENTA UNITARIO SIN IVA</t>
  </si>
  <si>
    <t>INGRESOS TOTALES</t>
  </si>
  <si>
    <t>AÑO:</t>
  </si>
  <si>
    <t>AÑO 2</t>
  </si>
  <si>
    <t>AÑO 3</t>
  </si>
  <si>
    <t>AÑO 4</t>
  </si>
  <si>
    <t>AÑO 5</t>
  </si>
  <si>
    <t>año 2</t>
  </si>
  <si>
    <t>año 3</t>
  </si>
  <si>
    <t>año 4</t>
  </si>
  <si>
    <t>año 5</t>
  </si>
  <si>
    <t>Servicio de Asesoría</t>
  </si>
  <si>
    <t>AÑO</t>
  </si>
  <si>
    <t>Servicio de Consultoría</t>
  </si>
  <si>
    <t>INFLACIÓN</t>
  </si>
  <si>
    <t>Formación y capacitación (Cupos de Seminario y Talleres de Sostenibilidad &amp; ODS 12)</t>
  </si>
  <si>
    <t>IPP</t>
  </si>
  <si>
    <t>TASA IMPTO RENTA</t>
  </si>
  <si>
    <t>TOTAL</t>
  </si>
  <si>
    <t>COSTOS DE CADA PRODUCTO O SERVICIO</t>
  </si>
  <si>
    <t>NOMBRE DEL PRODUCTO SERVICIO</t>
  </si>
  <si>
    <r>
      <t xml:space="preserve">COSTO UNITARIO DEL PDTO O </t>
    </r>
    <r>
      <rPr>
        <b/>
        <u/>
        <sz val="8"/>
        <color theme="1"/>
        <rFont val="Antique Olive"/>
      </rPr>
      <t>SERVICIO</t>
    </r>
  </si>
  <si>
    <t>COSTOS TOTALES</t>
  </si>
  <si>
    <t>PROYECCIONES</t>
  </si>
  <si>
    <t>VENTAS ANUALES</t>
  </si>
  <si>
    <t>COSTOS ANUALES</t>
  </si>
  <si>
    <t>MARGEN OPERATIVO</t>
  </si>
  <si>
    <t>DEFINA LA INVERISIÓN INICIAL QUE REALIZARÁN PARA LA PUESTA EN MARCHA DEL NEGOCIO:</t>
  </si>
  <si>
    <t>INVERSIÓN INICIAL</t>
  </si>
  <si>
    <t>DEP</t>
  </si>
  <si>
    <t>TERRENOS</t>
  </si>
  <si>
    <t>PROPIEDAD PLANTA Y EQUIPO</t>
  </si>
  <si>
    <t>MUEBLES Y ENSERES</t>
  </si>
  <si>
    <t>EQUIPO DE OFICINA</t>
  </si>
  <si>
    <t>EQUIPO DE TRANSPORTE</t>
  </si>
  <si>
    <t>FRANQUICIAS</t>
  </si>
  <si>
    <t>PATENTES /INV en INTANGIBLES</t>
  </si>
  <si>
    <t>GASTOS DE PUESTA EN MARCHA</t>
  </si>
  <si>
    <t>TOTAL INVERSIONES</t>
  </si>
  <si>
    <t>INCLUYA EN CADA CATEGORÍA LOS COSTOS Y GASTOS FIJOS DEL PRIMER AÑO, EN LOS QUE DEBERÁN INCURRRIR PARA LA OPERACIÓN DEL NEGOCIO</t>
  </si>
  <si>
    <t>NÓMINAS:</t>
  </si>
  <si>
    <t>GASTOS FIJOS:</t>
  </si>
  <si>
    <t>VALOR AÑO 1</t>
  </si>
  <si>
    <t>ADMINISTRATIVA:</t>
  </si>
  <si>
    <t>ARRIENDO:</t>
  </si>
  <si>
    <t>SERVICIOS PÚBLICOS:</t>
  </si>
  <si>
    <t>VENTAS:</t>
  </si>
  <si>
    <t>TELEFONÍA CELULAR:</t>
  </si>
  <si>
    <t>INTERNET:</t>
  </si>
  <si>
    <t>PRODUCCIÓN/SERVICIO:</t>
  </si>
  <si>
    <t>PAPELERÍA:</t>
  </si>
  <si>
    <t>TOTAL NÓMINAS</t>
  </si>
  <si>
    <t>SERVICIOS DE SEGURIDAD:</t>
  </si>
  <si>
    <t>SERVICIOS DE ASEO:</t>
  </si>
  <si>
    <t>PRESUPUESTO DEL MARKETING MIX año de INICIO.</t>
  </si>
  <si>
    <t>polizas de seguro</t>
  </si>
  <si>
    <t>Outsourcing</t>
  </si>
  <si>
    <t>GASTO PUBLICITARIO AÑOS SIGUIENTES</t>
  </si>
  <si>
    <t>TOTAL GASTOS FIJOS</t>
  </si>
  <si>
    <t>INVERSIÓN TOTAL Y NECESIDADES DE FINANCIACIÓN</t>
  </si>
  <si>
    <t>TASA DE INT ANUAL CRÉDITO</t>
  </si>
  <si>
    <t>AÑOS DE CRÉDITO</t>
  </si>
  <si>
    <t>CALCULO DEL CAPITAL DE TRABAJO INICIAL</t>
  </si>
  <si>
    <t xml:space="preserve">CALCULO DEL PRÉSTAMO </t>
  </si>
  <si>
    <t>MESES</t>
  </si>
  <si>
    <t>VALOR</t>
  </si>
  <si>
    <t>inicial</t>
  </si>
  <si>
    <t>interés</t>
  </si>
  <si>
    <t>amort</t>
  </si>
  <si>
    <t>cuota</t>
  </si>
  <si>
    <t>final</t>
  </si>
  <si>
    <t>COSTOS OPERATIVOS</t>
  </si>
  <si>
    <t>AÑO 0</t>
  </si>
  <si>
    <t>NÓMINAS</t>
  </si>
  <si>
    <t>MARKETING MIX</t>
  </si>
  <si>
    <t>GASTOS FIJOS</t>
  </si>
  <si>
    <t>TOTAL INVERSIÓN</t>
  </si>
  <si>
    <t>APORTE DE LOS EMPRENDEDORES</t>
  </si>
  <si>
    <t>PRÉSTAMO A SOLICITAR</t>
  </si>
  <si>
    <t>ESTADOS FINANCIEROS BÁSICOS PROYECTADOS</t>
  </si>
  <si>
    <t>Todos los datos de los Estados financieros se generan de forma automática.</t>
  </si>
  <si>
    <t>ESTADO DE RESULTADOS</t>
  </si>
  <si>
    <t>VENTAS</t>
  </si>
  <si>
    <t>COSTO VENTAS</t>
  </si>
  <si>
    <t>UTILIDAD BRUTA</t>
  </si>
  <si>
    <t>GASTOS ADTIVOS Y VTAS</t>
  </si>
  <si>
    <t>GASTOS FIJOS DEL PERIODO</t>
  </si>
  <si>
    <t>OTROS GASTOS</t>
  </si>
  <si>
    <t>DEPRECIACIÓN</t>
  </si>
  <si>
    <t>UTILIDAD OPERATIVA</t>
  </si>
  <si>
    <t>GASTOS FINACIEROS</t>
  </si>
  <si>
    <t>UTILIDAD ANTES DE IMPTOS</t>
  </si>
  <si>
    <t>IMPUESTOS</t>
  </si>
  <si>
    <t>UTILIDAD NETA</t>
  </si>
  <si>
    <t>BALANCE</t>
  </si>
  <si>
    <t xml:space="preserve">ACTIVO </t>
  </si>
  <si>
    <t>CAJA/BANCOS</t>
  </si>
  <si>
    <t>FIJO NO DEPRECIABLE</t>
  </si>
  <si>
    <t>FIJO DEPRECIABLE</t>
  </si>
  <si>
    <t>DEPRECIACIÓN ACUMULADA</t>
  </si>
  <si>
    <t>ACTIVO FIJO NETO</t>
  </si>
  <si>
    <t>TOTAL ACTIVO</t>
  </si>
  <si>
    <t>PASIVO</t>
  </si>
  <si>
    <t>Impuestos X Pagar</t>
  </si>
  <si>
    <t>TOTAL PASIVO CORRIENTE</t>
  </si>
  <si>
    <t>Obligaciones Financieras</t>
  </si>
  <si>
    <t>PATRIMONIO</t>
  </si>
  <si>
    <t>Capital Social</t>
  </si>
  <si>
    <t>Utilidades del Ejercicio</t>
  </si>
  <si>
    <t>TOTAL PATRIMONIO</t>
  </si>
  <si>
    <t>TOTAL PAS + PAT</t>
  </si>
  <si>
    <t>CUADRE (ACT = PAS+PAT)</t>
  </si>
  <si>
    <t>FLUJO DE CAJA DEL PROYECTO:</t>
  </si>
  <si>
    <t>CAPITAL INVERTIDO</t>
  </si>
  <si>
    <t>Activos Corrientes</t>
  </si>
  <si>
    <t>Pasivos Corrientes</t>
  </si>
  <si>
    <t>KTNO</t>
  </si>
  <si>
    <t>Activo Fijo Neto</t>
  </si>
  <si>
    <t>Depreciación Acumulada</t>
  </si>
  <si>
    <t>Activo Fijo Bruto</t>
  </si>
  <si>
    <t>Total Capital Operativo Neto</t>
  </si>
  <si>
    <t>CALCULO DEL FLUJO DE CAJA LIBRE</t>
  </si>
  <si>
    <t>EBIT</t>
  </si>
  <si>
    <t>Impuestos</t>
  </si>
  <si>
    <t>NOPLAT</t>
  </si>
  <si>
    <t>Inversión Neta</t>
  </si>
  <si>
    <t>Flujo de Caja Libre del periódo</t>
  </si>
  <si>
    <t>EVALUACIÓN FINANCIERA Y PUNTO DE EQULIBRIO</t>
  </si>
  <si>
    <t xml:space="preserve">Tasa mínima de rentabilidad esperada por los emprendedores (TMR):  </t>
  </si>
  <si>
    <t>FLUJO DE CAJA DE PROYECTO</t>
  </si>
  <si>
    <t>INVERSIÓN AÑO 0</t>
  </si>
  <si>
    <t>VALOR PRESENTE NETO DEL PROYECTO =</t>
  </si>
  <si>
    <t>TASA INTERNA DE RETORNO =</t>
  </si>
  <si>
    <t>PERIODO DE RECUPERACIÓN:</t>
  </si>
  <si>
    <t>AÑOS</t>
  </si>
  <si>
    <t>PUNTO DE EQULIBRIO</t>
  </si>
  <si>
    <t>MARGEN DE CONTRIBUCIÓN UNITARIO</t>
  </si>
  <si>
    <t>PARTICIPACIÓN % EN VENTAS TOTALES</t>
  </si>
  <si>
    <t>MARGEN DE CONTRIBUCIÓN PONDERADO</t>
  </si>
  <si>
    <t>PTO EQUILIBRIO POR REFERENCIA DE PDTO O SERVICIO</t>
  </si>
  <si>
    <t>COSTO</t>
  </si>
  <si>
    <t>UNIDADES</t>
  </si>
  <si>
    <t>TOTAL MARGEN DE CONTRIBUCIÓN PROMEDIO PONDERADO  =</t>
  </si>
  <si>
    <t>PUNTO DE EQULIBRIO = COSTOS Y GTOS FIJO/MCPP    =</t>
  </si>
  <si>
    <t>PUNTO DE EQULIBRIO EN PESOS (VALOR VENTAS MÍNIMAS EN TOTAL SIN IVA)</t>
  </si>
  <si>
    <t>COSTOS FIJO</t>
  </si>
  <si>
    <t>INGRESOS</t>
  </si>
  <si>
    <t>COSTO VAR</t>
  </si>
  <si>
    <t>COSTO TOTAL</t>
  </si>
  <si>
    <t xml:space="preserve">PRECIOS </t>
  </si>
  <si>
    <t>TOTAL VENTAS</t>
  </si>
  <si>
    <t>Recursos Necesarios para Ejecutar el Plan de Negocio Empresarial sobre el ODS 12</t>
  </si>
  <si>
    <t>Equipo Interno</t>
  </si>
  <si>
    <t>Equipo Consultor</t>
  </si>
  <si>
    <t>Infraestructura Administrativa</t>
  </si>
  <si>
    <t>Recurso Humano</t>
  </si>
  <si>
    <t>Cantidad</t>
  </si>
  <si>
    <t>Costo</t>
  </si>
  <si>
    <t>Costo ( Anual)</t>
  </si>
  <si>
    <t>Managers and Directors Staff</t>
  </si>
  <si>
    <t>Product Manager</t>
  </si>
  <si>
    <t>Brand Manager</t>
  </si>
  <si>
    <t>Manager of Human Resources</t>
  </si>
  <si>
    <t>Commercial Manager</t>
  </si>
  <si>
    <t>Accounting and Financial Manager</t>
  </si>
  <si>
    <t>Operations Manager</t>
  </si>
  <si>
    <t>Total</t>
  </si>
  <si>
    <t>Collaborators</t>
  </si>
  <si>
    <t>Costo Anual por Departamento</t>
  </si>
  <si>
    <t>Human Resources Assitant</t>
  </si>
  <si>
    <t>Project Specialist</t>
  </si>
  <si>
    <t>Gerentes de Marca y Producto</t>
  </si>
  <si>
    <t>Commercial Agent</t>
  </si>
  <si>
    <t>Ingeniero Ambiental</t>
  </si>
  <si>
    <t>Relaciones públicas</t>
  </si>
  <si>
    <t>Financial Assistant</t>
  </si>
  <si>
    <t>Ventas</t>
  </si>
  <si>
    <t>Public Relations</t>
  </si>
  <si>
    <t>Operaciones</t>
  </si>
  <si>
    <t>Graphic Designer</t>
  </si>
  <si>
    <t>Financiero &amp; Contable</t>
  </si>
  <si>
    <t>Costumer Support</t>
  </si>
  <si>
    <t>Recursos Humanos</t>
  </si>
  <si>
    <t>Marketing</t>
  </si>
  <si>
    <t>Proyectos</t>
  </si>
  <si>
    <t>Servicio al cliente</t>
  </si>
  <si>
    <t>Nomina Administriva Anual</t>
  </si>
  <si>
    <t>Nomina Ventas Anual</t>
  </si>
  <si>
    <t>Nomina Total Anual</t>
  </si>
  <si>
    <t>Nominas Producción Servicio Anual</t>
  </si>
  <si>
    <t>Meses Alcanzar el P. Equilibrio (3)</t>
  </si>
  <si>
    <t>Total Inversion</t>
  </si>
  <si>
    <t>Total mes</t>
  </si>
  <si>
    <t>Support Agency for Marketing Mix</t>
  </si>
  <si>
    <t>Total de Inversion</t>
  </si>
  <si>
    <t>Recurso Fisico &amp; Software Plataforma</t>
  </si>
  <si>
    <t>Costo Anual</t>
  </si>
  <si>
    <t>CRM (Dynamics)</t>
  </si>
  <si>
    <t>Marketing Mix (Hubspot)</t>
  </si>
  <si>
    <t>Financial Software (Siigo Nomina)</t>
  </si>
  <si>
    <t>Financial Software (Siigo Contador Ilimitado)</t>
  </si>
  <si>
    <t>Financial Software (Siigo Facturación Electrónica)</t>
  </si>
  <si>
    <t xml:space="preserve">Se toman las mismas referencias de equipos para cada categoria, Computadores administrativos, computadores de diseno y telefonos IP </t>
  </si>
  <si>
    <t>Microsoft 365 Empresa Estándar</t>
  </si>
  <si>
    <t>16 Suscripciones</t>
  </si>
  <si>
    <t>Recurso Fisico</t>
  </si>
  <si>
    <t>Locación fisica</t>
  </si>
  <si>
    <t>Computadores Administrativo</t>
  </si>
  <si>
    <t>Computers for Managers</t>
  </si>
  <si>
    <t>Teléfono IP</t>
  </si>
  <si>
    <t>Total de inversión</t>
  </si>
  <si>
    <t>Desarrollo de los Servicios</t>
  </si>
  <si>
    <t>Consultoría Sostenible ODS 12 Plan Inicial</t>
  </si>
  <si>
    <t>Consultoría Sostenible ODS 12 Plan Avanzado</t>
  </si>
  <si>
    <t>Item</t>
  </si>
  <si>
    <t>Seminario y Talleres ODS 12</t>
  </si>
  <si>
    <t>Total de inversión para el Desarrollo de los Servicios</t>
  </si>
  <si>
    <t>Registro de Patentes</t>
  </si>
  <si>
    <t>Costos</t>
  </si>
  <si>
    <t>Gastos Anuales</t>
  </si>
  <si>
    <t>Tasas SIC solicitud de patente de invención (en línea)</t>
  </si>
  <si>
    <t>2022 - Desarrollo</t>
  </si>
  <si>
    <t xml:space="preserve"> Examen de patentabilidad de patente de invención (en línea)</t>
  </si>
  <si>
    <t>2022 - Costo Operativo</t>
  </si>
  <si>
    <t>Solicitud de patente de modelo de utilidad (en línea)</t>
  </si>
  <si>
    <t xml:space="preserve">2022 - Recursos </t>
  </si>
  <si>
    <t>Examen de patentabilidad de modelo de utilidad (en línea)</t>
  </si>
  <si>
    <t>Costo Total</t>
  </si>
  <si>
    <t>Costo unitario del producto</t>
  </si>
  <si>
    <t>Fuente: https://www.cardenasvega.com/index.php/cardenas-vega/boletin-intelectual/item/cuanto-cuesta-patentar-producto-colombia</t>
  </si>
  <si>
    <t>Impuesto IVA</t>
  </si>
  <si>
    <t>Muebles y Enseres</t>
  </si>
  <si>
    <t>ESCRITORIOS</t>
  </si>
  <si>
    <t>DOTACIÓN DE OFICINA</t>
  </si>
  <si>
    <t>ARCHIVADORES</t>
  </si>
  <si>
    <t>Costos Fijos</t>
  </si>
  <si>
    <t>Servicios Públicos</t>
  </si>
  <si>
    <t>https://blog.properati.com.co/costo-servicios-publicos-estrato-4/</t>
  </si>
  <si>
    <t>Acueducto</t>
  </si>
  <si>
    <t>Telefonía Celular (3 teléfonos)</t>
  </si>
  <si>
    <t>https://empresas.comuniquemonos.com/troncal-sip/?gclid=CjwKCAjwxZqSBhAHEiwASr9n9C88HOWs-ovoAADmEIi4bsLYXfZEfwZfdNZIQGEez7dEC9rpT2lzyBoCS-YQAvD_BwE</t>
  </si>
  <si>
    <t>Alcantarillado</t>
  </si>
  <si>
    <t xml:space="preserve">Internet </t>
  </si>
  <si>
    <t>https://etbdigital.com/?tsource=Google&amp;Campaign=adf1c43c-4203-11ea-988f-005056968018&amp;gclid=CjwKCAjwxZqSBhAHEiwASr9n9FmxlMgJUkLwJSckeWdS2krdiISr876kdoYccQWAHm1cRc_vuOtBWRoCvu4QAvD_BwE</t>
  </si>
  <si>
    <t>Energía</t>
  </si>
  <si>
    <t>Papelería (16 personas)</t>
  </si>
  <si>
    <t xml:space="preserve">Estmiación propia de caja menor para oficina en caja menor </t>
  </si>
  <si>
    <t>Gas</t>
  </si>
  <si>
    <t>Servicios de seguridad (2 Medio humano con arma)</t>
  </si>
  <si>
    <t>https://contodapropiedad.com/tarifa-del-servicio-de-vigilancia-para-el-20depende-del-estrato-y-el-uso-de-armas-y-caninos/</t>
  </si>
  <si>
    <t>Servicios de aseo (2 veces por semana 8 horas)</t>
  </si>
  <si>
    <t>https://campamentosyconstrucciones.com/aseo-y-cafeteria/?gclid=CjwKCAjwxZqSBhAHEiwASr9n9M6eEnKijTHuZ2HbFvbCp42Is-hEYq3b_Cm07pvDOENtF7h39HhocxoCN7oQAvD_BwE</t>
  </si>
  <si>
    <t xml:space="preserve">Poliza de seguros </t>
  </si>
  <si>
    <t>Costos Fijos al mes</t>
  </si>
  <si>
    <t>Año</t>
  </si>
  <si>
    <t>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</si>
</sst>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164" formatCode="&quot;$&quot;\ #,##0;[Red]\-&quot;$&quot;\ #,##0"/>
    <numFmt numFmtId="165" formatCode="_-&quot;$&quot;\ * #,##0.00_-;\-&quot;$&quot;\ * #,##0.00_-;_-&quot;$&quot;\ * &quot;-&quot;??_-;_-@_-"/>
    <numFmt numFmtId="166" formatCode="&quot;$&quot;#,##0.00;[Red]\-&quot;$&quot;#,##0.00"/>
    <numFmt numFmtId="167" formatCode="&quot;$&quot;\ #,##0.00_);[Red]\(&quot;$&quot;\ #,##0.00\)"/>
    <numFmt numFmtId="168" formatCode="_(&quot;$&quot;\ * #,##0.00_);_(&quot;$&quot;\ * \(#,##0.00\);_(&quot;$&quot;\ * &quot;-&quot;??_);_(@_)"/>
    <numFmt numFmtId="169" formatCode="_(* #,##0.00_);_(* \(#,##0.00\);_(* &quot;-&quot;??_);_(@_)"/>
    <numFmt numFmtId="170" formatCode="_(&quot;$&quot;\ * #,##0.0_);_(&quot;$&quot;\ * \(#,##0.0\);_(&quot;$&quot;\ * &quot;-&quot;??_);_(@_)"/>
    <numFmt numFmtId="171" formatCode="_(&quot;$&quot;\ * #,##0_);_(&quot;$&quot;\ * \(#,##0\);_(&quot;$&quot;\ * &quot;-&quot;??_);_(@_)"/>
    <numFmt numFmtId="172" formatCode="0.0%"/>
    <numFmt numFmtId="173" formatCode="_([$$-240A]\ * #,##0.00_);_([$$-240A]\ * \(#,##0.00\);_([$$-240A]\ * &quot;-&quot;??_);_(@_)"/>
    <numFmt numFmtId="174" formatCode="_(&quot;$&quot;\ * #,##0.00000_);_(&quot;$&quot;\ * \(#,##0.00000\);_(&quot;$&quot;\ * &quot;-&quot;??_);_(@_)"/>
    <numFmt numFmtId="175" formatCode="_ &quot;$&quot;\ * #,##0_ ;_ &quot;$&quot;\ * \-#,##0_ ;_ &quot;$&quot;\ * &quot;-&quot;??_ ;_ @_ "/>
    <numFmt numFmtId="176" formatCode="_(&quot;$&quot;\ * #,##0.0_);_(&quot;$&quot;\ * \(#,##0.0\);_(&quot;$&quot;\ * &quot;-&quot;?_);_(@_)"/>
    <numFmt numFmtId="177" formatCode="_(* #,##0_);_(* \(#,##0\);_(* &quot;-&quot;??_);_(@_)"/>
    <numFmt numFmtId="178" formatCode="_ &quot;$&quot;\ * #,##0.0_ ;_ &quot;$&quot;\ * \-#,##0.0_ ;_ &quot;$&quot;\ * &quot;-&quot;??_ ;_ @_ "/>
    <numFmt numFmtId="179" formatCode="_(* #,##0.0_);_(* \(#,##0.0\);_(* &quot;-&quot;??_);_(@_)"/>
    <numFmt numFmtId="180" formatCode="_ * #,##0.00_ ;_ * \-#,##0.00_ ;_ * &quot;-&quot;??_ ;_ @_ "/>
    <numFmt numFmtId="181" formatCode="&quot;$&quot;#,##0.00"/>
    <numFmt numFmtId="182" formatCode="_-&quot;$&quot;* #,##0.0_-;\-&quot;$&quot;* #,##0.0_-;_-&quot;$&quot;* &quot;-&quot;??_-;_-@_-"/>
    <numFmt numFmtId="183" formatCode="&quot;$&quot;\ #,##0"/>
    <numFmt numFmtId="184" formatCode="&quot;$&quot;\ #,##0.00"/>
  </numFmts>
  <fonts count="55">
    <font>
      <sz val="11"/>
      <color theme="1"/>
      <name val="Calibri"/>
      <family val="2"/>
      <scheme val="minor"/>
    </font>
    <font>
      <sz val="11"/>
      <color theme="1"/>
      <name val="Calibri"/>
      <family val="2"/>
      <scheme val="minor"/>
    </font>
    <font>
      <b/>
      <sz val="11"/>
      <color theme="1"/>
      <name val="Calibri"/>
      <family val="2"/>
      <scheme val="minor"/>
    </font>
    <font>
      <b/>
      <sz val="11"/>
      <color theme="1"/>
      <name val="Aharoni"/>
    </font>
    <font>
      <sz val="11"/>
      <color theme="1"/>
      <name val="Aharoni"/>
    </font>
    <font>
      <b/>
      <sz val="8"/>
      <color theme="1"/>
      <name val="Antique Olive"/>
      <family val="2"/>
    </font>
    <font>
      <sz val="11"/>
      <color theme="1"/>
      <name val="Arial"/>
      <family val="2"/>
    </font>
    <font>
      <b/>
      <sz val="11"/>
      <color theme="1"/>
      <name val="Arial"/>
      <family val="2"/>
    </font>
    <font>
      <sz val="18"/>
      <color theme="1"/>
      <name val="Aharoni"/>
    </font>
    <font>
      <sz val="20"/>
      <color theme="1"/>
      <name val="Aharoni"/>
    </font>
    <font>
      <b/>
      <sz val="10"/>
      <color theme="1"/>
      <name val="Aharoni"/>
    </font>
    <font>
      <b/>
      <sz val="12"/>
      <color theme="1"/>
      <name val="Aharoni"/>
    </font>
    <font>
      <b/>
      <sz val="14"/>
      <color theme="1"/>
      <name val="Aharoni"/>
    </font>
    <font>
      <b/>
      <sz val="18"/>
      <color theme="1"/>
      <name val="Aharoni"/>
    </font>
    <font>
      <sz val="9"/>
      <color indexed="81"/>
      <name val="Tahoma"/>
      <family val="2"/>
    </font>
    <font>
      <b/>
      <sz val="9"/>
      <color indexed="81"/>
      <name val="Tahoma"/>
      <family val="2"/>
    </font>
    <font>
      <sz val="10"/>
      <color theme="1"/>
      <name val="Aharoni"/>
    </font>
    <font>
      <sz val="9"/>
      <color theme="1"/>
      <name val="Arial"/>
      <family val="2"/>
    </font>
    <font>
      <sz val="11"/>
      <color theme="0"/>
      <name val="Calibri"/>
      <family val="2"/>
      <scheme val="minor"/>
    </font>
    <font>
      <b/>
      <sz val="9"/>
      <color theme="1"/>
      <name val="Aharoni"/>
    </font>
    <font>
      <sz val="10"/>
      <name val="Arial"/>
      <family val="2"/>
    </font>
    <font>
      <b/>
      <sz val="12"/>
      <color theme="1"/>
      <name val="Calibri"/>
      <family val="2"/>
      <scheme val="minor"/>
    </font>
    <font>
      <b/>
      <sz val="14"/>
      <color theme="1"/>
      <name val="Calibri"/>
      <family val="2"/>
      <scheme val="minor"/>
    </font>
    <font>
      <sz val="14"/>
      <color theme="1"/>
      <name val="Aharoni"/>
    </font>
    <font>
      <b/>
      <sz val="10"/>
      <name val="Arial"/>
      <family val="2"/>
    </font>
    <font>
      <sz val="11"/>
      <name val="Arial"/>
      <family val="2"/>
    </font>
    <font>
      <b/>
      <sz val="11"/>
      <name val="Arial"/>
      <family val="2"/>
    </font>
    <font>
      <sz val="10"/>
      <color theme="1"/>
      <name val="Arial"/>
      <family val="2"/>
    </font>
    <font>
      <b/>
      <sz val="9"/>
      <name val="Arial"/>
      <family val="2"/>
    </font>
    <font>
      <sz val="11"/>
      <color theme="0"/>
      <name val="Arial"/>
      <family val="2"/>
    </font>
    <font>
      <sz val="18"/>
      <color theme="0"/>
      <name val="Aharoni"/>
    </font>
    <font>
      <sz val="12"/>
      <color theme="0"/>
      <name val="Aharoni"/>
    </font>
    <font>
      <sz val="12"/>
      <color theme="1"/>
      <name val="Aharoni"/>
    </font>
    <font>
      <b/>
      <sz val="12"/>
      <color rgb="FFFF0000"/>
      <name val="Calibri"/>
      <family val="2"/>
      <scheme val="minor"/>
    </font>
    <font>
      <sz val="9"/>
      <color theme="1"/>
      <name val="Aharoni"/>
    </font>
    <font>
      <b/>
      <sz val="20"/>
      <color theme="1"/>
      <name val="Aharoni"/>
    </font>
    <font>
      <u/>
      <sz val="11"/>
      <color theme="10"/>
      <name val="Calibri"/>
      <family val="2"/>
      <scheme val="minor"/>
    </font>
    <font>
      <u/>
      <sz val="16"/>
      <color rgb="FF0070C0"/>
      <name val="Arial"/>
      <family val="2"/>
    </font>
    <font>
      <b/>
      <sz val="16"/>
      <color theme="1"/>
      <name val="Calibri"/>
      <family val="2"/>
      <scheme val="minor"/>
    </font>
    <font>
      <b/>
      <sz val="18"/>
      <color theme="1"/>
      <name val="Calibri"/>
      <family val="2"/>
      <scheme val="minor"/>
    </font>
    <font>
      <sz val="22"/>
      <color theme="1"/>
      <name val="Aharoni"/>
    </font>
    <font>
      <sz val="14"/>
      <color theme="1"/>
      <name val="Calibri"/>
      <family val="2"/>
      <scheme val="minor"/>
    </font>
    <font>
      <b/>
      <sz val="16"/>
      <color theme="0"/>
      <name val="Arial"/>
      <family val="2"/>
    </font>
    <font>
      <b/>
      <u/>
      <sz val="8"/>
      <color theme="1"/>
      <name val="Antique Olive"/>
    </font>
    <font>
      <b/>
      <sz val="8"/>
      <color theme="1"/>
      <name val="Antique Olive"/>
    </font>
    <font>
      <b/>
      <sz val="16"/>
      <color theme="1"/>
      <name val="Arial"/>
      <family val="2"/>
    </font>
    <font>
      <b/>
      <sz val="8"/>
      <color theme="1"/>
      <name val="Aharoni"/>
    </font>
    <font>
      <b/>
      <sz val="11"/>
      <color theme="0"/>
      <name val="Calibri"/>
      <family val="2"/>
      <scheme val="minor"/>
    </font>
    <font>
      <b/>
      <sz val="9"/>
      <color rgb="FF000000"/>
      <name val="Tahoma"/>
      <family val="2"/>
    </font>
    <font>
      <sz val="9"/>
      <color rgb="FF000000"/>
      <name val="Tahoma"/>
      <family val="2"/>
    </font>
    <font>
      <b/>
      <i/>
      <sz val="14"/>
      <color theme="1"/>
      <name val="Calibri"/>
      <family val="2"/>
      <scheme val="minor"/>
    </font>
    <font>
      <i/>
      <sz val="11"/>
      <color theme="1"/>
      <name val="Calibri"/>
      <family val="2"/>
      <scheme val="minor"/>
    </font>
    <font>
      <sz val="11"/>
      <color theme="0"/>
      <name val="Arial"/>
    </font>
    <font>
      <b/>
      <sz val="11"/>
      <color rgb="FF7B7B7B"/>
      <name val="Calibri"/>
      <family val="2"/>
      <scheme val="minor"/>
    </font>
    <font>
      <b/>
      <sz val="11"/>
      <color rgb="FFC65911"/>
      <name val="Calibri"/>
      <family val="2"/>
      <scheme val="minor"/>
    </font>
  </fonts>
  <fills count="9">
    <fill>
      <patternFill patternType="none"/>
    </fill>
    <fill>
      <patternFill patternType="gray125"/>
    </fill>
    <fill>
      <patternFill patternType="solid">
        <fgColor rgb="FF92D050"/>
        <bgColor indexed="64"/>
      </patternFill>
    </fill>
    <fill>
      <patternFill patternType="solid">
        <fgColor theme="6" tint="0.59999389629810485"/>
        <bgColor indexed="64"/>
      </patternFill>
    </fill>
    <fill>
      <patternFill patternType="solid">
        <fgColor rgb="FF002060"/>
        <bgColor indexed="64"/>
      </patternFill>
    </fill>
    <fill>
      <patternFill patternType="solid">
        <fgColor theme="0" tint="-4.9989318521683403E-2"/>
        <bgColor indexed="64"/>
      </patternFill>
    </fill>
    <fill>
      <patternFill patternType="solid">
        <fgColor theme="3"/>
        <bgColor indexed="64"/>
      </patternFill>
    </fill>
    <fill>
      <patternFill patternType="solid">
        <fgColor rgb="FFFFFF00"/>
        <bgColor indexed="64"/>
      </patternFill>
    </fill>
    <fill>
      <patternFill patternType="solid">
        <fgColor rgb="FFFFD966"/>
        <bgColor indexed="64"/>
      </patternFill>
    </fill>
  </fills>
  <borders count="20">
    <border>
      <left/>
      <right/>
      <top/>
      <bottom/>
      <diagonal/>
    </border>
    <border>
      <left/>
      <right/>
      <top style="thin">
        <color indexed="64"/>
      </top>
      <bottom style="double">
        <color indexed="64"/>
      </bottom>
      <diagonal/>
    </border>
    <border>
      <left/>
      <right/>
      <top style="thin">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s>
  <cellStyleXfs count="8">
    <xf numFmtId="0" fontId="0" fillId="0" borderId="0"/>
    <xf numFmtId="168" fontId="1" fillId="0" borderId="0" applyFont="0" applyFill="0" applyBorder="0" applyAlignment="0" applyProtection="0"/>
    <xf numFmtId="9" fontId="1" fillId="0" borderId="0" applyFont="0" applyFill="0" applyBorder="0" applyAlignment="0" applyProtection="0"/>
    <xf numFmtId="169" fontId="20" fillId="0" borderId="0" applyFont="0" applyFill="0" applyBorder="0" applyAlignment="0" applyProtection="0"/>
    <xf numFmtId="169" fontId="1" fillId="0" borderId="0" applyFont="0" applyFill="0" applyBorder="0" applyAlignment="0" applyProtection="0"/>
    <xf numFmtId="0" fontId="36" fillId="0" borderId="0" applyNumberFormat="0" applyFill="0" applyBorder="0" applyAlignment="0" applyProtection="0"/>
    <xf numFmtId="0" fontId="20" fillId="0" borderId="0"/>
    <xf numFmtId="0" fontId="36" fillId="0" borderId="0" applyNumberFormat="0" applyFill="0" applyBorder="0" applyAlignment="0" applyProtection="0"/>
  </cellStyleXfs>
  <cellXfs count="257">
    <xf numFmtId="0" fontId="0" fillId="0" borderId="0" xfId="0"/>
    <xf numFmtId="0" fontId="25" fillId="0" borderId="0" xfId="0" applyFont="1" applyProtection="1">
      <protection hidden="1"/>
    </xf>
    <xf numFmtId="175" fontId="0" fillId="0" borderId="0" xfId="1" applyNumberFormat="1" applyFont="1" applyFill="1" applyProtection="1">
      <protection hidden="1"/>
    </xf>
    <xf numFmtId="175" fontId="0" fillId="0" borderId="7" xfId="1" applyNumberFormat="1" applyFont="1" applyFill="1" applyBorder="1" applyProtection="1">
      <protection hidden="1"/>
    </xf>
    <xf numFmtId="0" fontId="26" fillId="0" borderId="0" xfId="0" applyFont="1" applyProtection="1">
      <protection hidden="1"/>
    </xf>
    <xf numFmtId="175" fontId="24" fillId="0" borderId="0" xfId="1" applyNumberFormat="1" applyFont="1" applyFill="1" applyProtection="1">
      <protection hidden="1"/>
    </xf>
    <xf numFmtId="175" fontId="24" fillId="0" borderId="1" xfId="1" applyNumberFormat="1" applyFont="1" applyFill="1" applyBorder="1" applyProtection="1">
      <protection hidden="1"/>
    </xf>
    <xf numFmtId="177" fontId="20" fillId="0" borderId="0" xfId="3" applyNumberFormat="1" applyFont="1" applyFill="1" applyProtection="1">
      <protection hidden="1"/>
    </xf>
    <xf numFmtId="0" fontId="0" fillId="0" borderId="0" xfId="0" applyProtection="1">
      <protection hidden="1"/>
    </xf>
    <xf numFmtId="178" fontId="0" fillId="0" borderId="0" xfId="1" applyNumberFormat="1" applyFont="1" applyFill="1" applyProtection="1">
      <protection hidden="1"/>
    </xf>
    <xf numFmtId="178" fontId="0" fillId="0" borderId="7" xfId="1" applyNumberFormat="1" applyFont="1" applyFill="1" applyBorder="1" applyProtection="1">
      <protection hidden="1"/>
    </xf>
    <xf numFmtId="177" fontId="27" fillId="0" borderId="0" xfId="3" applyNumberFormat="1" applyFont="1" applyFill="1" applyBorder="1" applyProtection="1">
      <protection hidden="1"/>
    </xf>
    <xf numFmtId="0" fontId="28" fillId="0" borderId="0" xfId="0" applyFont="1" applyProtection="1">
      <protection hidden="1"/>
    </xf>
    <xf numFmtId="0" fontId="29" fillId="4" borderId="0" xfId="0" applyFont="1" applyFill="1" applyProtection="1">
      <protection locked="0"/>
    </xf>
    <xf numFmtId="168" fontId="29" fillId="4" borderId="0" xfId="1" applyFont="1" applyFill="1" applyProtection="1">
      <protection locked="0"/>
    </xf>
    <xf numFmtId="0" fontId="31" fillId="6" borderId="0" xfId="0" applyFont="1" applyFill="1" applyProtection="1">
      <protection hidden="1"/>
    </xf>
    <xf numFmtId="0" fontId="4" fillId="0" borderId="0" xfId="0" applyFont="1" applyProtection="1">
      <protection hidden="1"/>
    </xf>
    <xf numFmtId="0" fontId="5" fillId="0" borderId="0" xfId="0" applyFont="1" applyAlignment="1" applyProtection="1">
      <alignment wrapText="1"/>
      <protection hidden="1"/>
    </xf>
    <xf numFmtId="0" fontId="5" fillId="0" borderId="0" xfId="0" applyFont="1" applyAlignment="1" applyProtection="1">
      <alignment vertical="center" wrapText="1"/>
      <protection hidden="1"/>
    </xf>
    <xf numFmtId="0" fontId="12" fillId="0" borderId="0" xfId="0" applyFont="1" applyAlignment="1" applyProtection="1">
      <alignment horizontal="right"/>
      <protection hidden="1"/>
    </xf>
    <xf numFmtId="0" fontId="13" fillId="3" borderId="0" xfId="0" applyFont="1" applyFill="1" applyAlignment="1" applyProtection="1">
      <alignment wrapText="1"/>
      <protection hidden="1"/>
    </xf>
    <xf numFmtId="0" fontId="7" fillId="0" borderId="0" xfId="0" applyFont="1" applyAlignment="1" applyProtection="1">
      <alignment horizontal="center"/>
      <protection hidden="1"/>
    </xf>
    <xf numFmtId="171" fontId="6" fillId="0" borderId="0" xfId="1" applyNumberFormat="1" applyFont="1" applyProtection="1">
      <protection hidden="1"/>
    </xf>
    <xf numFmtId="9" fontId="0" fillId="0" borderId="0" xfId="2" applyFont="1" applyAlignment="1" applyProtection="1">
      <alignment horizontal="center"/>
      <protection hidden="1"/>
    </xf>
    <xf numFmtId="171" fontId="0" fillId="0" borderId="0" xfId="1" applyNumberFormat="1" applyFont="1" applyProtection="1">
      <protection hidden="1"/>
    </xf>
    <xf numFmtId="168" fontId="0" fillId="0" borderId="0" xfId="1" applyFont="1" applyProtection="1">
      <protection hidden="1"/>
    </xf>
    <xf numFmtId="168" fontId="0" fillId="0" borderId="0" xfId="0" applyNumberFormat="1" applyProtection="1">
      <protection hidden="1"/>
    </xf>
    <xf numFmtId="0" fontId="12" fillId="0" borderId="4" xfId="0" applyFont="1" applyBorder="1" applyProtection="1">
      <protection hidden="1"/>
    </xf>
    <xf numFmtId="0" fontId="13" fillId="0" borderId="5" xfId="0" applyFont="1" applyBorder="1" applyAlignment="1" applyProtection="1">
      <alignment horizontal="center"/>
      <protection hidden="1"/>
    </xf>
    <xf numFmtId="0" fontId="13" fillId="0" borderId="6" xfId="0" applyFont="1" applyBorder="1" applyAlignment="1" applyProtection="1">
      <alignment horizontal="center"/>
      <protection hidden="1"/>
    </xf>
    <xf numFmtId="0" fontId="3" fillId="0" borderId="4" xfId="0" applyFont="1" applyBorder="1" applyProtection="1">
      <protection hidden="1"/>
    </xf>
    <xf numFmtId="0" fontId="0" fillId="0" borderId="5" xfId="0" applyBorder="1" applyProtection="1">
      <protection hidden="1"/>
    </xf>
    <xf numFmtId="0" fontId="0" fillId="0" borderId="6" xfId="0" applyBorder="1" applyProtection="1">
      <protection hidden="1"/>
    </xf>
    <xf numFmtId="171" fontId="7" fillId="5" borderId="0" xfId="0" applyNumberFormat="1" applyFont="1" applyFill="1" applyProtection="1">
      <protection hidden="1"/>
    </xf>
    <xf numFmtId="9" fontId="7" fillId="5" borderId="0" xfId="2" applyFont="1" applyFill="1" applyAlignment="1" applyProtection="1">
      <alignment horizontal="center"/>
      <protection hidden="1"/>
    </xf>
    <xf numFmtId="168" fontId="2" fillId="0" borderId="0" xfId="0" applyNumberFormat="1" applyFont="1" applyProtection="1">
      <protection hidden="1"/>
    </xf>
    <xf numFmtId="171" fontId="0" fillId="0" borderId="0" xfId="0" applyNumberFormat="1" applyProtection="1">
      <protection hidden="1"/>
    </xf>
    <xf numFmtId="0" fontId="5" fillId="0" borderId="0" xfId="0" applyFont="1" applyAlignment="1" applyProtection="1">
      <alignment vertical="center"/>
      <protection hidden="1"/>
    </xf>
    <xf numFmtId="0" fontId="6" fillId="0" borderId="0" xfId="0" applyFont="1" applyProtection="1">
      <protection hidden="1"/>
    </xf>
    <xf numFmtId="0" fontId="6" fillId="0" borderId="0" xfId="0" applyFont="1" applyAlignment="1" applyProtection="1">
      <alignment horizontal="center"/>
      <protection hidden="1"/>
    </xf>
    <xf numFmtId="173" fontId="0" fillId="0" borderId="0" xfId="0" applyNumberFormat="1" applyProtection="1">
      <protection hidden="1"/>
    </xf>
    <xf numFmtId="49" fontId="6" fillId="0" borderId="0" xfId="0" applyNumberFormat="1" applyFont="1" applyProtection="1">
      <protection hidden="1"/>
    </xf>
    <xf numFmtId="0" fontId="11" fillId="0" borderId="0" xfId="0" applyFont="1" applyProtection="1">
      <protection hidden="1"/>
    </xf>
    <xf numFmtId="0" fontId="9" fillId="0" borderId="0" xfId="0" applyFont="1" applyAlignment="1" applyProtection="1">
      <alignment horizontal="center"/>
      <protection hidden="1"/>
    </xf>
    <xf numFmtId="0" fontId="9" fillId="0" borderId="0" xfId="0" applyFont="1" applyProtection="1">
      <protection hidden="1"/>
    </xf>
    <xf numFmtId="0" fontId="17" fillId="0" borderId="0" xfId="0" applyFont="1" applyProtection="1">
      <protection hidden="1"/>
    </xf>
    <xf numFmtId="170" fontId="6" fillId="0" borderId="0" xfId="1" applyNumberFormat="1" applyFont="1" applyProtection="1">
      <protection hidden="1"/>
    </xf>
    <xf numFmtId="170" fontId="6" fillId="0" borderId="0" xfId="0" applyNumberFormat="1" applyFont="1" applyProtection="1">
      <protection hidden="1"/>
    </xf>
    <xf numFmtId="0" fontId="16" fillId="0" borderId="0" xfId="0" applyFont="1" applyProtection="1">
      <protection hidden="1"/>
    </xf>
    <xf numFmtId="9" fontId="29" fillId="4" borderId="0" xfId="2" applyFont="1" applyFill="1" applyProtection="1">
      <protection locked="0"/>
    </xf>
    <xf numFmtId="0" fontId="30" fillId="6" borderId="0" xfId="0" applyFont="1" applyFill="1" applyProtection="1">
      <protection locked="0"/>
    </xf>
    <xf numFmtId="172" fontId="30" fillId="6" borderId="0" xfId="2" applyNumberFormat="1" applyFont="1" applyFill="1" applyBorder="1" applyProtection="1">
      <protection locked="0"/>
    </xf>
    <xf numFmtId="172" fontId="30" fillId="6" borderId="14" xfId="2" applyNumberFormat="1" applyFont="1" applyFill="1" applyBorder="1" applyProtection="1">
      <protection locked="0"/>
    </xf>
    <xf numFmtId="172" fontId="30" fillId="6" borderId="3" xfId="2" applyNumberFormat="1" applyFont="1" applyFill="1" applyBorder="1" applyProtection="1">
      <protection locked="0"/>
    </xf>
    <xf numFmtId="172" fontId="30" fillId="6" borderId="12" xfId="2" applyNumberFormat="1" applyFont="1" applyFill="1" applyBorder="1" applyProtection="1">
      <protection locked="0"/>
    </xf>
    <xf numFmtId="172" fontId="30" fillId="6" borderId="5" xfId="2" applyNumberFormat="1" applyFont="1" applyFill="1" applyBorder="1" applyProtection="1">
      <protection locked="0"/>
    </xf>
    <xf numFmtId="169" fontId="29" fillId="4" borderId="0" xfId="4" applyFont="1" applyFill="1" applyProtection="1">
      <protection locked="0"/>
    </xf>
    <xf numFmtId="179" fontId="29" fillId="4" borderId="0" xfId="4" applyNumberFormat="1" applyFont="1" applyFill="1" applyAlignment="1" applyProtection="1">
      <alignment horizontal="center"/>
      <protection locked="0"/>
    </xf>
    <xf numFmtId="168" fontId="29" fillId="4" borderId="0" xfId="1" applyFont="1" applyFill="1" applyAlignment="1" applyProtection="1">
      <alignment horizontal="center"/>
      <protection locked="0"/>
    </xf>
    <xf numFmtId="0" fontId="13" fillId="0" borderId="0" xfId="0" applyFont="1" applyAlignment="1" applyProtection="1">
      <alignment horizontal="center" vertical="center"/>
      <protection hidden="1"/>
    </xf>
    <xf numFmtId="0" fontId="26" fillId="5" borderId="0" xfId="0" applyFont="1" applyFill="1" applyProtection="1">
      <protection hidden="1"/>
    </xf>
    <xf numFmtId="0" fontId="0" fillId="5" borderId="0" xfId="0" applyFill="1" applyProtection="1">
      <protection hidden="1"/>
    </xf>
    <xf numFmtId="175" fontId="24" fillId="5" borderId="1" xfId="1" applyNumberFormat="1" applyFont="1" applyFill="1" applyBorder="1" applyProtection="1">
      <protection hidden="1"/>
    </xf>
    <xf numFmtId="0" fontId="8" fillId="0" borderId="0" xfId="0" applyFont="1" applyAlignment="1" applyProtection="1">
      <alignment horizontal="center" vertical="center"/>
      <protection hidden="1"/>
    </xf>
    <xf numFmtId="170" fontId="0" fillId="0" borderId="0" xfId="1" applyNumberFormat="1" applyFont="1" applyProtection="1">
      <protection hidden="1"/>
    </xf>
    <xf numFmtId="0" fontId="2" fillId="0" borderId="1" xfId="0" applyFont="1" applyBorder="1" applyProtection="1">
      <protection hidden="1"/>
    </xf>
    <xf numFmtId="170" fontId="0" fillId="0" borderId="1" xfId="0" applyNumberFormat="1" applyBorder="1" applyProtection="1">
      <protection hidden="1"/>
    </xf>
    <xf numFmtId="176" fontId="0" fillId="0" borderId="1" xfId="0" applyNumberFormat="1" applyBorder="1" applyProtection="1">
      <protection hidden="1"/>
    </xf>
    <xf numFmtId="176" fontId="0" fillId="0" borderId="0" xfId="0" applyNumberFormat="1" applyProtection="1">
      <protection hidden="1"/>
    </xf>
    <xf numFmtId="0" fontId="2" fillId="0" borderId="2" xfId="0" applyFont="1" applyBorder="1" applyProtection="1">
      <protection hidden="1"/>
    </xf>
    <xf numFmtId="176" fontId="2" fillId="0" borderId="2" xfId="0" applyNumberFormat="1" applyFont="1" applyBorder="1" applyProtection="1">
      <protection hidden="1"/>
    </xf>
    <xf numFmtId="0" fontId="23" fillId="0" borderId="0" xfId="0" applyFont="1" applyAlignment="1" applyProtection="1">
      <alignment horizontal="center" vertical="center"/>
      <protection hidden="1"/>
    </xf>
    <xf numFmtId="168" fontId="2" fillId="0" borderId="1" xfId="0" applyNumberFormat="1" applyFont="1" applyBorder="1" applyProtection="1">
      <protection hidden="1"/>
    </xf>
    <xf numFmtId="168" fontId="0" fillId="5" borderId="0" xfId="0" applyNumberFormat="1" applyFill="1" applyProtection="1">
      <protection hidden="1"/>
    </xf>
    <xf numFmtId="0" fontId="18" fillId="0" borderId="0" xfId="0" applyFont="1" applyProtection="1">
      <protection hidden="1"/>
    </xf>
    <xf numFmtId="168" fontId="18" fillId="0" borderId="0" xfId="0" applyNumberFormat="1" applyFont="1" applyProtection="1">
      <protection hidden="1"/>
    </xf>
    <xf numFmtId="0" fontId="7" fillId="0" borderId="0" xfId="0" applyFont="1" applyProtection="1">
      <protection hidden="1"/>
    </xf>
    <xf numFmtId="168" fontId="21" fillId="0" borderId="0" xfId="0" applyNumberFormat="1" applyFont="1" applyProtection="1">
      <protection hidden="1"/>
    </xf>
    <xf numFmtId="0" fontId="3" fillId="0" borderId="0" xfId="0" applyFont="1" applyAlignment="1" applyProtection="1">
      <alignment horizontal="left" wrapText="1"/>
      <protection hidden="1"/>
    </xf>
    <xf numFmtId="0" fontId="3" fillId="0" borderId="0" xfId="0" applyFont="1" applyProtection="1">
      <protection hidden="1"/>
    </xf>
    <xf numFmtId="0" fontId="19" fillId="0" borderId="0" xfId="0" applyFont="1" applyAlignment="1" applyProtection="1">
      <alignment wrapText="1"/>
      <protection hidden="1"/>
    </xf>
    <xf numFmtId="174" fontId="0" fillId="0" borderId="0" xfId="1" applyNumberFormat="1" applyFont="1" applyProtection="1">
      <protection hidden="1"/>
    </xf>
    <xf numFmtId="0" fontId="16" fillId="0" borderId="0" xfId="0" applyFont="1" applyAlignment="1" applyProtection="1">
      <alignment horizontal="center"/>
      <protection hidden="1"/>
    </xf>
    <xf numFmtId="0" fontId="32" fillId="5" borderId="0" xfId="0" applyFont="1" applyFill="1" applyProtection="1">
      <protection hidden="1"/>
    </xf>
    <xf numFmtId="168" fontId="21" fillId="5" borderId="0" xfId="0" applyNumberFormat="1" applyFont="1" applyFill="1" applyProtection="1">
      <protection hidden="1"/>
    </xf>
    <xf numFmtId="168" fontId="33" fillId="0" borderId="0" xfId="0" applyNumberFormat="1" applyFont="1" applyProtection="1">
      <protection hidden="1"/>
    </xf>
    <xf numFmtId="0" fontId="23" fillId="0" borderId="9" xfId="0" applyFont="1" applyBorder="1" applyAlignment="1" applyProtection="1">
      <alignment horizontal="center" vertical="center"/>
      <protection hidden="1"/>
    </xf>
    <xf numFmtId="0" fontId="8" fillId="0" borderId="9" xfId="0" applyFont="1" applyBorder="1" applyAlignment="1" applyProtection="1">
      <alignment horizontal="center" vertical="center"/>
      <protection hidden="1"/>
    </xf>
    <xf numFmtId="0" fontId="8" fillId="0" borderId="10" xfId="0" applyFont="1" applyBorder="1" applyAlignment="1" applyProtection="1">
      <alignment horizontal="center" vertical="center"/>
      <protection hidden="1"/>
    </xf>
    <xf numFmtId="0" fontId="0" fillId="0" borderId="11" xfId="0" applyBorder="1" applyProtection="1">
      <protection hidden="1"/>
    </xf>
    <xf numFmtId="0" fontId="34" fillId="0" borderId="0" xfId="0" applyFont="1" applyAlignment="1" applyProtection="1">
      <alignment wrapText="1"/>
      <protection hidden="1"/>
    </xf>
    <xf numFmtId="168" fontId="6" fillId="0" borderId="0" xfId="0" applyNumberFormat="1" applyFont="1" applyProtection="1">
      <protection hidden="1"/>
    </xf>
    <xf numFmtId="9" fontId="6" fillId="0" borderId="0" xfId="0" applyNumberFormat="1" applyFont="1" applyProtection="1">
      <protection hidden="1"/>
    </xf>
    <xf numFmtId="169" fontId="6" fillId="0" borderId="0" xfId="0" applyNumberFormat="1" applyFont="1" applyProtection="1">
      <protection hidden="1"/>
    </xf>
    <xf numFmtId="169" fontId="18" fillId="0" borderId="0" xfId="0" applyNumberFormat="1" applyFont="1" applyProtection="1">
      <protection hidden="1"/>
    </xf>
    <xf numFmtId="0" fontId="6" fillId="0" borderId="0" xfId="0" applyFont="1" applyAlignment="1" applyProtection="1">
      <alignment horizontal="left"/>
      <protection hidden="1"/>
    </xf>
    <xf numFmtId="9" fontId="0" fillId="0" borderId="0" xfId="0" applyNumberFormat="1" applyProtection="1">
      <protection hidden="1"/>
    </xf>
    <xf numFmtId="169" fontId="35" fillId="0" borderId="0" xfId="4" applyFont="1" applyProtection="1">
      <protection hidden="1"/>
    </xf>
    <xf numFmtId="168" fontId="35" fillId="0" borderId="0" xfId="1" applyFont="1" applyProtection="1">
      <protection hidden="1"/>
    </xf>
    <xf numFmtId="0" fontId="2" fillId="0" borderId="0" xfId="0" applyFont="1" applyProtection="1">
      <protection hidden="1"/>
    </xf>
    <xf numFmtId="169" fontId="2" fillId="0" borderId="0" xfId="4" applyFont="1" applyProtection="1">
      <protection hidden="1"/>
    </xf>
    <xf numFmtId="168" fontId="18" fillId="0" borderId="0" xfId="1" applyFont="1" applyProtection="1">
      <protection hidden="1"/>
    </xf>
    <xf numFmtId="0" fontId="19" fillId="0" borderId="0" xfId="0" applyFont="1" applyAlignment="1" applyProtection="1">
      <alignment wrapText="1"/>
      <protection locked="0"/>
    </xf>
    <xf numFmtId="0" fontId="21" fillId="0" borderId="8" xfId="0" applyFont="1" applyBorder="1" applyProtection="1">
      <protection hidden="1"/>
    </xf>
    <xf numFmtId="166" fontId="0" fillId="0" borderId="0" xfId="0" applyNumberFormat="1" applyProtection="1">
      <protection hidden="1"/>
    </xf>
    <xf numFmtId="0" fontId="20" fillId="0" borderId="0" xfId="6"/>
    <xf numFmtId="180" fontId="20" fillId="0" borderId="0" xfId="6" applyNumberFormat="1"/>
    <xf numFmtId="166" fontId="20" fillId="0" borderId="0" xfId="6" applyNumberFormat="1"/>
    <xf numFmtId="0" fontId="22" fillId="0" borderId="4" xfId="0" applyFont="1" applyBorder="1" applyProtection="1">
      <protection hidden="1"/>
    </xf>
    <xf numFmtId="2" fontId="39" fillId="7" borderId="5" xfId="0" applyNumberFormat="1" applyFont="1" applyFill="1" applyBorder="1" applyProtection="1">
      <protection hidden="1"/>
    </xf>
    <xf numFmtId="0" fontId="38" fillId="0" borderId="6" xfId="0" applyFont="1" applyBorder="1" applyProtection="1">
      <protection hidden="1"/>
    </xf>
    <xf numFmtId="181" fontId="41" fillId="0" borderId="3" xfId="0" applyNumberFormat="1" applyFont="1" applyBorder="1" applyProtection="1">
      <protection hidden="1"/>
    </xf>
    <xf numFmtId="181" fontId="41" fillId="0" borderId="12" xfId="0" applyNumberFormat="1" applyFont="1" applyBorder="1" applyProtection="1">
      <protection hidden="1"/>
    </xf>
    <xf numFmtId="167" fontId="39" fillId="5" borderId="6" xfId="0" applyNumberFormat="1" applyFont="1" applyFill="1" applyBorder="1" applyProtection="1">
      <protection hidden="1"/>
    </xf>
    <xf numFmtId="10" fontId="40" fillId="0" borderId="6" xfId="2" applyNumberFormat="1" applyFont="1" applyBorder="1" applyAlignment="1" applyProtection="1">
      <alignment horizontal="center" vertical="center"/>
      <protection hidden="1"/>
    </xf>
    <xf numFmtId="0" fontId="44" fillId="0" borderId="0" xfId="0" applyFont="1" applyAlignment="1" applyProtection="1">
      <alignment wrapText="1"/>
      <protection hidden="1"/>
    </xf>
    <xf numFmtId="0" fontId="2" fillId="0" borderId="0" xfId="0" applyFont="1" applyAlignment="1" applyProtection="1">
      <alignment horizontal="center"/>
      <protection hidden="1"/>
    </xf>
    <xf numFmtId="172" fontId="29" fillId="4" borderId="0" xfId="2" applyNumberFormat="1" applyFont="1" applyFill="1" applyProtection="1">
      <protection locked="0"/>
    </xf>
    <xf numFmtId="170" fontId="45" fillId="7" borderId="1" xfId="1" applyNumberFormat="1" applyFont="1" applyFill="1" applyBorder="1" applyProtection="1">
      <protection hidden="1"/>
    </xf>
    <xf numFmtId="0" fontId="46" fillId="0" borderId="13" xfId="0" applyFont="1" applyBorder="1" applyAlignment="1" applyProtection="1">
      <alignment wrapText="1"/>
      <protection hidden="1"/>
    </xf>
    <xf numFmtId="0" fontId="46" fillId="0" borderId="11" xfId="0" applyFont="1" applyBorder="1" applyProtection="1">
      <protection hidden="1"/>
    </xf>
    <xf numFmtId="0" fontId="0" fillId="0" borderId="8" xfId="0" applyBorder="1" applyProtection="1">
      <protection hidden="1"/>
    </xf>
    <xf numFmtId="0" fontId="26" fillId="0" borderId="15" xfId="0" applyFont="1" applyBorder="1" applyAlignment="1">
      <alignment horizontal="center"/>
    </xf>
    <xf numFmtId="0" fontId="26" fillId="0" borderId="16" xfId="0" applyFont="1" applyBorder="1" applyAlignment="1">
      <alignment horizontal="center"/>
    </xf>
    <xf numFmtId="0" fontId="2" fillId="0" borderId="13" xfId="0" applyFont="1" applyBorder="1" applyAlignment="1" applyProtection="1">
      <alignment horizontal="center"/>
      <protection hidden="1"/>
    </xf>
    <xf numFmtId="182" fontId="6" fillId="0" borderId="0" xfId="0" applyNumberFormat="1" applyFont="1"/>
    <xf numFmtId="182" fontId="6" fillId="0" borderId="14" xfId="0" applyNumberFormat="1" applyFont="1" applyBorder="1"/>
    <xf numFmtId="0" fontId="2" fillId="0" borderId="11" xfId="0" applyFont="1" applyBorder="1" applyAlignment="1" applyProtection="1">
      <alignment horizontal="center"/>
      <protection hidden="1"/>
    </xf>
    <xf numFmtId="182" fontId="6" fillId="0" borderId="0" xfId="0" applyNumberFormat="1" applyFont="1" applyProtection="1">
      <protection hidden="1"/>
    </xf>
    <xf numFmtId="182" fontId="6" fillId="0" borderId="14" xfId="0" applyNumberFormat="1" applyFont="1" applyBorder="1" applyProtection="1">
      <protection hidden="1"/>
    </xf>
    <xf numFmtId="182" fontId="6" fillId="0" borderId="3" xfId="0" applyNumberFormat="1" applyFont="1" applyBorder="1" applyProtection="1">
      <protection hidden="1"/>
    </xf>
    <xf numFmtId="182" fontId="6" fillId="0" borderId="12" xfId="0" applyNumberFormat="1" applyFont="1" applyBorder="1" applyProtection="1">
      <protection hidden="1"/>
    </xf>
    <xf numFmtId="0" fontId="18" fillId="4" borderId="0" xfId="0" applyFont="1" applyFill="1" applyProtection="1">
      <protection locked="0" hidden="1"/>
    </xf>
    <xf numFmtId="0" fontId="18" fillId="0" borderId="0" xfId="0" applyFont="1" applyAlignment="1" applyProtection="1">
      <alignment horizontal="center"/>
      <protection hidden="1"/>
    </xf>
    <xf numFmtId="168" fontId="47" fillId="0" borderId="0" xfId="1" applyFont="1" applyProtection="1">
      <protection hidden="1"/>
    </xf>
    <xf numFmtId="0" fontId="0" fillId="0" borderId="0" xfId="0" applyAlignment="1">
      <alignment horizontal="center"/>
    </xf>
    <xf numFmtId="0" fontId="0" fillId="0" borderId="14" xfId="0" applyBorder="1" applyAlignment="1">
      <alignment horizontal="center"/>
    </xf>
    <xf numFmtId="0" fontId="0" fillId="0" borderId="3" xfId="0" applyBorder="1" applyAlignment="1">
      <alignment horizontal="center"/>
    </xf>
    <xf numFmtId="1" fontId="0" fillId="0" borderId="3" xfId="0" applyNumberFormat="1" applyBorder="1" applyAlignment="1">
      <alignment horizontal="center"/>
    </xf>
    <xf numFmtId="0" fontId="0" fillId="0" borderId="9" xfId="0" applyBorder="1" applyAlignment="1">
      <alignment horizontal="center"/>
    </xf>
    <xf numFmtId="0" fontId="11" fillId="0" borderId="4" xfId="0" applyFont="1" applyBorder="1" applyProtection="1">
      <protection hidden="1"/>
    </xf>
    <xf numFmtId="0" fontId="50" fillId="0" borderId="0" xfId="0" applyFont="1" applyAlignment="1">
      <alignment vertical="center"/>
    </xf>
    <xf numFmtId="164" fontId="0" fillId="0" borderId="0" xfId="0" applyNumberFormat="1" applyAlignment="1">
      <alignment horizontal="center"/>
    </xf>
    <xf numFmtId="183" fontId="0" fillId="0" borderId="0" xfId="0" applyNumberFormat="1"/>
    <xf numFmtId="183" fontId="2" fillId="0" borderId="0" xfId="0" applyNumberFormat="1" applyFont="1"/>
    <xf numFmtId="0" fontId="0" fillId="0" borderId="0" xfId="0" applyAlignment="1">
      <alignment vertical="center" wrapText="1"/>
    </xf>
    <xf numFmtId="0" fontId="0" fillId="0" borderId="14" xfId="0" applyBorder="1" applyAlignment="1">
      <alignment vertical="center" wrapText="1"/>
    </xf>
    <xf numFmtId="0" fontId="0" fillId="0" borderId="0" xfId="0" applyAlignment="1">
      <alignment wrapText="1"/>
    </xf>
    <xf numFmtId="0" fontId="0" fillId="0" borderId="14" xfId="0" applyBorder="1" applyAlignment="1">
      <alignment wrapText="1"/>
    </xf>
    <xf numFmtId="183" fontId="2" fillId="0" borderId="0" xfId="0" applyNumberFormat="1" applyFont="1" applyAlignment="1">
      <alignment vertical="center" wrapText="1"/>
    </xf>
    <xf numFmtId="0" fontId="2" fillId="0" borderId="0" xfId="0" applyFont="1" applyAlignment="1">
      <alignment vertical="center" wrapText="1"/>
    </xf>
    <xf numFmtId="183" fontId="51" fillId="0" borderId="0" xfId="0" applyNumberFormat="1" applyFont="1"/>
    <xf numFmtId="183" fontId="51" fillId="0" borderId="0" xfId="0" applyNumberFormat="1" applyFont="1" applyAlignment="1">
      <alignment horizontal="right"/>
    </xf>
    <xf numFmtId="0" fontId="2" fillId="0" borderId="0" xfId="0" applyFont="1"/>
    <xf numFmtId="184" fontId="0" fillId="0" borderId="0" xfId="0" applyNumberFormat="1"/>
    <xf numFmtId="168" fontId="52" fillId="4" borderId="0" xfId="1" applyFont="1" applyFill="1" applyProtection="1">
      <protection locked="0"/>
    </xf>
    <xf numFmtId="184" fontId="2" fillId="0" borderId="0" xfId="0" applyNumberFormat="1" applyFont="1"/>
    <xf numFmtId="165" fontId="29" fillId="4" borderId="0" xfId="1" applyNumberFormat="1" applyFont="1" applyFill="1" applyProtection="1">
      <protection locked="0"/>
    </xf>
    <xf numFmtId="0" fontId="0" fillId="0" borderId="0" xfId="0" applyAlignment="1">
      <alignment horizontal="left"/>
    </xf>
    <xf numFmtId="0" fontId="54" fillId="0" borderId="0" xfId="0" applyFont="1"/>
    <xf numFmtId="164" fontId="0" fillId="0" borderId="0" xfId="0" applyNumberFormat="1"/>
    <xf numFmtId="3" fontId="0" fillId="0" borderId="0" xfId="0" applyNumberFormat="1" applyAlignment="1">
      <alignment horizontal="center"/>
    </xf>
    <xf numFmtId="0" fontId="2" fillId="0" borderId="0" xfId="0" applyFont="1" applyAlignment="1">
      <alignment horizontal="center"/>
    </xf>
    <xf numFmtId="3" fontId="2" fillId="0" borderId="0" xfId="0" applyNumberFormat="1" applyFont="1" applyAlignment="1">
      <alignment horizontal="center"/>
    </xf>
    <xf numFmtId="0" fontId="0" fillId="0" borderId="0" xfId="0" applyAlignment="1">
      <alignment horizontal="center" vertical="center" wrapText="1"/>
    </xf>
    <xf numFmtId="0" fontId="0" fillId="0" borderId="14" xfId="0" applyBorder="1"/>
    <xf numFmtId="0" fontId="36" fillId="0" borderId="0" xfId="7" applyAlignment="1">
      <alignment horizontal="left"/>
    </xf>
    <xf numFmtId="0" fontId="0" fillId="0" borderId="13" xfId="0" applyBorder="1" applyAlignment="1">
      <alignment horizontal="center"/>
    </xf>
    <xf numFmtId="1" fontId="0" fillId="0" borderId="0" xfId="0" applyNumberFormat="1" applyAlignment="1">
      <alignment horizontal="center"/>
    </xf>
    <xf numFmtId="164" fontId="0" fillId="7" borderId="0" xfId="0" applyNumberFormat="1" applyFill="1" applyAlignment="1">
      <alignment horizontal="center"/>
    </xf>
    <xf numFmtId="0" fontId="0" fillId="7" borderId="0" xfId="0" applyFill="1" applyAlignment="1">
      <alignment horizontal="center"/>
    </xf>
    <xf numFmtId="1" fontId="2" fillId="0" borderId="0" xfId="0" applyNumberFormat="1" applyFont="1" applyAlignment="1">
      <alignment horizontal="center"/>
    </xf>
    <xf numFmtId="164" fontId="0" fillId="0" borderId="14" xfId="0" applyNumberFormat="1" applyBorder="1"/>
    <xf numFmtId="0" fontId="2" fillId="0" borderId="9" xfId="0" applyFont="1" applyBorder="1" applyAlignment="1">
      <alignment horizontal="center"/>
    </xf>
    <xf numFmtId="0" fontId="0" fillId="0" borderId="9" xfId="0" applyBorder="1" applyAlignment="1">
      <alignment horizontal="center" vertical="center"/>
    </xf>
    <xf numFmtId="3" fontId="0" fillId="0" borderId="0" xfId="0" applyNumberFormat="1"/>
    <xf numFmtId="3" fontId="2" fillId="0" borderId="0" xfId="0" applyNumberFormat="1" applyFont="1"/>
    <xf numFmtId="183" fontId="0" fillId="0" borderId="0" xfId="0" applyNumberFormat="1" applyAlignment="1">
      <alignment horizontal="center"/>
    </xf>
    <xf numFmtId="183" fontId="0" fillId="0" borderId="0" xfId="0" applyNumberFormat="1" applyAlignment="1">
      <alignment horizontal="center" vertical="center"/>
    </xf>
    <xf numFmtId="0" fontId="50" fillId="0" borderId="14" xfId="0" applyFont="1" applyBorder="1" applyAlignment="1">
      <alignment vertical="center"/>
    </xf>
    <xf numFmtId="183" fontId="2" fillId="0" borderId="0" xfId="0" applyNumberFormat="1" applyFont="1" applyAlignment="1">
      <alignment horizontal="center" vertical="center"/>
    </xf>
    <xf numFmtId="0" fontId="0" fillId="0" borderId="3" xfId="0" applyBorder="1"/>
    <xf numFmtId="0" fontId="0" fillId="0" borderId="12" xfId="0" applyBorder="1"/>
    <xf numFmtId="183" fontId="0" fillId="0" borderId="0" xfId="0" applyNumberFormat="1" applyAlignment="1">
      <alignment vertical="center" wrapText="1"/>
    </xf>
    <xf numFmtId="0" fontId="29" fillId="4" borderId="0" xfId="0" applyFont="1" applyFill="1" applyAlignment="1" applyProtection="1">
      <alignment wrapText="1"/>
      <protection locked="0"/>
    </xf>
    <xf numFmtId="0" fontId="37" fillId="7" borderId="0" xfId="5" applyFont="1" applyFill="1" applyAlignment="1">
      <alignment horizontal="center"/>
    </xf>
    <xf numFmtId="0" fontId="4" fillId="0" borderId="0" xfId="0" applyFont="1" applyAlignment="1" applyProtection="1">
      <alignment horizontal="center"/>
      <protection hidden="1"/>
    </xf>
    <xf numFmtId="0" fontId="12" fillId="0" borderId="0" xfId="0" applyFont="1" applyAlignment="1" applyProtection="1">
      <alignment horizontal="center" vertical="center"/>
      <protection hidden="1"/>
    </xf>
    <xf numFmtId="0" fontId="10" fillId="0" borderId="0" xfId="0" applyFont="1" applyAlignment="1" applyProtection="1">
      <alignment horizontal="center" wrapText="1"/>
      <protection hidden="1"/>
    </xf>
    <xf numFmtId="0" fontId="12" fillId="0" borderId="0" xfId="0" applyFont="1" applyAlignment="1" applyProtection="1">
      <alignment horizontal="left" wrapText="1"/>
      <protection hidden="1"/>
    </xf>
    <xf numFmtId="0" fontId="3" fillId="2" borderId="8" xfId="0" applyFont="1" applyFill="1" applyBorder="1" applyAlignment="1" applyProtection="1">
      <alignment horizontal="left" wrapText="1"/>
      <protection hidden="1"/>
    </xf>
    <xf numFmtId="0" fontId="3" fillId="2" borderId="9" xfId="0" applyFont="1" applyFill="1" applyBorder="1" applyAlignment="1" applyProtection="1">
      <alignment horizontal="left" wrapText="1"/>
      <protection hidden="1"/>
    </xf>
    <xf numFmtId="0" fontId="3" fillId="2" borderId="10" xfId="0" applyFont="1" applyFill="1" applyBorder="1" applyAlignment="1" applyProtection="1">
      <alignment horizontal="left" wrapText="1"/>
      <protection hidden="1"/>
    </xf>
    <xf numFmtId="0" fontId="3" fillId="2" borderId="11" xfId="0" applyFont="1" applyFill="1" applyBorder="1" applyAlignment="1" applyProtection="1">
      <alignment horizontal="left" wrapText="1"/>
      <protection hidden="1"/>
    </xf>
    <xf numFmtId="0" fontId="3" fillId="2" borderId="3" xfId="0" applyFont="1" applyFill="1" applyBorder="1" applyAlignment="1" applyProtection="1">
      <alignment horizontal="left" wrapText="1"/>
      <protection hidden="1"/>
    </xf>
    <xf numFmtId="0" fontId="3" fillId="2" borderId="12" xfId="0" applyFont="1" applyFill="1" applyBorder="1" applyAlignment="1" applyProtection="1">
      <alignment horizontal="left" wrapText="1"/>
      <protection hidden="1"/>
    </xf>
    <xf numFmtId="0" fontId="0" fillId="0" borderId="0" xfId="0" applyAlignment="1" applyProtection="1">
      <alignment horizontal="center"/>
      <protection hidden="1"/>
    </xf>
    <xf numFmtId="10" fontId="29" fillId="4" borderId="0" xfId="2" applyNumberFormat="1" applyFont="1" applyFill="1" applyAlignment="1" applyProtection="1">
      <alignment horizontal="center"/>
      <protection locked="0"/>
    </xf>
    <xf numFmtId="0" fontId="13" fillId="0" borderId="0" xfId="0" applyFont="1" applyAlignment="1" applyProtection="1">
      <alignment horizontal="center" vertical="center"/>
      <protection hidden="1"/>
    </xf>
    <xf numFmtId="0" fontId="13" fillId="5" borderId="0" xfId="0" applyFont="1" applyFill="1" applyAlignment="1" applyProtection="1">
      <alignment horizontal="center" vertical="center"/>
      <protection hidden="1"/>
    </xf>
    <xf numFmtId="0" fontId="11" fillId="0" borderId="0" xfId="0" applyFont="1" applyAlignment="1" applyProtection="1">
      <alignment horizontal="center"/>
      <protection hidden="1"/>
    </xf>
    <xf numFmtId="0" fontId="2" fillId="0" borderId="0" xfId="0" applyFont="1" applyAlignment="1" applyProtection="1">
      <alignment horizontal="center"/>
      <protection hidden="1"/>
    </xf>
    <xf numFmtId="0" fontId="3" fillId="0" borderId="0" xfId="0" applyFont="1" applyAlignment="1" applyProtection="1">
      <alignment horizontal="center"/>
      <protection hidden="1"/>
    </xf>
    <xf numFmtId="0" fontId="3" fillId="0" borderId="0" xfId="0" applyFont="1" applyAlignment="1" applyProtection="1">
      <alignment horizontal="left"/>
      <protection hidden="1"/>
    </xf>
    <xf numFmtId="0" fontId="11" fillId="0" borderId="0" xfId="0" applyFont="1" applyAlignment="1" applyProtection="1">
      <alignment wrapText="1"/>
      <protection hidden="1"/>
    </xf>
    <xf numFmtId="10" fontId="42" fillId="4" borderId="0" xfId="2" applyNumberFormat="1" applyFont="1" applyFill="1" applyAlignment="1" applyProtection="1">
      <alignment horizontal="center" vertical="center"/>
      <protection locked="0"/>
    </xf>
    <xf numFmtId="0" fontId="12" fillId="5" borderId="0" xfId="0" applyFont="1" applyFill="1" applyAlignment="1" applyProtection="1">
      <alignment horizontal="center"/>
      <protection hidden="1"/>
    </xf>
    <xf numFmtId="0" fontId="2" fillId="0" borderId="13" xfId="0" applyFont="1" applyBorder="1" applyAlignment="1">
      <alignment horizontal="center"/>
    </xf>
    <xf numFmtId="0" fontId="2" fillId="0" borderId="0" xfId="0" applyFont="1" applyAlignment="1">
      <alignment horizontal="center"/>
    </xf>
    <xf numFmtId="183" fontId="2" fillId="0" borderId="0" xfId="0" applyNumberFormat="1" applyFont="1" applyAlignment="1">
      <alignment horizontal="center"/>
    </xf>
    <xf numFmtId="0" fontId="0" fillId="0" borderId="13" xfId="0" applyBorder="1" applyAlignment="1">
      <alignment horizontal="center"/>
    </xf>
    <xf numFmtId="0" fontId="0" fillId="0" borderId="0" xfId="0" applyAlignment="1">
      <alignment horizontal="center"/>
    </xf>
    <xf numFmtId="0" fontId="0" fillId="0" borderId="0" xfId="0" applyAlignment="1">
      <alignment horizontal="center" vertical="center"/>
    </xf>
    <xf numFmtId="0" fontId="2" fillId="0" borderId="3" xfId="0" applyFont="1" applyBorder="1" applyAlignment="1">
      <alignment horizontal="center"/>
    </xf>
    <xf numFmtId="0" fontId="0" fillId="0" borderId="11" xfId="0" applyBorder="1" applyAlignment="1">
      <alignment horizontal="center"/>
    </xf>
    <xf numFmtId="0" fontId="0" fillId="0" borderId="3" xfId="0" applyBorder="1" applyAlignment="1">
      <alignment horizontal="center"/>
    </xf>
    <xf numFmtId="0" fontId="0" fillId="0" borderId="3" xfId="0" applyBorder="1" applyAlignment="1">
      <alignment horizontal="center" vertical="center"/>
    </xf>
    <xf numFmtId="183" fontId="0" fillId="0" borderId="0" xfId="0" applyNumberFormat="1" applyAlignment="1">
      <alignment horizontal="center" vertical="center"/>
    </xf>
    <xf numFmtId="183" fontId="0" fillId="0" borderId="3" xfId="0" applyNumberFormat="1" applyBorder="1" applyAlignment="1">
      <alignment horizontal="center" vertical="center"/>
    </xf>
    <xf numFmtId="0" fontId="0" fillId="0" borderId="14" xfId="0" applyBorder="1" applyAlignment="1">
      <alignment horizontal="center"/>
    </xf>
    <xf numFmtId="164" fontId="0" fillId="7" borderId="0" xfId="0" applyNumberFormat="1" applyFill="1" applyAlignment="1">
      <alignment horizontal="center"/>
    </xf>
    <xf numFmtId="0" fontId="0" fillId="7" borderId="0" xfId="0" applyFill="1" applyAlignment="1">
      <alignment horizontal="center"/>
    </xf>
    <xf numFmtId="164" fontId="0" fillId="0" borderId="0" xfId="0" applyNumberFormat="1" applyAlignment="1">
      <alignment horizontal="center"/>
    </xf>
    <xf numFmtId="0" fontId="2" fillId="0" borderId="9" xfId="0" applyFont="1" applyBorder="1" applyAlignment="1">
      <alignment horizontal="center"/>
    </xf>
    <xf numFmtId="0" fontId="0" fillId="0" borderId="9" xfId="0" applyBorder="1" applyAlignment="1">
      <alignment horizontal="center"/>
    </xf>
    <xf numFmtId="3" fontId="0" fillId="0" borderId="0" xfId="0" applyNumberFormat="1" applyAlignment="1">
      <alignment horizontal="center"/>
    </xf>
    <xf numFmtId="0" fontId="2" fillId="0" borderId="8" xfId="0" applyFont="1" applyBorder="1" applyAlignment="1">
      <alignment horizontal="center"/>
    </xf>
    <xf numFmtId="164" fontId="2" fillId="8" borderId="0" xfId="0" applyNumberFormat="1" applyFont="1" applyFill="1" applyAlignment="1">
      <alignment horizontal="center"/>
    </xf>
    <xf numFmtId="0" fontId="2" fillId="8" borderId="0" xfId="0" applyFont="1" applyFill="1" applyAlignment="1">
      <alignment horizontal="center"/>
    </xf>
    <xf numFmtId="0" fontId="0" fillId="0" borderId="10" xfId="0" applyBorder="1" applyAlignment="1">
      <alignment horizontal="center"/>
    </xf>
    <xf numFmtId="1" fontId="0" fillId="0" borderId="4" xfId="0" applyNumberFormat="1" applyBorder="1" applyAlignment="1">
      <alignment horizontal="center"/>
    </xf>
    <xf numFmtId="1" fontId="0" fillId="0" borderId="5" xfId="0" applyNumberFormat="1" applyBorder="1" applyAlignment="1">
      <alignment horizontal="center"/>
    </xf>
    <xf numFmtId="1" fontId="0" fillId="0" borderId="6" xfId="0" applyNumberFormat="1" applyBorder="1" applyAlignment="1">
      <alignment horizontal="center"/>
    </xf>
    <xf numFmtId="3" fontId="2" fillId="0" borderId="0" xfId="0" applyNumberFormat="1" applyFont="1" applyAlignment="1">
      <alignment horizontal="center"/>
    </xf>
    <xf numFmtId="0" fontId="2" fillId="0" borderId="14" xfId="0" applyFont="1"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2" fillId="0" borderId="11" xfId="0" applyFont="1" applyBorder="1" applyAlignment="1">
      <alignment horizontal="center"/>
    </xf>
    <xf numFmtId="3" fontId="2" fillId="0" borderId="3" xfId="0" applyNumberFormat="1" applyFont="1" applyBorder="1" applyAlignment="1">
      <alignment horizontal="center"/>
    </xf>
    <xf numFmtId="0" fontId="0" fillId="0" borderId="12" xfId="0" applyBorder="1" applyAlignment="1">
      <alignment horizontal="center"/>
    </xf>
    <xf numFmtId="0" fontId="50" fillId="0" borderId="8" xfId="0" applyFont="1" applyBorder="1" applyAlignment="1">
      <alignment horizontal="center" vertical="center"/>
    </xf>
    <xf numFmtId="0" fontId="50" fillId="0" borderId="9" xfId="0" applyFont="1" applyBorder="1" applyAlignment="1">
      <alignment horizontal="center" vertical="center"/>
    </xf>
    <xf numFmtId="0" fontId="50" fillId="0" borderId="10" xfId="0" applyFont="1" applyBorder="1" applyAlignment="1">
      <alignment horizontal="center" vertical="center"/>
    </xf>
    <xf numFmtId="0" fontId="50" fillId="0" borderId="13" xfId="0" applyFont="1" applyBorder="1" applyAlignment="1">
      <alignment horizontal="center" vertical="center"/>
    </xf>
    <xf numFmtId="0" fontId="50" fillId="0" borderId="0" xfId="0" applyFont="1" applyAlignment="1">
      <alignment horizontal="center" vertical="center"/>
    </xf>
    <xf numFmtId="0" fontId="50" fillId="0" borderId="14" xfId="0" applyFont="1" applyBorder="1" applyAlignment="1">
      <alignment horizontal="center" vertical="center"/>
    </xf>
    <xf numFmtId="0" fontId="0" fillId="0" borderId="17" xfId="0" applyBorder="1" applyAlignment="1">
      <alignment horizontal="center"/>
    </xf>
    <xf numFmtId="0" fontId="0" fillId="0" borderId="18" xfId="0" applyBorder="1" applyAlignment="1">
      <alignment horizontal="center"/>
    </xf>
    <xf numFmtId="0" fontId="0" fillId="0" borderId="19" xfId="0" applyBorder="1" applyAlignment="1">
      <alignment horizontal="center"/>
    </xf>
    <xf numFmtId="183" fontId="0" fillId="0" borderId="0" xfId="0" applyNumberFormat="1" applyAlignment="1">
      <alignment horizontal="center"/>
    </xf>
    <xf numFmtId="0" fontId="0" fillId="0" borderId="0" xfId="0" applyAlignment="1">
      <alignment horizontal="center" vertical="center" wrapText="1"/>
    </xf>
    <xf numFmtId="0" fontId="54" fillId="0" borderId="0" xfId="0" applyFont="1" applyAlignment="1">
      <alignment horizontal="center"/>
    </xf>
    <xf numFmtId="0" fontId="50" fillId="0" borderId="0" xfId="0" applyFont="1" applyAlignment="1">
      <alignment horizontal="center"/>
    </xf>
    <xf numFmtId="0" fontId="36" fillId="0" borderId="0" xfId="7" applyAlignment="1">
      <alignment horizontal="left"/>
    </xf>
    <xf numFmtId="0" fontId="36" fillId="0" borderId="0" xfId="7" applyAlignment="1">
      <alignment horizontal="center"/>
    </xf>
    <xf numFmtId="0" fontId="53" fillId="0" borderId="0" xfId="0" applyFont="1" applyAlignment="1">
      <alignment horizontal="center"/>
    </xf>
  </cellXfs>
  <cellStyles count="8">
    <cellStyle name="Hipervínculo" xfId="5" builtinId="8"/>
    <cellStyle name="Hyperlink" xfId="7" xr:uid="{00000000-000B-0000-0000-000008000000}"/>
    <cellStyle name="Millares" xfId="4" builtinId="3"/>
    <cellStyle name="Millares_Modelo Financiero ACME Final 2" xfId="3" xr:uid="{00000000-0005-0000-0000-000002000000}"/>
    <cellStyle name="Moneda" xfId="1" builtinId="4"/>
    <cellStyle name="Normal" xfId="0" builtinId="0"/>
    <cellStyle name="Normal 2" xfId="6" xr:uid="{00000000-0005-0000-0000-000005000000}"/>
    <cellStyle name="Porcentaje" xfId="2" builtinId="5"/>
  </cellStyles>
  <dxfs count="1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tint="4.9989318521683403E-2"/>
      </font>
      <fill>
        <patternFill>
          <bgColor rgb="FF00B050"/>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dxf>
    <dxf>
      <font>
        <color rgb="FFFF0000"/>
      </font>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42"/>
    </mc:Choice>
    <mc:Fallback>
      <c:style val="42"/>
    </mc:Fallback>
  </mc:AlternateContent>
  <c:chart>
    <c:autoTitleDeleted val="0"/>
    <c:plotArea>
      <c:layout>
        <c:manualLayout>
          <c:layoutTarget val="inner"/>
          <c:xMode val="edge"/>
          <c:yMode val="edge"/>
          <c:x val="0.20978299507161174"/>
          <c:y val="4.2355815040486779E-2"/>
          <c:w val="0.70800194207522693"/>
          <c:h val="0.80141434497983866"/>
        </c:manualLayout>
      </c:layout>
      <c:lineChart>
        <c:grouping val="standard"/>
        <c:varyColors val="0"/>
        <c:ser>
          <c:idx val="0"/>
          <c:order val="0"/>
          <c:tx>
            <c:strRef>
              <c:f>'5'!$C$31</c:f>
              <c:strCache>
                <c:ptCount val="1"/>
                <c:pt idx="0">
                  <c:v>COSTOS FIJO</c:v>
                </c:pt>
              </c:strCache>
            </c:strRef>
          </c:tx>
          <c:marker>
            <c:symbol val="none"/>
          </c:marker>
          <c:cat>
            <c:numRef>
              <c:f>'5'!$B$32:$B$34</c:f>
              <c:numCache>
                <c:formatCode>_(* #,##0.00_);_(* \(#,##0.00\);_(* "-"??_);_(@_)</c:formatCode>
                <c:ptCount val="3"/>
                <c:pt idx="0" formatCode="General">
                  <c:v>0</c:v>
                </c:pt>
                <c:pt idx="1">
                  <c:v>94.976240376498794</c:v>
                </c:pt>
                <c:pt idx="2">
                  <c:v>189.95248075299759</c:v>
                </c:pt>
              </c:numCache>
            </c:numRef>
          </c:cat>
          <c:val>
            <c:numRef>
              <c:f>'5'!$C$32:$C$34</c:f>
              <c:numCache>
                <c:formatCode>_("$"\ * #,##0.00_);_("$"\ * \(#,##0.00\);_("$"\ * "-"??_);_(@_)</c:formatCode>
                <c:ptCount val="3"/>
                <c:pt idx="0">
                  <c:v>686793507</c:v>
                </c:pt>
                <c:pt idx="1">
                  <c:v>686793507</c:v>
                </c:pt>
                <c:pt idx="2">
                  <c:v>686793507</c:v>
                </c:pt>
              </c:numCache>
            </c:numRef>
          </c:val>
          <c:smooth val="0"/>
          <c:extLst>
            <c:ext xmlns:c16="http://schemas.microsoft.com/office/drawing/2014/chart" uri="{C3380CC4-5D6E-409C-BE32-E72D297353CC}">
              <c16:uniqueId val="{00000000-8A79-4BFE-9417-0186D0F8B071}"/>
            </c:ext>
          </c:extLst>
        </c:ser>
        <c:ser>
          <c:idx val="1"/>
          <c:order val="1"/>
          <c:tx>
            <c:strRef>
              <c:f>'5'!$D$31</c:f>
              <c:strCache>
                <c:ptCount val="1"/>
                <c:pt idx="0">
                  <c:v>INGRESOS</c:v>
                </c:pt>
              </c:strCache>
            </c:strRef>
          </c:tx>
          <c:marker>
            <c:symbol val="none"/>
          </c:marker>
          <c:cat>
            <c:numRef>
              <c:f>'5'!$B$32:$B$34</c:f>
              <c:numCache>
                <c:formatCode>_(* #,##0.00_);_(* \(#,##0.00\);_(* "-"??_);_(@_)</c:formatCode>
                <c:ptCount val="3"/>
                <c:pt idx="0" formatCode="General">
                  <c:v>0</c:v>
                </c:pt>
                <c:pt idx="1">
                  <c:v>94.976240376498794</c:v>
                </c:pt>
                <c:pt idx="2">
                  <c:v>189.95248075299759</c:v>
                </c:pt>
              </c:numCache>
            </c:numRef>
          </c:cat>
          <c:val>
            <c:numRef>
              <c:f>'5'!$D$32:$D$34</c:f>
              <c:numCache>
                <c:formatCode>_("$"\ * #,##0.00_);_("$"\ * \(#,##0.00\);_("$"\ * "-"??_);_(@_)</c:formatCode>
                <c:ptCount val="3"/>
                <c:pt idx="0" formatCode="General">
                  <c:v>0</c:v>
                </c:pt>
                <c:pt idx="1">
                  <c:v>1356019154.5083933</c:v>
                </c:pt>
                <c:pt idx="2">
                  <c:v>2712038309.0167861</c:v>
                </c:pt>
              </c:numCache>
            </c:numRef>
          </c:val>
          <c:smooth val="0"/>
          <c:extLst>
            <c:ext xmlns:c16="http://schemas.microsoft.com/office/drawing/2014/chart" uri="{C3380CC4-5D6E-409C-BE32-E72D297353CC}">
              <c16:uniqueId val="{00000001-8A79-4BFE-9417-0186D0F8B071}"/>
            </c:ext>
          </c:extLst>
        </c:ser>
        <c:ser>
          <c:idx val="2"/>
          <c:order val="2"/>
          <c:tx>
            <c:strRef>
              <c:f>'5'!$F$31</c:f>
              <c:strCache>
                <c:ptCount val="1"/>
                <c:pt idx="0">
                  <c:v>COSTO TOTAL</c:v>
                </c:pt>
              </c:strCache>
            </c:strRef>
          </c:tx>
          <c:marker>
            <c:symbol val="none"/>
          </c:marker>
          <c:cat>
            <c:numRef>
              <c:f>'5'!$B$32:$B$34</c:f>
              <c:numCache>
                <c:formatCode>_(* #,##0.00_);_(* \(#,##0.00\);_(* "-"??_);_(@_)</c:formatCode>
                <c:ptCount val="3"/>
                <c:pt idx="0" formatCode="General">
                  <c:v>0</c:v>
                </c:pt>
                <c:pt idx="1">
                  <c:v>94.976240376498794</c:v>
                </c:pt>
                <c:pt idx="2">
                  <c:v>189.95248075299759</c:v>
                </c:pt>
              </c:numCache>
            </c:numRef>
          </c:cat>
          <c:val>
            <c:numRef>
              <c:f>'5'!$F$32:$F$34</c:f>
              <c:numCache>
                <c:formatCode>_("$"\ * #,##0.00_);_("$"\ * \(#,##0.00\);_("$"\ * "-"??_);_(@_)</c:formatCode>
                <c:ptCount val="3"/>
                <c:pt idx="0">
                  <c:v>686793507</c:v>
                </c:pt>
                <c:pt idx="1">
                  <c:v>1356019154.5083933</c:v>
                </c:pt>
                <c:pt idx="2">
                  <c:v>2025244802.0167863</c:v>
                </c:pt>
              </c:numCache>
            </c:numRef>
          </c:val>
          <c:smooth val="0"/>
          <c:extLst>
            <c:ext xmlns:c16="http://schemas.microsoft.com/office/drawing/2014/chart" uri="{C3380CC4-5D6E-409C-BE32-E72D297353CC}">
              <c16:uniqueId val="{00000002-8A79-4BFE-9417-0186D0F8B071}"/>
            </c:ext>
          </c:extLst>
        </c:ser>
        <c:dLbls>
          <c:showLegendKey val="0"/>
          <c:showVal val="0"/>
          <c:showCatName val="0"/>
          <c:showSerName val="0"/>
          <c:showPercent val="0"/>
          <c:showBubbleSize val="0"/>
        </c:dLbls>
        <c:smooth val="0"/>
        <c:axId val="123640448"/>
        <c:axId val="123654528"/>
      </c:lineChart>
      <c:catAx>
        <c:axId val="123640448"/>
        <c:scaling>
          <c:orientation val="minMax"/>
        </c:scaling>
        <c:delete val="0"/>
        <c:axPos val="b"/>
        <c:numFmt formatCode="General" sourceLinked="1"/>
        <c:majorTickMark val="out"/>
        <c:minorTickMark val="none"/>
        <c:tickLblPos val="nextTo"/>
        <c:crossAx val="123654528"/>
        <c:crosses val="autoZero"/>
        <c:auto val="1"/>
        <c:lblAlgn val="ctr"/>
        <c:lblOffset val="100"/>
        <c:noMultiLvlLbl val="0"/>
      </c:catAx>
      <c:valAx>
        <c:axId val="123654528"/>
        <c:scaling>
          <c:orientation val="minMax"/>
        </c:scaling>
        <c:delete val="0"/>
        <c:axPos val="l"/>
        <c:majorGridlines/>
        <c:numFmt formatCode="_(&quot;$&quot;\ * #,##0.00_);_(&quot;$&quot;\ * \(#,##0.00\);_(&quot;$&quot;\ * &quot;-&quot;??_);_(@_)" sourceLinked="1"/>
        <c:majorTickMark val="out"/>
        <c:minorTickMark val="none"/>
        <c:tickLblPos val="nextTo"/>
        <c:txPr>
          <a:bodyPr/>
          <a:lstStyle/>
          <a:p>
            <a:pPr>
              <a:defRPr sz="800">
                <a:latin typeface="Arial" pitchFamily="34" charset="0"/>
                <a:cs typeface="Arial" pitchFamily="34" charset="0"/>
              </a:defRPr>
            </a:pPr>
            <a:endParaRPr lang="en-US"/>
          </a:p>
        </c:txPr>
        <c:crossAx val="123640448"/>
        <c:crosses val="autoZero"/>
        <c:crossBetween val="midCat"/>
      </c:valAx>
    </c:plotArea>
    <c:legend>
      <c:legendPos val="r"/>
      <c:layout>
        <c:manualLayout>
          <c:xMode val="edge"/>
          <c:yMode val="edge"/>
          <c:x val="2.2698594538394724E-2"/>
          <c:y val="0.93824729917921001"/>
          <c:w val="0.95884696821386661"/>
          <c:h val="5.8173535020252409E-2"/>
        </c:manualLayout>
      </c:layout>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3'!A1"/><Relationship Id="rId7" Type="http://schemas.openxmlformats.org/officeDocument/2006/relationships/image" Target="../media/image1.png"/><Relationship Id="rId2" Type="http://schemas.openxmlformats.org/officeDocument/2006/relationships/hyperlink" Target="#'2'!A1"/><Relationship Id="rId1" Type="http://schemas.openxmlformats.org/officeDocument/2006/relationships/hyperlink" Target="#'1'!A1"/><Relationship Id="rId6" Type="http://schemas.openxmlformats.org/officeDocument/2006/relationships/hyperlink" Target="mailto:dmreyes@ean.edu.co" TargetMode="External"/><Relationship Id="rId5" Type="http://schemas.openxmlformats.org/officeDocument/2006/relationships/hyperlink" Target="#'5'!A1"/><Relationship Id="rId4" Type="http://schemas.openxmlformats.org/officeDocument/2006/relationships/hyperlink" Target="#'4'!A1"/></Relationships>
</file>

<file path=xl/drawings/_rels/drawing2.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3.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4.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5.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6.xml.rels><?xml version="1.0" encoding="UTF-8" standalone="yes"?>
<Relationships xmlns="http://schemas.openxmlformats.org/package/2006/relationships"><Relationship Id="rId3" Type="http://schemas.openxmlformats.org/officeDocument/2006/relationships/hyperlink" Target="mailto:dmreyes@ean.edu.co" TargetMode="External"/><Relationship Id="rId2" Type="http://schemas.openxmlformats.org/officeDocument/2006/relationships/hyperlink" Target="#Men&#250;!A1"/><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200025</xdr:colOff>
      <xdr:row>2</xdr:row>
      <xdr:rowOff>19050</xdr:rowOff>
    </xdr:from>
    <xdr:to>
      <xdr:col>5</xdr:col>
      <xdr:colOff>190500</xdr:colOff>
      <xdr:row>22</xdr:row>
      <xdr:rowOff>95250</xdr:rowOff>
    </xdr:to>
    <xdr:sp macro="" textlink="">
      <xdr:nvSpPr>
        <xdr:cNvPr id="2" name="1 CuadroTexto">
          <a:extLst>
            <a:ext uri="{FF2B5EF4-FFF2-40B4-BE49-F238E27FC236}">
              <a16:creationId xmlns:a16="http://schemas.microsoft.com/office/drawing/2014/main" id="{00000000-0008-0000-0000-000002000000}"/>
            </a:ext>
          </a:extLst>
        </xdr:cNvPr>
        <xdr:cNvSpPr txBox="1"/>
      </xdr:nvSpPr>
      <xdr:spPr>
        <a:xfrm>
          <a:off x="962025" y="400050"/>
          <a:ext cx="3038475" cy="3886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CO" sz="1200">
              <a:latin typeface="Aharoni" pitchFamily="2" charset="-79"/>
              <a:cs typeface="Aharoni" pitchFamily="2" charset="-79"/>
            </a:rPr>
            <a:t>BIENVENIDO A LA SIMULACIÓN</a:t>
          </a:r>
          <a:r>
            <a:rPr lang="es-CO" sz="1200" baseline="0">
              <a:latin typeface="Aharoni" pitchFamily="2" charset="-79"/>
              <a:cs typeface="Aharoni" pitchFamily="2" charset="-79"/>
            </a:rPr>
            <a:t> FINANCIERA BÁSICA DE TU MODELO DE NEGOCIO.</a:t>
          </a:r>
        </a:p>
        <a:p>
          <a:pPr algn="just"/>
          <a:endParaRPr lang="es-CO" sz="1200" baseline="0">
            <a:latin typeface="Aharoni" pitchFamily="2" charset="-79"/>
            <a:cs typeface="Aharoni" pitchFamily="2" charset="-79"/>
          </a:endParaRPr>
        </a:p>
        <a:p>
          <a:pPr algn="just"/>
          <a:r>
            <a:rPr lang="es-CO" sz="1200" baseline="0">
              <a:latin typeface="Aharoni" pitchFamily="2" charset="-79"/>
              <a:cs typeface="Aharoni" pitchFamily="2" charset="-79"/>
            </a:rPr>
            <a:t>ANTES DE DIGITAR LA INFORMACIÓN EN ESTE SIMULADOR, TEN EN CUENTA QUE:</a:t>
          </a:r>
        </a:p>
        <a:p>
          <a:pPr algn="just"/>
          <a:endParaRPr lang="es-CO" sz="1200" baseline="0">
            <a:latin typeface="Aharoni" pitchFamily="2" charset="-79"/>
            <a:cs typeface="Aharoni" pitchFamily="2" charset="-79"/>
          </a:endParaRPr>
        </a:p>
        <a:p>
          <a:pPr algn="just"/>
          <a:r>
            <a:rPr lang="es-CO" sz="1800" baseline="0">
              <a:latin typeface="Aharoni" pitchFamily="2" charset="-79"/>
              <a:cs typeface="Aharoni" pitchFamily="2" charset="-79"/>
            </a:rPr>
            <a:t>1. </a:t>
          </a:r>
          <a:r>
            <a:rPr lang="es-CO" sz="1100" baseline="0">
              <a:latin typeface="Aharoni" pitchFamily="2" charset="-79"/>
              <a:cs typeface="Aharoni" pitchFamily="2" charset="-79"/>
            </a:rPr>
            <a:t>SOLO SE PODRÁN MODIFICAR LAS CELDAS RESALTAS CON COLOR AZUL</a:t>
          </a:r>
          <a:r>
            <a:rPr lang="es-CO" sz="1200" baseline="0">
              <a:latin typeface="Aharoni" pitchFamily="2" charset="-79"/>
              <a:cs typeface="Aharoni" pitchFamily="2" charset="-79"/>
            </a:rPr>
            <a:t>.</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2. </a:t>
          </a:r>
          <a:r>
            <a:rPr lang="es-CO" sz="1100" baseline="0">
              <a:latin typeface="Aharoni" pitchFamily="2" charset="-79"/>
              <a:cs typeface="Aharoni" pitchFamily="2" charset="-79"/>
            </a:rPr>
            <a:t>REVISA LOS COMENTARIOS DE LAS CELDAS, TE DARÁN CLAVES PARA EL CORRECTO DILIGENCIAMIENTO DE LA INFORMACIÓN.</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3. </a:t>
          </a:r>
          <a:r>
            <a:rPr lang="es-CO" sz="1100" baseline="0">
              <a:latin typeface="Aharoni" pitchFamily="2" charset="-79"/>
              <a:cs typeface="Aharoni" pitchFamily="2" charset="-79"/>
            </a:rPr>
            <a:t>LOS ESTADOS FINANCIEROS SE ELABORAN DE FORMA AUTÓMATICA Y NO REQUIEREN NINGUNA INTERVENCIÓN DEL EMPRENDEDOR.</a:t>
          </a:r>
        </a:p>
        <a:p>
          <a:pPr algn="just"/>
          <a:endParaRPr lang="es-CO" sz="1200" baseline="0">
            <a:latin typeface="Aharoni" pitchFamily="2" charset="-79"/>
            <a:cs typeface="Aharoni" pitchFamily="2" charset="-79"/>
          </a:endParaRPr>
        </a:p>
        <a:p>
          <a:endParaRPr lang="es-CO" sz="1100" baseline="0"/>
        </a:p>
        <a:p>
          <a:endParaRPr lang="es-CO" sz="1100"/>
        </a:p>
      </xdr:txBody>
    </xdr:sp>
    <xdr:clientData/>
  </xdr:twoCellAnchor>
  <xdr:oneCellAnchor>
    <xdr:from>
      <xdr:col>9</xdr:col>
      <xdr:colOff>257175</xdr:colOff>
      <xdr:row>19</xdr:row>
      <xdr:rowOff>66675</xdr:rowOff>
    </xdr:from>
    <xdr:ext cx="184731" cy="264560"/>
    <xdr:sp macro="" textlink="">
      <xdr:nvSpPr>
        <xdr:cNvPr id="3" name="2 CuadroTexto">
          <a:extLst>
            <a:ext uri="{FF2B5EF4-FFF2-40B4-BE49-F238E27FC236}">
              <a16:creationId xmlns:a16="http://schemas.microsoft.com/office/drawing/2014/main" id="{00000000-0008-0000-0000-000003000000}"/>
            </a:ext>
          </a:extLst>
        </xdr:cNvPr>
        <xdr:cNvSpPr txBox="1"/>
      </xdr:nvSpPr>
      <xdr:spPr>
        <a:xfrm>
          <a:off x="6353175" y="349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twoCellAnchor>
    <xdr:from>
      <xdr:col>5</xdr:col>
      <xdr:colOff>238124</xdr:colOff>
      <xdr:row>2</xdr:row>
      <xdr:rowOff>171450</xdr:rowOff>
    </xdr:from>
    <xdr:to>
      <xdr:col>8</xdr:col>
      <xdr:colOff>514349</xdr:colOff>
      <xdr:row>5</xdr:row>
      <xdr:rowOff>152400</xdr:rowOff>
    </xdr:to>
    <xdr:sp macro="" textlink="">
      <xdr:nvSpPr>
        <xdr:cNvPr id="4" name="3 CuadroTexto">
          <a:hlinkClick xmlns:r="http://schemas.openxmlformats.org/officeDocument/2006/relationships" r:id="rId1"/>
          <a:extLst>
            <a:ext uri="{FF2B5EF4-FFF2-40B4-BE49-F238E27FC236}">
              <a16:creationId xmlns:a16="http://schemas.microsoft.com/office/drawing/2014/main" id="{00000000-0008-0000-0000-000004000000}"/>
            </a:ext>
          </a:extLst>
        </xdr:cNvPr>
        <xdr:cNvSpPr txBox="1"/>
      </xdr:nvSpPr>
      <xdr:spPr>
        <a:xfrm>
          <a:off x="3286124" y="3619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PROYECCIÓN</a:t>
          </a:r>
          <a:r>
            <a:rPr lang="es-CO" sz="1400" b="1" baseline="0">
              <a:latin typeface="Arial" pitchFamily="34" charset="0"/>
              <a:cs typeface="Arial" pitchFamily="34" charset="0"/>
            </a:rPr>
            <a:t> DE VENTAS Y PREMISAS</a:t>
          </a:r>
          <a:endParaRPr lang="es-CO" sz="1400" b="1">
            <a:latin typeface="Arial" pitchFamily="34" charset="0"/>
            <a:cs typeface="Arial" pitchFamily="34" charset="0"/>
          </a:endParaRPr>
        </a:p>
      </xdr:txBody>
    </xdr:sp>
    <xdr:clientData/>
  </xdr:twoCellAnchor>
  <xdr:twoCellAnchor>
    <xdr:from>
      <xdr:col>5</xdr:col>
      <xdr:colOff>228600</xdr:colOff>
      <xdr:row>6</xdr:row>
      <xdr:rowOff>171450</xdr:rowOff>
    </xdr:from>
    <xdr:to>
      <xdr:col>8</xdr:col>
      <xdr:colOff>504825</xdr:colOff>
      <xdr:row>9</xdr:row>
      <xdr:rowOff>152400</xdr:rowOff>
    </xdr:to>
    <xdr:sp macro="" textlink="">
      <xdr:nvSpPr>
        <xdr:cNvPr id="5" name="4 CuadroTexto">
          <a:hlinkClick xmlns:r="http://schemas.openxmlformats.org/officeDocument/2006/relationships" r:id="rId2"/>
          <a:extLst>
            <a:ext uri="{FF2B5EF4-FFF2-40B4-BE49-F238E27FC236}">
              <a16:creationId xmlns:a16="http://schemas.microsoft.com/office/drawing/2014/main" id="{00000000-0008-0000-0000-000005000000}"/>
            </a:ext>
          </a:extLst>
        </xdr:cNvPr>
        <xdr:cNvSpPr txBox="1"/>
      </xdr:nvSpPr>
      <xdr:spPr>
        <a:xfrm>
          <a:off x="3276600" y="11239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INFRAESTRUCTURA</a:t>
          </a:r>
          <a:r>
            <a:rPr lang="es-CO" sz="1400" b="1" baseline="0">
              <a:latin typeface="Arial" pitchFamily="34" charset="0"/>
              <a:cs typeface="Arial" pitchFamily="34" charset="0"/>
            </a:rPr>
            <a:t>  Y GASTOS</a:t>
          </a:r>
          <a:endParaRPr lang="es-CO" sz="1400" b="1">
            <a:latin typeface="Arial" pitchFamily="34" charset="0"/>
            <a:cs typeface="Arial" pitchFamily="34" charset="0"/>
          </a:endParaRPr>
        </a:p>
      </xdr:txBody>
    </xdr:sp>
    <xdr:clientData/>
  </xdr:twoCellAnchor>
  <xdr:twoCellAnchor>
    <xdr:from>
      <xdr:col>5</xdr:col>
      <xdr:colOff>209550</xdr:colOff>
      <xdr:row>10</xdr:row>
      <xdr:rowOff>123825</xdr:rowOff>
    </xdr:from>
    <xdr:to>
      <xdr:col>8</xdr:col>
      <xdr:colOff>485775</xdr:colOff>
      <xdr:row>13</xdr:row>
      <xdr:rowOff>104775</xdr:rowOff>
    </xdr:to>
    <xdr:sp macro="" textlink="">
      <xdr:nvSpPr>
        <xdr:cNvPr id="6" name="5 CuadroTexto">
          <a:hlinkClick xmlns:r="http://schemas.openxmlformats.org/officeDocument/2006/relationships" r:id="rId3"/>
          <a:extLst>
            <a:ext uri="{FF2B5EF4-FFF2-40B4-BE49-F238E27FC236}">
              <a16:creationId xmlns:a16="http://schemas.microsoft.com/office/drawing/2014/main" id="{00000000-0008-0000-0000-000006000000}"/>
            </a:ext>
          </a:extLst>
        </xdr:cNvPr>
        <xdr:cNvSpPr txBox="1"/>
      </xdr:nvSpPr>
      <xdr:spPr>
        <a:xfrm>
          <a:off x="3257550" y="1838325"/>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INVERSIÓN</a:t>
          </a:r>
          <a:r>
            <a:rPr lang="es-CO" sz="1400" b="1" baseline="0">
              <a:latin typeface="Arial" pitchFamily="34" charset="0"/>
              <a:cs typeface="Arial" pitchFamily="34" charset="0"/>
            </a:rPr>
            <a:t> TOTAL Y FINANCIACIÓN</a:t>
          </a:r>
          <a:endParaRPr lang="es-CO" sz="1400" b="1">
            <a:latin typeface="Arial" pitchFamily="34" charset="0"/>
            <a:cs typeface="Arial" pitchFamily="34" charset="0"/>
          </a:endParaRPr>
        </a:p>
      </xdr:txBody>
    </xdr:sp>
    <xdr:clientData/>
  </xdr:twoCellAnchor>
  <xdr:twoCellAnchor>
    <xdr:from>
      <xdr:col>5</xdr:col>
      <xdr:colOff>200025</xdr:colOff>
      <xdr:row>14</xdr:row>
      <xdr:rowOff>38100</xdr:rowOff>
    </xdr:from>
    <xdr:to>
      <xdr:col>8</xdr:col>
      <xdr:colOff>476250</xdr:colOff>
      <xdr:row>17</xdr:row>
      <xdr:rowOff>19050</xdr:rowOff>
    </xdr:to>
    <xdr:sp macro="" textlink="">
      <xdr:nvSpPr>
        <xdr:cNvPr id="7" name="6 CuadroTexto">
          <a:hlinkClick xmlns:r="http://schemas.openxmlformats.org/officeDocument/2006/relationships" r:id="rId4"/>
          <a:extLst>
            <a:ext uri="{FF2B5EF4-FFF2-40B4-BE49-F238E27FC236}">
              <a16:creationId xmlns:a16="http://schemas.microsoft.com/office/drawing/2014/main" id="{00000000-0008-0000-0000-000007000000}"/>
            </a:ext>
          </a:extLst>
        </xdr:cNvPr>
        <xdr:cNvSpPr txBox="1"/>
      </xdr:nvSpPr>
      <xdr:spPr>
        <a:xfrm>
          <a:off x="3248025" y="251460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ESTADOS</a:t>
          </a:r>
          <a:r>
            <a:rPr lang="es-CO" sz="1400" b="1" baseline="0">
              <a:latin typeface="Arial" pitchFamily="34" charset="0"/>
              <a:cs typeface="Arial" pitchFamily="34" charset="0"/>
            </a:rPr>
            <a:t> FINANCIEROS</a:t>
          </a:r>
          <a:endParaRPr lang="es-CO" sz="1400" b="1">
            <a:latin typeface="Arial" pitchFamily="34" charset="0"/>
            <a:cs typeface="Arial" pitchFamily="34" charset="0"/>
          </a:endParaRPr>
        </a:p>
      </xdr:txBody>
    </xdr:sp>
    <xdr:clientData/>
  </xdr:twoCellAnchor>
  <xdr:twoCellAnchor>
    <xdr:from>
      <xdr:col>5</xdr:col>
      <xdr:colOff>180975</xdr:colOff>
      <xdr:row>18</xdr:row>
      <xdr:rowOff>19050</xdr:rowOff>
    </xdr:from>
    <xdr:to>
      <xdr:col>8</xdr:col>
      <xdr:colOff>457200</xdr:colOff>
      <xdr:row>21</xdr:row>
      <xdr:rowOff>0</xdr:rowOff>
    </xdr:to>
    <xdr:sp macro="" textlink="">
      <xdr:nvSpPr>
        <xdr:cNvPr id="8" name="7 CuadroTexto">
          <a:hlinkClick xmlns:r="http://schemas.openxmlformats.org/officeDocument/2006/relationships" r:id="rId5"/>
          <a:extLst>
            <a:ext uri="{FF2B5EF4-FFF2-40B4-BE49-F238E27FC236}">
              <a16:creationId xmlns:a16="http://schemas.microsoft.com/office/drawing/2014/main" id="{00000000-0008-0000-0000-000008000000}"/>
            </a:ext>
          </a:extLst>
        </xdr:cNvPr>
        <xdr:cNvSpPr txBox="1"/>
      </xdr:nvSpPr>
      <xdr:spPr>
        <a:xfrm>
          <a:off x="3228975" y="32575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RESULTADOS DE LA SIMULACIÓN </a:t>
          </a:r>
        </a:p>
      </xdr:txBody>
    </xdr:sp>
    <xdr:clientData/>
  </xdr:twoCellAnchor>
  <xdr:twoCellAnchor>
    <xdr:from>
      <xdr:col>1</xdr:col>
      <xdr:colOff>209550</xdr:colOff>
      <xdr:row>21</xdr:row>
      <xdr:rowOff>85725</xdr:rowOff>
    </xdr:from>
    <xdr:to>
      <xdr:col>5</xdr:col>
      <xdr:colOff>200025</xdr:colOff>
      <xdr:row>23</xdr:row>
      <xdr:rowOff>95249</xdr:rowOff>
    </xdr:to>
    <xdr:sp macro="" textlink="">
      <xdr:nvSpPr>
        <xdr:cNvPr id="13" name="12 CuadroTexto">
          <a:hlinkClick xmlns:r="http://schemas.openxmlformats.org/officeDocument/2006/relationships" r:id="rId6"/>
          <a:extLst>
            <a:ext uri="{FF2B5EF4-FFF2-40B4-BE49-F238E27FC236}">
              <a16:creationId xmlns:a16="http://schemas.microsoft.com/office/drawing/2014/main" id="{00000000-0008-0000-0000-00000D000000}"/>
            </a:ext>
          </a:extLst>
        </xdr:cNvPr>
        <xdr:cNvSpPr txBox="1"/>
      </xdr:nvSpPr>
      <xdr:spPr>
        <a:xfrm>
          <a:off x="971550" y="4086225"/>
          <a:ext cx="3038475" cy="457199"/>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Asociado Universidad  Univerisdad  -EAN.</a:t>
          </a:r>
        </a:p>
        <a:p>
          <a:pPr>
            <a:lnSpc>
              <a:spcPts val="900"/>
            </a:lnSpc>
          </a:pPr>
          <a:r>
            <a:rPr lang="es-CO" sz="800" b="1" baseline="0"/>
            <a:t>contacto: dmreyes@ean.edu.co - @dmreyesg</a:t>
          </a:r>
        </a:p>
        <a:p>
          <a:pPr>
            <a:lnSpc>
              <a:spcPts val="900"/>
            </a:lnSpc>
          </a:pPr>
          <a:r>
            <a:rPr lang="es-CO" sz="800" b="1" baseline="0"/>
            <a:t> </a:t>
          </a:r>
        </a:p>
        <a:p>
          <a:pPr>
            <a:lnSpc>
              <a:spcPts val="500"/>
            </a:lnSpc>
          </a:pPr>
          <a:endParaRPr lang="es-CO" sz="500"/>
        </a:p>
      </xdr:txBody>
    </xdr:sp>
    <xdr:clientData/>
  </xdr:twoCellAnchor>
  <xdr:twoCellAnchor editAs="oneCell">
    <xdr:from>
      <xdr:col>8</xdr:col>
      <xdr:colOff>581026</xdr:colOff>
      <xdr:row>1</xdr:row>
      <xdr:rowOff>38100</xdr:rowOff>
    </xdr:from>
    <xdr:to>
      <xdr:col>9</xdr:col>
      <xdr:colOff>695326</xdr:colOff>
      <xdr:row>6</xdr:row>
      <xdr:rowOff>41163</xdr:rowOff>
    </xdr:to>
    <xdr:pic>
      <xdr:nvPicPr>
        <xdr:cNvPr id="12" name="Imagen 11">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6677026" y="228600"/>
          <a:ext cx="876300" cy="9555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59531</xdr:colOff>
      <xdr:row>12</xdr:row>
      <xdr:rowOff>154772</xdr:rowOff>
    </xdr:from>
    <xdr:to>
      <xdr:col>8</xdr:col>
      <xdr:colOff>192882</xdr:colOff>
      <xdr:row>34</xdr:row>
      <xdr:rowOff>80962</xdr:rowOff>
    </xdr:to>
    <xdr:sp macro="" textlink="">
      <xdr:nvSpPr>
        <xdr:cNvPr id="6" name="5 Flecha doblada">
          <a:extLst>
            <a:ext uri="{FF2B5EF4-FFF2-40B4-BE49-F238E27FC236}">
              <a16:creationId xmlns:a16="http://schemas.microsoft.com/office/drawing/2014/main" id="{00000000-0008-0000-0100-000006000000}"/>
            </a:ext>
          </a:extLst>
        </xdr:cNvPr>
        <xdr:cNvSpPr/>
      </xdr:nvSpPr>
      <xdr:spPr>
        <a:xfrm rot="10800000">
          <a:off x="12049125" y="3333741"/>
          <a:ext cx="1395413" cy="4569627"/>
        </a:xfrm>
        <a:prstGeom prst="ben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solidFill>
              <a:schemeClr val="tx1"/>
            </a:solidFill>
          </a:endParaRPr>
        </a:p>
      </xdr:txBody>
    </xdr:sp>
    <xdr:clientData/>
  </xdr:twoCellAnchor>
  <xdr:twoCellAnchor>
    <xdr:from>
      <xdr:col>8</xdr:col>
      <xdr:colOff>328612</xdr:colOff>
      <xdr:row>12</xdr:row>
      <xdr:rowOff>140493</xdr:rowOff>
    </xdr:from>
    <xdr:to>
      <xdr:col>24</xdr:col>
      <xdr:colOff>250030</xdr:colOff>
      <xdr:row>14</xdr:row>
      <xdr:rowOff>250031</xdr:rowOff>
    </xdr:to>
    <xdr:sp macro="" textlink="">
      <xdr:nvSpPr>
        <xdr:cNvPr id="7" name="6 CuadroTexto">
          <a:extLst>
            <a:ext uri="{FF2B5EF4-FFF2-40B4-BE49-F238E27FC236}">
              <a16:creationId xmlns:a16="http://schemas.microsoft.com/office/drawing/2014/main" id="{00000000-0008-0000-0100-000007000000}"/>
            </a:ext>
          </a:extLst>
        </xdr:cNvPr>
        <xdr:cNvSpPr txBox="1"/>
      </xdr:nvSpPr>
      <xdr:spPr>
        <a:xfrm>
          <a:off x="13580268" y="3319462"/>
          <a:ext cx="1469231" cy="49053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900">
              <a:latin typeface="Arial Black" pitchFamily="34" charset="0"/>
              <a:cs typeface="Aharoni" pitchFamily="2" charset="-79"/>
            </a:rPr>
            <a:t>REVISA</a:t>
          </a:r>
          <a:r>
            <a:rPr lang="es-CO" sz="900" baseline="0">
              <a:latin typeface="Arial Black" pitchFamily="34" charset="0"/>
              <a:cs typeface="Aharoni" pitchFamily="2" charset="-79"/>
            </a:rPr>
            <a:t> LAS PROYECCIONES</a:t>
          </a:r>
          <a:endParaRPr lang="es-CO" sz="900">
            <a:latin typeface="Arial Black" pitchFamily="34" charset="0"/>
            <a:cs typeface="Aharoni" pitchFamily="2" charset="-79"/>
          </a:endParaRPr>
        </a:p>
      </xdr:txBody>
    </xdr:sp>
    <xdr:clientData/>
  </xdr:twoCellAnchor>
  <xdr:twoCellAnchor>
    <xdr:from>
      <xdr:col>10</xdr:col>
      <xdr:colOff>257175</xdr:colOff>
      <xdr:row>9</xdr:row>
      <xdr:rowOff>76200</xdr:rowOff>
    </xdr:from>
    <xdr:to>
      <xdr:col>27</xdr:col>
      <xdr:colOff>447675</xdr:colOff>
      <xdr:row>11</xdr:row>
      <xdr:rowOff>104775</xdr:rowOff>
    </xdr:to>
    <xdr:sp macro="" textlink="">
      <xdr:nvSpPr>
        <xdr:cNvPr id="5" name="4 CuadroTexto">
          <a:hlinkClick xmlns:r="http://schemas.openxmlformats.org/officeDocument/2006/relationships" r:id="rId1"/>
          <a:extLst>
            <a:ext uri="{FF2B5EF4-FFF2-40B4-BE49-F238E27FC236}">
              <a16:creationId xmlns:a16="http://schemas.microsoft.com/office/drawing/2014/main" id="{00000000-0008-0000-0100-000005000000}"/>
            </a:ext>
          </a:extLst>
        </xdr:cNvPr>
        <xdr:cNvSpPr txBox="1"/>
      </xdr:nvSpPr>
      <xdr:spPr>
        <a:xfrm>
          <a:off x="9505950" y="2667000"/>
          <a:ext cx="223837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304800</xdr:colOff>
      <xdr:row>12</xdr:row>
      <xdr:rowOff>142875</xdr:rowOff>
    </xdr:from>
    <xdr:to>
      <xdr:col>7</xdr:col>
      <xdr:colOff>295275</xdr:colOff>
      <xdr:row>18</xdr:row>
      <xdr:rowOff>152400</xdr:rowOff>
    </xdr:to>
    <xdr:sp macro="" textlink="">
      <xdr:nvSpPr>
        <xdr:cNvPr id="2" name="1 Flecha abajo">
          <a:extLst>
            <a:ext uri="{FF2B5EF4-FFF2-40B4-BE49-F238E27FC236}">
              <a16:creationId xmlns:a16="http://schemas.microsoft.com/office/drawing/2014/main" id="{00000000-0008-0000-0100-000002000000}"/>
            </a:ext>
          </a:extLst>
        </xdr:cNvPr>
        <xdr:cNvSpPr/>
      </xdr:nvSpPr>
      <xdr:spPr>
        <a:xfrm>
          <a:off x="7686675" y="3305175"/>
          <a:ext cx="457200" cy="13620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0</xdr:colOff>
      <xdr:row>37</xdr:row>
      <xdr:rowOff>0</xdr:rowOff>
    </xdr:from>
    <xdr:to>
      <xdr:col>29</xdr:col>
      <xdr:colOff>255058</xdr:colOff>
      <xdr:row>40</xdr:row>
      <xdr:rowOff>136525</xdr:rowOff>
    </xdr:to>
    <xdr:sp macro="" textlink="">
      <xdr:nvSpPr>
        <xdr:cNvPr id="9" name="12 CuadroTexto">
          <a:hlinkClick xmlns:r="http://schemas.openxmlformats.org/officeDocument/2006/relationships" r:id="rId2"/>
          <a:extLst>
            <a:ext uri="{FF2B5EF4-FFF2-40B4-BE49-F238E27FC236}">
              <a16:creationId xmlns:a16="http://schemas.microsoft.com/office/drawing/2014/main" id="{00000000-0008-0000-0100-000009000000}"/>
            </a:ext>
          </a:extLst>
        </xdr:cNvPr>
        <xdr:cNvSpPr txBox="1"/>
      </xdr:nvSpPr>
      <xdr:spPr>
        <a:xfrm>
          <a:off x="9937750" y="831850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5</xdr:row>
      <xdr:rowOff>0</xdr:rowOff>
    </xdr:from>
    <xdr:to>
      <xdr:col>5</xdr:col>
      <xdr:colOff>1009650</xdr:colOff>
      <xdr:row>7</xdr:row>
      <xdr:rowOff>28575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200-000002000000}"/>
            </a:ext>
          </a:extLst>
        </xdr:cNvPr>
        <xdr:cNvSpPr txBox="1"/>
      </xdr:nvSpPr>
      <xdr:spPr>
        <a:xfrm>
          <a:off x="4438650" y="809625"/>
          <a:ext cx="256222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685800</xdr:colOff>
      <xdr:row>19</xdr:row>
      <xdr:rowOff>171450</xdr:rowOff>
    </xdr:from>
    <xdr:to>
      <xdr:col>12</xdr:col>
      <xdr:colOff>676275</xdr:colOff>
      <xdr:row>23</xdr:row>
      <xdr:rowOff>107950</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200-000004000000}"/>
            </a:ext>
          </a:extLst>
        </xdr:cNvPr>
        <xdr:cNvSpPr txBox="1"/>
      </xdr:nvSpPr>
      <xdr:spPr>
        <a:xfrm>
          <a:off x="9658350" y="367665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781050</xdr:colOff>
      <xdr:row>13</xdr:row>
      <xdr:rowOff>152400</xdr:rowOff>
    </xdr:from>
    <xdr:to>
      <xdr:col>8</xdr:col>
      <xdr:colOff>504825</xdr:colOff>
      <xdr:row>15</xdr:row>
      <xdr:rowOff>133350</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300-000002000000}"/>
            </a:ext>
          </a:extLst>
        </xdr:cNvPr>
        <xdr:cNvSpPr txBox="1"/>
      </xdr:nvSpPr>
      <xdr:spPr>
        <a:xfrm>
          <a:off x="6115050" y="2771775"/>
          <a:ext cx="2562225" cy="3714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638175</xdr:colOff>
      <xdr:row>17</xdr:row>
      <xdr:rowOff>19050</xdr:rowOff>
    </xdr:from>
    <xdr:to>
      <xdr:col>12</xdr:col>
      <xdr:colOff>171450</xdr:colOff>
      <xdr:row>20</xdr:row>
      <xdr:rowOff>155575</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300-000004000000}"/>
            </a:ext>
          </a:extLst>
        </xdr:cNvPr>
        <xdr:cNvSpPr txBox="1"/>
      </xdr:nvSpPr>
      <xdr:spPr>
        <a:xfrm>
          <a:off x="9572625" y="3609975"/>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76201</xdr:colOff>
      <xdr:row>0</xdr:row>
      <xdr:rowOff>66675</xdr:rowOff>
    </xdr:from>
    <xdr:to>
      <xdr:col>9</xdr:col>
      <xdr:colOff>666750</xdr:colOff>
      <xdr:row>0</xdr:row>
      <xdr:rowOff>371475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400-000002000000}"/>
            </a:ext>
          </a:extLst>
        </xdr:cNvPr>
        <xdr:cNvSpPr txBox="1"/>
      </xdr:nvSpPr>
      <xdr:spPr>
        <a:xfrm>
          <a:off x="9486901" y="66675"/>
          <a:ext cx="2114549" cy="30480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7</xdr:col>
      <xdr:colOff>190500</xdr:colOff>
      <xdr:row>51</xdr:row>
      <xdr:rowOff>158750</xdr:rowOff>
    </xdr:from>
    <xdr:to>
      <xdr:col>11</xdr:col>
      <xdr:colOff>180975</xdr:colOff>
      <xdr:row>55</xdr:row>
      <xdr:rowOff>83609</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400-000004000000}"/>
            </a:ext>
          </a:extLst>
        </xdr:cNvPr>
        <xdr:cNvSpPr txBox="1"/>
      </xdr:nvSpPr>
      <xdr:spPr>
        <a:xfrm>
          <a:off x="9842500" y="10689167"/>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857248</xdr:colOff>
      <xdr:row>12</xdr:row>
      <xdr:rowOff>128589</xdr:rowOff>
    </xdr:from>
    <xdr:to>
      <xdr:col>12</xdr:col>
      <xdr:colOff>190498</xdr:colOff>
      <xdr:row>25</xdr:row>
      <xdr:rowOff>28576</xdr:rowOff>
    </xdr:to>
    <xdr:graphicFrame macro="">
      <xdr:nvGraphicFramePr>
        <xdr:cNvPr id="2" name="1 Gráfico">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561976</xdr:colOff>
      <xdr:row>1</xdr:row>
      <xdr:rowOff>200025</xdr:rowOff>
    </xdr:from>
    <xdr:to>
      <xdr:col>8</xdr:col>
      <xdr:colOff>676276</xdr:colOff>
      <xdr:row>2</xdr:row>
      <xdr:rowOff>76200</xdr:rowOff>
    </xdr:to>
    <xdr:sp macro="" textlink="">
      <xdr:nvSpPr>
        <xdr:cNvPr id="3" name="2 CuadroTexto">
          <a:hlinkClick xmlns:r="http://schemas.openxmlformats.org/officeDocument/2006/relationships" r:id="rId2"/>
          <a:extLst>
            <a:ext uri="{FF2B5EF4-FFF2-40B4-BE49-F238E27FC236}">
              <a16:creationId xmlns:a16="http://schemas.microsoft.com/office/drawing/2014/main" id="{00000000-0008-0000-0500-000003000000}"/>
            </a:ext>
          </a:extLst>
        </xdr:cNvPr>
        <xdr:cNvSpPr txBox="1"/>
      </xdr:nvSpPr>
      <xdr:spPr>
        <a:xfrm>
          <a:off x="8334376" y="200025"/>
          <a:ext cx="2152650" cy="3619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866776</xdr:colOff>
      <xdr:row>25</xdr:row>
      <xdr:rowOff>161925</xdr:rowOff>
    </xdr:from>
    <xdr:to>
      <xdr:col>9</xdr:col>
      <xdr:colOff>219076</xdr:colOff>
      <xdr:row>27</xdr:row>
      <xdr:rowOff>9525</xdr:rowOff>
    </xdr:to>
    <xdr:sp macro="" textlink="">
      <xdr:nvSpPr>
        <xdr:cNvPr id="4" name="3 CuadroTexto">
          <a:hlinkClick xmlns:r="http://schemas.openxmlformats.org/officeDocument/2006/relationships" r:id="rId2"/>
          <a:extLst>
            <a:ext uri="{FF2B5EF4-FFF2-40B4-BE49-F238E27FC236}">
              <a16:creationId xmlns:a16="http://schemas.microsoft.com/office/drawing/2014/main" id="{00000000-0008-0000-0500-000004000000}"/>
            </a:ext>
          </a:extLst>
        </xdr:cNvPr>
        <xdr:cNvSpPr txBox="1"/>
      </xdr:nvSpPr>
      <xdr:spPr>
        <a:xfrm>
          <a:off x="8639176" y="5800725"/>
          <a:ext cx="2152650" cy="3619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8</xdr:col>
      <xdr:colOff>59531</xdr:colOff>
      <xdr:row>29</xdr:row>
      <xdr:rowOff>154781</xdr:rowOff>
    </xdr:from>
    <xdr:to>
      <xdr:col>12</xdr:col>
      <xdr:colOff>14288</xdr:colOff>
      <xdr:row>33</xdr:row>
      <xdr:rowOff>100806</xdr:rowOff>
    </xdr:to>
    <xdr:sp macro="" textlink="">
      <xdr:nvSpPr>
        <xdr:cNvPr id="6" name="12 CuadroTexto">
          <a:hlinkClick xmlns:r="http://schemas.openxmlformats.org/officeDocument/2006/relationships" r:id="rId3"/>
          <a:extLst>
            <a:ext uri="{FF2B5EF4-FFF2-40B4-BE49-F238E27FC236}">
              <a16:creationId xmlns:a16="http://schemas.microsoft.com/office/drawing/2014/main" id="{00000000-0008-0000-0500-000006000000}"/>
            </a:ext>
          </a:extLst>
        </xdr:cNvPr>
        <xdr:cNvSpPr txBox="1"/>
      </xdr:nvSpPr>
      <xdr:spPr>
        <a:xfrm>
          <a:off x="10751344" y="6893719"/>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youtube.com/watch?v=m2meVNuuANI"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3" Type="http://schemas.openxmlformats.org/officeDocument/2006/relationships/hyperlink" Target="https://etbdigital.com/?tsource=Google&amp;Campaign=adf1c43c-4203-11ea-988f-005056968018&amp;gclid=CjwKCAjwxZqSBhAHEiwASr9n9FmxlMgJUkLwJSckeWdS2krdiISr876kdoYccQWAHm1cRc_vuOtBWRoCvu4QAvD_BwE" TargetMode="External"/><Relationship Id="rId2" Type="http://schemas.openxmlformats.org/officeDocument/2006/relationships/hyperlink" Target="https://blog.properati.com.co/costo-servicios-publicos-estrato-4/" TargetMode="External"/><Relationship Id="rId1" Type="http://schemas.openxmlformats.org/officeDocument/2006/relationships/hyperlink" Target="https://empresas.comuniquemonos.com/troncal-sip/?gclid=CjwKCAjwxZqSBhAHEiwASr9n9C88HOWs-ovoAADmEIi4bsLYXfZEfwZfdNZIQGEez7dEC9rpT2lzyBoCS-YQAvD_BwE" TargetMode="External"/><Relationship Id="rId5" Type="http://schemas.openxmlformats.org/officeDocument/2006/relationships/printerSettings" Target="../printerSettings/printerSettings6.bin"/><Relationship Id="rId4" Type="http://schemas.openxmlformats.org/officeDocument/2006/relationships/hyperlink" Target="https://contodapropiedad.com/tarifa-del-servicio-de-vigilancia-para-el-20depende-del-estrato-y-el-uso-de-armas-y-canin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G23:H23"/>
  <sheetViews>
    <sheetView showGridLines="0" showRowColHeaders="0" view="pageBreakPreview" zoomScaleNormal="100" zoomScaleSheetLayoutView="100" workbookViewId="0"/>
  </sheetViews>
  <sheetFormatPr defaultColWidth="11.42578125" defaultRowHeight="15"/>
  <sheetData>
    <row r="23" spans="7:8" ht="20.25">
      <c r="G23" s="185" t="s">
        <v>0</v>
      </c>
      <c r="H23" s="185"/>
    </row>
  </sheetData>
  <sheetProtection algorithmName="SHA-512" hashValue="qMYMYC3mPprmgwq+iE0gDINjFQi/ooyDwKL4PJKrG/dV/hj/tQbfg1gZfjbKbJU6lprMrZyYtTpH9/wv5VBROg==" saltValue="sSdmD0maTdOHDSjElDeMAA==" spinCount="100000" sheet="1" objects="1" scenarios="1"/>
  <mergeCells count="1">
    <mergeCell ref="G23:H23"/>
  </mergeCells>
  <hyperlinks>
    <hyperlink ref="G23" r:id="rId1" xr:uid="{00000000-0004-0000-0000-000000000000}"/>
  </hyperlinks>
  <pageMargins left="0.7" right="0.7" top="0.75" bottom="0.75" header="0.3" footer="0.3"/>
  <pageSetup paperSize="9" scale="69"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C35"/>
  <sheetViews>
    <sheetView showGridLines="0" zoomScale="115" zoomScaleNormal="115" workbookViewId="0">
      <selection activeCell="B4" sqref="B4"/>
    </sheetView>
  </sheetViews>
  <sheetFormatPr defaultColWidth="11.42578125" defaultRowHeight="15"/>
  <cols>
    <col min="1" max="1" width="22.42578125" style="8" customWidth="1"/>
    <col min="2" max="2" width="49.140625" style="8" customWidth="1"/>
    <col min="3" max="3" width="28.5703125" style="8" customWidth="1"/>
    <col min="4" max="4" width="30.28515625" style="8" customWidth="1"/>
    <col min="5" max="5" width="29.28515625" style="8" customWidth="1"/>
    <col min="6" max="6" width="29.42578125" style="8" customWidth="1"/>
    <col min="7" max="10" width="9.42578125" style="8" bestFit="1" customWidth="1"/>
    <col min="11" max="11" width="4.28515625" style="8" customWidth="1"/>
    <col min="12" max="15" width="11.42578125" style="8" hidden="1" customWidth="1"/>
    <col min="16" max="19" width="12" style="8" hidden="1" customWidth="1"/>
    <col min="20" max="24" width="15.42578125" style="8" hidden="1" customWidth="1"/>
    <col min="25" max="25" width="22.140625" style="8" customWidth="1"/>
    <col min="26" max="27" width="9.42578125" style="8" bestFit="1" customWidth="1"/>
    <col min="28" max="28" width="11.42578125" style="8" bestFit="1" customWidth="1"/>
    <col min="29" max="29" width="9.42578125" style="8" bestFit="1" customWidth="1"/>
    <col min="30" max="16384" width="11.42578125" style="8"/>
  </cols>
  <sheetData>
    <row r="1" spans="1:29" ht="30.75" customHeight="1">
      <c r="A1" s="187" t="s">
        <v>1</v>
      </c>
      <c r="B1" s="187"/>
      <c r="C1" s="187"/>
      <c r="D1" s="187"/>
      <c r="E1" s="187"/>
      <c r="G1" s="188" t="s">
        <v>2</v>
      </c>
      <c r="H1" s="188"/>
      <c r="I1" s="188"/>
      <c r="J1" s="188"/>
      <c r="P1" s="8" t="s">
        <v>3</v>
      </c>
      <c r="Y1" s="15" t="s">
        <v>4</v>
      </c>
      <c r="Z1" s="50">
        <v>2024</v>
      </c>
      <c r="AA1" s="16"/>
    </row>
    <row r="2" spans="1:29" ht="32.25" customHeight="1" thickBot="1">
      <c r="B2" s="17" t="s">
        <v>5</v>
      </c>
      <c r="C2" s="18" t="s">
        <v>6</v>
      </c>
      <c r="D2" s="17" t="s">
        <v>7</v>
      </c>
      <c r="E2" s="18" t="s">
        <v>8</v>
      </c>
      <c r="F2" s="19" t="s">
        <v>9</v>
      </c>
      <c r="G2" s="20">
        <f>'1'!Z1+1</f>
        <v>2025</v>
      </c>
      <c r="H2" s="20">
        <f>G2+1</f>
        <v>2026</v>
      </c>
      <c r="I2" s="20">
        <f t="shared" ref="I2:J2" si="0">H2+1</f>
        <v>2027</v>
      </c>
      <c r="J2" s="20">
        <f t="shared" si="0"/>
        <v>2028</v>
      </c>
      <c r="L2" s="8">
        <f>G2</f>
        <v>2025</v>
      </c>
      <c r="M2" s="8">
        <f>H2</f>
        <v>2026</v>
      </c>
      <c r="N2" s="8">
        <f>M2+1</f>
        <v>2027</v>
      </c>
      <c r="O2" s="8">
        <f>N2+1</f>
        <v>2028</v>
      </c>
      <c r="P2" s="8" t="s">
        <v>10</v>
      </c>
      <c r="Q2" s="8" t="s">
        <v>11</v>
      </c>
      <c r="R2" s="8" t="s">
        <v>12</v>
      </c>
      <c r="S2" s="8" t="s">
        <v>13</v>
      </c>
      <c r="T2" s="8" t="s">
        <v>14</v>
      </c>
      <c r="U2" s="8" t="s">
        <v>15</v>
      </c>
      <c r="V2" s="8" t="s">
        <v>16</v>
      </c>
      <c r="W2" s="8" t="s">
        <v>17</v>
      </c>
      <c r="Y2" s="16"/>
      <c r="Z2" s="16"/>
      <c r="AA2" s="16"/>
    </row>
    <row r="3" spans="1:29" ht="24" thickBot="1">
      <c r="A3" s="21">
        <v>1</v>
      </c>
      <c r="B3" s="13" t="s">
        <v>18</v>
      </c>
      <c r="C3" s="56">
        <v>24</v>
      </c>
      <c r="D3" s="14">
        <v>20000000</v>
      </c>
      <c r="E3" s="22">
        <f>C3*D3</f>
        <v>480000000</v>
      </c>
      <c r="F3" s="23">
        <f>IF($E$13=0,0,E3/$E$13)</f>
        <v>0.2774566473988439</v>
      </c>
      <c r="G3" s="117">
        <v>0.06</v>
      </c>
      <c r="H3" s="117">
        <v>0.06</v>
      </c>
      <c r="I3" s="117">
        <v>0.06</v>
      </c>
      <c r="J3" s="117">
        <v>0.06</v>
      </c>
      <c r="K3" s="24"/>
      <c r="L3" s="8">
        <f t="shared" ref="L3:L12" si="1">C3*(1+G3)</f>
        <v>25.44</v>
      </c>
      <c r="M3" s="8">
        <f>L3*(1+H3)</f>
        <v>26.966400000000004</v>
      </c>
      <c r="N3" s="8">
        <f t="shared" ref="N3:O3" si="2">M3*(1+I3)</f>
        <v>28.584384000000007</v>
      </c>
      <c r="O3" s="8">
        <f t="shared" si="2"/>
        <v>30.299447040000008</v>
      </c>
      <c r="P3" s="25">
        <f>D3*(1+'1'!$Z$4)</f>
        <v>21300000</v>
      </c>
      <c r="Q3" s="25">
        <f>P3*(1+'1'!$AA$4)</f>
        <v>22791000</v>
      </c>
      <c r="R3" s="25">
        <f>Q3*(1+'1'!$AB$4)</f>
        <v>24500325</v>
      </c>
      <c r="S3" s="25">
        <f>R3*(1+'1'!$AC$4)</f>
        <v>26460351</v>
      </c>
      <c r="T3" s="26">
        <f>L3*P3</f>
        <v>541872000</v>
      </c>
      <c r="U3" s="26">
        <f>M3*Q3</f>
        <v>614591222.4000001</v>
      </c>
      <c r="V3" s="26">
        <f>N3*R3</f>
        <v>700326697.92480016</v>
      </c>
      <c r="W3" s="26">
        <f>O3*S3</f>
        <v>801734003.78431129</v>
      </c>
      <c r="X3" s="26"/>
      <c r="Y3" s="27" t="s">
        <v>19</v>
      </c>
      <c r="Z3" s="28">
        <f>G2</f>
        <v>2025</v>
      </c>
      <c r="AA3" s="28">
        <f>Z3+1</f>
        <v>2026</v>
      </c>
      <c r="AB3" s="28">
        <f t="shared" ref="AB3:AC3" si="3">AA3+1</f>
        <v>2027</v>
      </c>
      <c r="AC3" s="29">
        <f t="shared" si="3"/>
        <v>2028</v>
      </c>
    </row>
    <row r="4" spans="1:29" ht="23.25">
      <c r="A4" s="21">
        <f>A3+1</f>
        <v>2</v>
      </c>
      <c r="B4" s="13" t="s">
        <v>20</v>
      </c>
      <c r="C4" s="56">
        <v>15</v>
      </c>
      <c r="D4" s="155">
        <v>30000000</v>
      </c>
      <c r="E4" s="22">
        <f t="shared" ref="E4:E12" si="4">C4*D4</f>
        <v>450000000</v>
      </c>
      <c r="F4" s="23">
        <f t="shared" ref="F4:F12" si="5">IF($E$13=0,0,E4/$E$13)</f>
        <v>0.26011560693641617</v>
      </c>
      <c r="G4" s="117">
        <v>0.06</v>
      </c>
      <c r="H4" s="117">
        <v>0.06</v>
      </c>
      <c r="I4" s="117">
        <v>0.06</v>
      </c>
      <c r="J4" s="117">
        <v>0.06</v>
      </c>
      <c r="K4" s="24"/>
      <c r="L4" s="8">
        <f t="shared" si="1"/>
        <v>15.9</v>
      </c>
      <c r="M4" s="8">
        <f t="shared" ref="M4:M12" si="6">L4*(1+H4)</f>
        <v>16.854000000000003</v>
      </c>
      <c r="N4" s="8">
        <f t="shared" ref="N4:N12" si="7">M4*(1+I4)</f>
        <v>17.865240000000004</v>
      </c>
      <c r="O4" s="8">
        <f t="shared" ref="O4:O12" si="8">N4*(1+J4)</f>
        <v>18.937154400000004</v>
      </c>
      <c r="P4" s="25">
        <f>D4*(1+'1'!$Z$4)</f>
        <v>31950000</v>
      </c>
      <c r="Q4" s="25">
        <f>P4*(1+'1'!$AA$4)</f>
        <v>34186500</v>
      </c>
      <c r="R4" s="25">
        <f>Q4*(1+'1'!$AB$4)</f>
        <v>36750487.5</v>
      </c>
      <c r="S4" s="25">
        <f>R4*(1+'1'!$AC$4)</f>
        <v>39690526.5</v>
      </c>
      <c r="T4" s="26">
        <f t="shared" ref="T4:T12" si="9">L4*P4</f>
        <v>508005000</v>
      </c>
      <c r="U4" s="26">
        <f t="shared" ref="U4:U12" si="10">M4*Q4</f>
        <v>576179271.00000012</v>
      </c>
      <c r="V4" s="26">
        <f t="shared" ref="V4:V12" si="11">N4*R4</f>
        <v>656556279.3045001</v>
      </c>
      <c r="W4" s="26">
        <f t="shared" ref="W4:W12" si="12">O4*S4</f>
        <v>751625628.54779172</v>
      </c>
      <c r="X4" s="26"/>
      <c r="Y4" s="119" t="s">
        <v>21</v>
      </c>
      <c r="Z4" s="51">
        <v>6.5000000000000002E-2</v>
      </c>
      <c r="AA4" s="51">
        <v>7.0000000000000007E-2</v>
      </c>
      <c r="AB4" s="51">
        <v>7.4999999999999997E-2</v>
      </c>
      <c r="AC4" s="52">
        <v>0.08</v>
      </c>
    </row>
    <row r="5" spans="1:29" ht="41.25" customHeight="1" thickBot="1">
      <c r="A5" s="21">
        <f t="shared" ref="A5:A12" si="13">A4+1</f>
        <v>3</v>
      </c>
      <c r="B5" s="184" t="s">
        <v>22</v>
      </c>
      <c r="C5" s="56">
        <v>400</v>
      </c>
      <c r="D5" s="14">
        <v>2000000</v>
      </c>
      <c r="E5" s="22">
        <f t="shared" si="4"/>
        <v>800000000</v>
      </c>
      <c r="F5" s="23">
        <f t="shared" si="5"/>
        <v>0.46242774566473988</v>
      </c>
      <c r="G5" s="49">
        <v>0.1</v>
      </c>
      <c r="H5" s="49">
        <v>0.1</v>
      </c>
      <c r="I5" s="49">
        <v>0.1</v>
      </c>
      <c r="J5" s="49">
        <v>0.1</v>
      </c>
      <c r="K5" s="24"/>
      <c r="L5" s="8">
        <f t="shared" si="1"/>
        <v>440.00000000000006</v>
      </c>
      <c r="M5" s="8">
        <f t="shared" si="6"/>
        <v>484.00000000000011</v>
      </c>
      <c r="N5" s="8">
        <f t="shared" si="7"/>
        <v>532.4000000000002</v>
      </c>
      <c r="O5" s="8">
        <f t="shared" si="8"/>
        <v>585.64000000000033</v>
      </c>
      <c r="P5" s="25">
        <f>D5*(1+'1'!$Z$4)</f>
        <v>2130000</v>
      </c>
      <c r="Q5" s="25">
        <f>P5*(1+'1'!$AA$4)</f>
        <v>2279100</v>
      </c>
      <c r="R5" s="25">
        <f>Q5*(1+'1'!$AB$4)</f>
        <v>2450032.5</v>
      </c>
      <c r="S5" s="25">
        <f>R5*(1+'1'!$AC$4)</f>
        <v>2646035.1</v>
      </c>
      <c r="T5" s="26">
        <f t="shared" si="9"/>
        <v>937200000.00000012</v>
      </c>
      <c r="U5" s="26">
        <f t="shared" si="10"/>
        <v>1103084400.0000002</v>
      </c>
      <c r="V5" s="26">
        <f t="shared" si="11"/>
        <v>1304397303.0000005</v>
      </c>
      <c r="W5" s="26">
        <f t="shared" si="12"/>
        <v>1549623995.9640009</v>
      </c>
      <c r="X5" s="26"/>
      <c r="Y5" s="120" t="s">
        <v>23</v>
      </c>
      <c r="Z5" s="53">
        <v>5.5E-2</v>
      </c>
      <c r="AA5" s="53">
        <v>0.06</v>
      </c>
      <c r="AB5" s="53">
        <v>6.5000000000000002E-2</v>
      </c>
      <c r="AC5" s="54">
        <v>7.0000000000000007E-2</v>
      </c>
    </row>
    <row r="6" spans="1:29" ht="15.75" thickBot="1">
      <c r="A6" s="21">
        <f t="shared" si="13"/>
        <v>4</v>
      </c>
      <c r="B6" s="13"/>
      <c r="C6" s="56">
        <v>0</v>
      </c>
      <c r="D6" s="14">
        <v>0</v>
      </c>
      <c r="E6" s="22">
        <f t="shared" si="4"/>
        <v>0</v>
      </c>
      <c r="F6" s="23">
        <f t="shared" si="5"/>
        <v>0</v>
      </c>
      <c r="G6" s="49">
        <v>0</v>
      </c>
      <c r="H6" s="49">
        <v>0</v>
      </c>
      <c r="I6" s="49">
        <v>0</v>
      </c>
      <c r="J6" s="49">
        <v>0</v>
      </c>
      <c r="K6" s="24"/>
      <c r="L6" s="8">
        <f t="shared" si="1"/>
        <v>0</v>
      </c>
      <c r="M6" s="8">
        <f t="shared" si="6"/>
        <v>0</v>
      </c>
      <c r="N6" s="8">
        <f t="shared" si="7"/>
        <v>0</v>
      </c>
      <c r="O6" s="8">
        <f t="shared" si="8"/>
        <v>0</v>
      </c>
      <c r="P6" s="25">
        <f>D6*(1+'1'!$Z$4)</f>
        <v>0</v>
      </c>
      <c r="Q6" s="25">
        <f>P6*(1+'1'!$AA$4)</f>
        <v>0</v>
      </c>
      <c r="R6" s="25">
        <f>Q6*(1+'1'!$AB$4)</f>
        <v>0</v>
      </c>
      <c r="S6" s="25">
        <f>R6*(1+'1'!$AC$4)</f>
        <v>0</v>
      </c>
      <c r="T6" s="26">
        <f t="shared" si="9"/>
        <v>0</v>
      </c>
      <c r="U6" s="26">
        <f t="shared" si="10"/>
        <v>0</v>
      </c>
      <c r="V6" s="26">
        <f t="shared" si="11"/>
        <v>0</v>
      </c>
      <c r="W6" s="26">
        <f t="shared" si="12"/>
        <v>0</v>
      </c>
      <c r="X6" s="26"/>
    </row>
    <row r="7" spans="1:29" ht="24" thickBot="1">
      <c r="A7" s="21">
        <f t="shared" si="13"/>
        <v>5</v>
      </c>
      <c r="B7" s="13"/>
      <c r="C7" s="56">
        <v>0</v>
      </c>
      <c r="D7" s="14">
        <v>0</v>
      </c>
      <c r="E7" s="22">
        <f t="shared" si="4"/>
        <v>0</v>
      </c>
      <c r="F7" s="23">
        <f t="shared" si="5"/>
        <v>0</v>
      </c>
      <c r="G7" s="49">
        <v>0</v>
      </c>
      <c r="H7" s="49">
        <v>0</v>
      </c>
      <c r="I7" s="49">
        <v>0</v>
      </c>
      <c r="J7" s="49">
        <v>0</v>
      </c>
      <c r="K7" s="24"/>
      <c r="L7" s="8">
        <f t="shared" si="1"/>
        <v>0</v>
      </c>
      <c r="M7" s="8">
        <f t="shared" si="6"/>
        <v>0</v>
      </c>
      <c r="N7" s="8">
        <f t="shared" si="7"/>
        <v>0</v>
      </c>
      <c r="O7" s="8">
        <f t="shared" si="8"/>
        <v>0</v>
      </c>
      <c r="P7" s="25">
        <f>D7*(1+'1'!$Z$4)</f>
        <v>0</v>
      </c>
      <c r="Q7" s="25">
        <f>P7*(1+'1'!$AA$4)</f>
        <v>0</v>
      </c>
      <c r="R7" s="25">
        <f>Q7*(1+'1'!$AB$4)</f>
        <v>0</v>
      </c>
      <c r="S7" s="25">
        <f>R7*(1+'1'!$AC$4)</f>
        <v>0</v>
      </c>
      <c r="T7" s="26">
        <f t="shared" si="9"/>
        <v>0</v>
      </c>
      <c r="U7" s="26">
        <f t="shared" si="10"/>
        <v>0</v>
      </c>
      <c r="V7" s="26">
        <f t="shared" si="11"/>
        <v>0</v>
      </c>
      <c r="W7" s="26">
        <f t="shared" si="12"/>
        <v>0</v>
      </c>
      <c r="X7" s="26"/>
      <c r="Y7" s="30" t="s">
        <v>24</v>
      </c>
      <c r="Z7" s="31"/>
      <c r="AA7" s="31"/>
      <c r="AB7" s="55">
        <v>0.34</v>
      </c>
      <c r="AC7" s="32"/>
    </row>
    <row r="8" spans="1:29">
      <c r="A8" s="21">
        <f t="shared" si="13"/>
        <v>6</v>
      </c>
      <c r="B8" s="13"/>
      <c r="C8" s="56">
        <v>0</v>
      </c>
      <c r="D8" s="14">
        <v>0</v>
      </c>
      <c r="E8" s="22">
        <f t="shared" si="4"/>
        <v>0</v>
      </c>
      <c r="F8" s="23">
        <f t="shared" si="5"/>
        <v>0</v>
      </c>
      <c r="G8" s="49">
        <v>0</v>
      </c>
      <c r="H8" s="49">
        <v>0</v>
      </c>
      <c r="I8" s="49">
        <v>0</v>
      </c>
      <c r="J8" s="49">
        <v>0</v>
      </c>
      <c r="K8" s="24"/>
      <c r="L8" s="8">
        <f t="shared" si="1"/>
        <v>0</v>
      </c>
      <c r="M8" s="8">
        <f t="shared" si="6"/>
        <v>0</v>
      </c>
      <c r="N8" s="8">
        <f t="shared" si="7"/>
        <v>0</v>
      </c>
      <c r="O8" s="8">
        <f t="shared" si="8"/>
        <v>0</v>
      </c>
      <c r="P8" s="25">
        <f>D8*(1+'1'!$Z$4)</f>
        <v>0</v>
      </c>
      <c r="Q8" s="25">
        <f>P8*(1+'1'!$AA$4)</f>
        <v>0</v>
      </c>
      <c r="R8" s="25">
        <f>Q8*(1+'1'!$AB$4)</f>
        <v>0</v>
      </c>
      <c r="S8" s="25">
        <f>R8*(1+'1'!$AC$4)</f>
        <v>0</v>
      </c>
      <c r="T8" s="26">
        <f t="shared" si="9"/>
        <v>0</v>
      </c>
      <c r="U8" s="26">
        <f t="shared" si="10"/>
        <v>0</v>
      </c>
      <c r="V8" s="26">
        <f t="shared" si="11"/>
        <v>0</v>
      </c>
      <c r="W8" s="26">
        <f t="shared" si="12"/>
        <v>0</v>
      </c>
      <c r="X8" s="26"/>
    </row>
    <row r="9" spans="1:29">
      <c r="A9" s="21">
        <f t="shared" si="13"/>
        <v>7</v>
      </c>
      <c r="B9" s="13"/>
      <c r="C9" s="56">
        <v>0</v>
      </c>
      <c r="D9" s="14">
        <v>0</v>
      </c>
      <c r="E9" s="22">
        <f t="shared" si="4"/>
        <v>0</v>
      </c>
      <c r="F9" s="23">
        <f t="shared" si="5"/>
        <v>0</v>
      </c>
      <c r="G9" s="49">
        <v>0</v>
      </c>
      <c r="H9" s="49">
        <v>0</v>
      </c>
      <c r="I9" s="49">
        <v>0</v>
      </c>
      <c r="J9" s="49">
        <v>0</v>
      </c>
      <c r="K9" s="24"/>
      <c r="L9" s="8">
        <f t="shared" si="1"/>
        <v>0</v>
      </c>
      <c r="M9" s="8">
        <f t="shared" si="6"/>
        <v>0</v>
      </c>
      <c r="N9" s="8">
        <f t="shared" si="7"/>
        <v>0</v>
      </c>
      <c r="O9" s="8">
        <f t="shared" si="8"/>
        <v>0</v>
      </c>
      <c r="P9" s="25">
        <f>D9*(1+'1'!$Z$4)</f>
        <v>0</v>
      </c>
      <c r="Q9" s="25">
        <f>P9*(1+'1'!$AA$4)</f>
        <v>0</v>
      </c>
      <c r="R9" s="25">
        <f>Q9*(1+'1'!$AB$4)</f>
        <v>0</v>
      </c>
      <c r="S9" s="25">
        <f>R9*(1+'1'!$AC$4)</f>
        <v>0</v>
      </c>
      <c r="T9" s="26">
        <f t="shared" si="9"/>
        <v>0</v>
      </c>
      <c r="U9" s="26">
        <f t="shared" si="10"/>
        <v>0</v>
      </c>
      <c r="V9" s="26">
        <f t="shared" si="11"/>
        <v>0</v>
      </c>
      <c r="W9" s="26">
        <f t="shared" si="12"/>
        <v>0</v>
      </c>
      <c r="X9" s="26"/>
    </row>
    <row r="10" spans="1:29">
      <c r="A10" s="21">
        <f t="shared" si="13"/>
        <v>8</v>
      </c>
      <c r="B10" s="13"/>
      <c r="C10" s="56">
        <v>0</v>
      </c>
      <c r="D10" s="14">
        <v>0</v>
      </c>
      <c r="E10" s="22">
        <f t="shared" si="4"/>
        <v>0</v>
      </c>
      <c r="F10" s="23">
        <f t="shared" si="5"/>
        <v>0</v>
      </c>
      <c r="G10" s="49">
        <v>0</v>
      </c>
      <c r="H10" s="49">
        <v>0</v>
      </c>
      <c r="I10" s="49">
        <v>0</v>
      </c>
      <c r="J10" s="49">
        <v>0</v>
      </c>
      <c r="K10" s="24"/>
      <c r="L10" s="8">
        <f t="shared" si="1"/>
        <v>0</v>
      </c>
      <c r="M10" s="8">
        <f t="shared" si="6"/>
        <v>0</v>
      </c>
      <c r="N10" s="8">
        <f t="shared" si="7"/>
        <v>0</v>
      </c>
      <c r="O10" s="8">
        <f t="shared" si="8"/>
        <v>0</v>
      </c>
      <c r="P10" s="25">
        <f>D10*(1+'1'!$Z$4)</f>
        <v>0</v>
      </c>
      <c r="Q10" s="25">
        <f>P10*(1+'1'!$AA$4)</f>
        <v>0</v>
      </c>
      <c r="R10" s="25">
        <f>Q10*(1+'1'!$AB$4)</f>
        <v>0</v>
      </c>
      <c r="S10" s="25">
        <f>R10*(1+'1'!$AC$4)</f>
        <v>0</v>
      </c>
      <c r="T10" s="26">
        <f t="shared" si="9"/>
        <v>0</v>
      </c>
      <c r="U10" s="26">
        <f t="shared" si="10"/>
        <v>0</v>
      </c>
      <c r="V10" s="26">
        <f t="shared" si="11"/>
        <v>0</v>
      </c>
      <c r="W10" s="26">
        <f t="shared" si="12"/>
        <v>0</v>
      </c>
      <c r="X10" s="26"/>
    </row>
    <row r="11" spans="1:29">
      <c r="A11" s="21">
        <f t="shared" si="13"/>
        <v>9</v>
      </c>
      <c r="B11" s="13"/>
      <c r="C11" s="56">
        <v>0</v>
      </c>
      <c r="D11" s="14">
        <v>0</v>
      </c>
      <c r="E11" s="22">
        <f t="shared" si="4"/>
        <v>0</v>
      </c>
      <c r="F11" s="23">
        <f t="shared" si="5"/>
        <v>0</v>
      </c>
      <c r="G11" s="49">
        <v>0</v>
      </c>
      <c r="H11" s="49">
        <v>0</v>
      </c>
      <c r="I11" s="49">
        <v>0</v>
      </c>
      <c r="J11" s="49">
        <v>0</v>
      </c>
      <c r="K11" s="24"/>
      <c r="L11" s="8">
        <f t="shared" si="1"/>
        <v>0</v>
      </c>
      <c r="M11" s="8">
        <f t="shared" si="6"/>
        <v>0</v>
      </c>
      <c r="N11" s="8">
        <f t="shared" si="7"/>
        <v>0</v>
      </c>
      <c r="O11" s="8">
        <f t="shared" si="8"/>
        <v>0</v>
      </c>
      <c r="P11" s="25">
        <f>D11*(1+'1'!$Z$4)</f>
        <v>0</v>
      </c>
      <c r="Q11" s="25">
        <f>P11*(1+'1'!$AA$4)</f>
        <v>0</v>
      </c>
      <c r="R11" s="25">
        <f>Q11*(1+'1'!$AB$4)</f>
        <v>0</v>
      </c>
      <c r="S11" s="25">
        <f>R11*(1+'1'!$AC$4)</f>
        <v>0</v>
      </c>
      <c r="T11" s="26">
        <f t="shared" si="9"/>
        <v>0</v>
      </c>
      <c r="U11" s="26">
        <f t="shared" si="10"/>
        <v>0</v>
      </c>
      <c r="V11" s="26">
        <f t="shared" si="11"/>
        <v>0</v>
      </c>
      <c r="W11" s="26">
        <f t="shared" si="12"/>
        <v>0</v>
      </c>
      <c r="X11" s="26"/>
    </row>
    <row r="12" spans="1:29">
      <c r="A12" s="21">
        <f t="shared" si="13"/>
        <v>10</v>
      </c>
      <c r="B12" s="13"/>
      <c r="C12" s="56">
        <v>0</v>
      </c>
      <c r="D12" s="14">
        <v>0</v>
      </c>
      <c r="E12" s="22">
        <f t="shared" si="4"/>
        <v>0</v>
      </c>
      <c r="F12" s="23">
        <f t="shared" si="5"/>
        <v>0</v>
      </c>
      <c r="G12" s="49">
        <v>0</v>
      </c>
      <c r="H12" s="49">
        <v>0</v>
      </c>
      <c r="I12" s="49">
        <v>0</v>
      </c>
      <c r="J12" s="49">
        <v>0</v>
      </c>
      <c r="K12" s="24"/>
      <c r="L12" s="8">
        <f t="shared" si="1"/>
        <v>0</v>
      </c>
      <c r="M12" s="8">
        <f t="shared" si="6"/>
        <v>0</v>
      </c>
      <c r="N12" s="8">
        <f t="shared" si="7"/>
        <v>0</v>
      </c>
      <c r="O12" s="8">
        <f t="shared" si="8"/>
        <v>0</v>
      </c>
      <c r="P12" s="25">
        <f>D12*(1+'1'!$Z$4)</f>
        <v>0</v>
      </c>
      <c r="Q12" s="25">
        <f>P12*(1+'1'!$AA$4)</f>
        <v>0</v>
      </c>
      <c r="R12" s="25">
        <f>Q12*(1+'1'!$AB$4)</f>
        <v>0</v>
      </c>
      <c r="S12" s="25">
        <f>R12*(1+'1'!$AC$4)</f>
        <v>0</v>
      </c>
      <c r="T12" s="26">
        <f t="shared" si="9"/>
        <v>0</v>
      </c>
      <c r="U12" s="26">
        <f t="shared" si="10"/>
        <v>0</v>
      </c>
      <c r="V12" s="26">
        <f t="shared" si="11"/>
        <v>0</v>
      </c>
      <c r="W12" s="26">
        <f t="shared" si="12"/>
        <v>0</v>
      </c>
      <c r="X12" s="26"/>
    </row>
    <row r="13" spans="1:29">
      <c r="D13" s="8" t="s">
        <v>25</v>
      </c>
      <c r="E13" s="33">
        <f>SUM(E3:E12)</f>
        <v>1730000000</v>
      </c>
      <c r="F13" s="34">
        <f>SUM(F3:F12)</f>
        <v>1</v>
      </c>
      <c r="T13" s="35">
        <f>SUM(T3:T12)</f>
        <v>1987077000</v>
      </c>
      <c r="U13" s="35">
        <f>SUM(U3:U12)</f>
        <v>2293854893.4000006</v>
      </c>
      <c r="V13" s="35">
        <f>SUM(V3:V12)</f>
        <v>2661280280.2293005</v>
      </c>
      <c r="W13" s="35">
        <f>SUM(W3:W12)</f>
        <v>3102983628.296104</v>
      </c>
      <c r="X13" s="26"/>
    </row>
    <row r="15" spans="1:29" ht="23.25" customHeight="1">
      <c r="A15" s="187" t="s">
        <v>26</v>
      </c>
      <c r="B15" s="187"/>
      <c r="C15" s="187"/>
      <c r="D15" s="187"/>
      <c r="E15" s="187"/>
      <c r="G15" s="36"/>
    </row>
    <row r="16" spans="1:29" ht="25.5" customHeight="1">
      <c r="B16" s="17" t="s">
        <v>27</v>
      </c>
      <c r="C16" s="37" t="s">
        <v>6</v>
      </c>
      <c r="D16" s="115" t="s">
        <v>28</v>
      </c>
      <c r="E16" s="18" t="s">
        <v>29</v>
      </c>
      <c r="L16" s="8">
        <f>L2</f>
        <v>2025</v>
      </c>
      <c r="M16" s="8">
        <f t="shared" ref="M16:W16" si="14">M2</f>
        <v>2026</v>
      </c>
      <c r="N16" s="8">
        <f t="shared" si="14"/>
        <v>2027</v>
      </c>
      <c r="O16" s="8">
        <f t="shared" si="14"/>
        <v>2028</v>
      </c>
      <c r="P16" s="8" t="str">
        <f t="shared" si="14"/>
        <v>AÑO 2</v>
      </c>
      <c r="Q16" s="8" t="str">
        <f t="shared" si="14"/>
        <v>AÑO 3</v>
      </c>
      <c r="R16" s="8" t="str">
        <f t="shared" si="14"/>
        <v>AÑO 4</v>
      </c>
      <c r="S16" s="8" t="str">
        <f t="shared" si="14"/>
        <v>AÑO 5</v>
      </c>
      <c r="T16" s="8" t="str">
        <f t="shared" si="14"/>
        <v>año 2</v>
      </c>
      <c r="U16" s="8" t="str">
        <f t="shared" si="14"/>
        <v>año 3</v>
      </c>
      <c r="V16" s="8" t="str">
        <f t="shared" si="14"/>
        <v>año 4</v>
      </c>
      <c r="W16" s="8" t="str">
        <f t="shared" si="14"/>
        <v>año 5</v>
      </c>
    </row>
    <row r="17" spans="1:24">
      <c r="A17" s="21">
        <f>A3</f>
        <v>1</v>
      </c>
      <c r="B17" s="95" t="str">
        <f>B3</f>
        <v>Servicio de Asesoría</v>
      </c>
      <c r="C17" s="39">
        <f>C3</f>
        <v>24</v>
      </c>
      <c r="D17" s="14">
        <v>10000000</v>
      </c>
      <c r="E17" s="22">
        <f>C17*D17</f>
        <v>240000000</v>
      </c>
      <c r="F17" s="23">
        <f>IF($E$27=0,0,E17/$E$27)</f>
        <v>0.30573248407643311</v>
      </c>
      <c r="L17" s="8">
        <f t="shared" ref="L17:L26" si="15">C17*(1+G3)</f>
        <v>25.44</v>
      </c>
      <c r="M17" s="8">
        <f>L17*(1+H3)</f>
        <v>26.966400000000004</v>
      </c>
      <c r="N17" s="8">
        <f t="shared" ref="N17:O17" si="16">M17*(1+I3)</f>
        <v>28.584384000000007</v>
      </c>
      <c r="O17" s="8">
        <f t="shared" si="16"/>
        <v>30.299447040000008</v>
      </c>
      <c r="P17" s="40">
        <f>D17*(1+'1'!$Z$5)</f>
        <v>10550000</v>
      </c>
      <c r="Q17" s="25">
        <f>P17*(1+'1'!$AA$5)</f>
        <v>11183000</v>
      </c>
      <c r="R17" s="25">
        <f>Q17*(1+'1'!$AB$5)</f>
        <v>11909895</v>
      </c>
      <c r="S17" s="25">
        <f>R17*(1+'1'!$AC$5)</f>
        <v>12743587.65</v>
      </c>
      <c r="T17" s="40">
        <f t="shared" ref="T17:U19" si="17">L17*P17</f>
        <v>268392000</v>
      </c>
      <c r="U17" s="26">
        <f t="shared" si="17"/>
        <v>301565251.20000005</v>
      </c>
      <c r="V17" s="26">
        <f t="shared" ref="V17:W17" si="18">N17*R17</f>
        <v>340437012.07968009</v>
      </c>
      <c r="W17" s="26">
        <f t="shared" si="18"/>
        <v>386123659.10077316</v>
      </c>
      <c r="X17" s="26"/>
    </row>
    <row r="18" spans="1:24">
      <c r="A18" s="21">
        <f t="shared" ref="A18:B25" si="19">A4</f>
        <v>2</v>
      </c>
      <c r="B18" s="41" t="str">
        <f t="shared" si="19"/>
        <v>Servicio de Consultoría</v>
      </c>
      <c r="C18" s="39">
        <f t="shared" ref="C18:C26" si="20">C4</f>
        <v>15</v>
      </c>
      <c r="D18" s="14">
        <v>15000000</v>
      </c>
      <c r="E18" s="22">
        <f t="shared" ref="E18:E26" si="21">C18*D18</f>
        <v>225000000</v>
      </c>
      <c r="F18" s="23">
        <f t="shared" ref="F18:F26" si="22">IF($E$27=0,0,E18/$E$27)</f>
        <v>0.28662420382165604</v>
      </c>
      <c r="L18" s="8">
        <f t="shared" si="15"/>
        <v>15.9</v>
      </c>
      <c r="M18" s="8">
        <f t="shared" ref="M18:M26" si="23">L18*(1+H4)</f>
        <v>16.854000000000003</v>
      </c>
      <c r="N18" s="8">
        <f t="shared" ref="N18:N26" si="24">M18*(1+I4)</f>
        <v>17.865240000000004</v>
      </c>
      <c r="O18" s="8">
        <f t="shared" ref="O18:O26" si="25">N18*(1+J4)</f>
        <v>18.937154400000004</v>
      </c>
      <c r="P18" s="40">
        <f>D18*(1+'1'!$Z$5)</f>
        <v>15824999.999999998</v>
      </c>
      <c r="Q18" s="25">
        <f>P18*(1+'1'!$AA$5)</f>
        <v>16774499.999999998</v>
      </c>
      <c r="R18" s="25">
        <f>Q18*(1+'1'!$AB$5)</f>
        <v>17864842.499999996</v>
      </c>
      <c r="S18" s="25">
        <f>R18*(1+'1'!$AC$5)</f>
        <v>19115381.474999998</v>
      </c>
      <c r="T18" s="40">
        <f t="shared" si="17"/>
        <v>251617499.99999997</v>
      </c>
      <c r="U18" s="26">
        <f t="shared" si="17"/>
        <v>282717423</v>
      </c>
      <c r="V18" s="26">
        <f t="shared" ref="V18:V26" si="26">N18*R18</f>
        <v>319159698.8247</v>
      </c>
      <c r="W18" s="26">
        <f t="shared" ref="W18:W26" si="27">O18*S18</f>
        <v>361990930.40697479</v>
      </c>
      <c r="X18" s="26"/>
    </row>
    <row r="19" spans="1:24">
      <c r="A19" s="21">
        <f t="shared" si="19"/>
        <v>3</v>
      </c>
      <c r="B19" s="41" t="str">
        <f t="shared" si="19"/>
        <v>Formación y capacitación (Cupos de Seminario y Talleres de Sostenibilidad &amp; ODS 12)</v>
      </c>
      <c r="C19" s="39">
        <f t="shared" si="20"/>
        <v>400</v>
      </c>
      <c r="D19" s="14">
        <v>800000</v>
      </c>
      <c r="E19" s="22">
        <f t="shared" si="21"/>
        <v>320000000</v>
      </c>
      <c r="F19" s="23">
        <f t="shared" si="22"/>
        <v>0.40764331210191085</v>
      </c>
      <c r="L19" s="8">
        <f t="shared" si="15"/>
        <v>440.00000000000006</v>
      </c>
      <c r="M19" s="8">
        <f t="shared" si="23"/>
        <v>484.00000000000011</v>
      </c>
      <c r="N19" s="8">
        <f t="shared" si="24"/>
        <v>532.4000000000002</v>
      </c>
      <c r="O19" s="8">
        <f t="shared" si="25"/>
        <v>585.64000000000033</v>
      </c>
      <c r="P19" s="40">
        <f>D19*(1+'1'!$Z$5)</f>
        <v>844000</v>
      </c>
      <c r="Q19" s="25">
        <f>P19*(1+'1'!$AA$5)</f>
        <v>894640</v>
      </c>
      <c r="R19" s="25">
        <f>Q19*(1+'1'!$AB$5)</f>
        <v>952791.6</v>
      </c>
      <c r="S19" s="25">
        <f>R19*(1+'1'!$AC$5)</f>
        <v>1019487.012</v>
      </c>
      <c r="T19" s="40">
        <f t="shared" si="17"/>
        <v>371360000.00000006</v>
      </c>
      <c r="U19" s="26">
        <f t="shared" si="17"/>
        <v>433005760.00000012</v>
      </c>
      <c r="V19" s="26">
        <f t="shared" si="26"/>
        <v>507266247.84000021</v>
      </c>
      <c r="W19" s="26">
        <f t="shared" si="27"/>
        <v>597052373.70768034</v>
      </c>
      <c r="X19" s="26"/>
    </row>
    <row r="20" spans="1:24">
      <c r="A20" s="21">
        <f t="shared" si="19"/>
        <v>4</v>
      </c>
      <c r="B20" s="41">
        <f t="shared" si="19"/>
        <v>0</v>
      </c>
      <c r="C20" s="39">
        <f t="shared" si="20"/>
        <v>0</v>
      </c>
      <c r="D20" s="14">
        <v>0</v>
      </c>
      <c r="E20" s="22">
        <f t="shared" si="21"/>
        <v>0</v>
      </c>
      <c r="F20" s="23">
        <f t="shared" si="22"/>
        <v>0</v>
      </c>
      <c r="L20" s="8">
        <f t="shared" si="15"/>
        <v>0</v>
      </c>
      <c r="M20" s="8">
        <f t="shared" si="23"/>
        <v>0</v>
      </c>
      <c r="N20" s="8">
        <f t="shared" si="24"/>
        <v>0</v>
      </c>
      <c r="O20" s="8">
        <f t="shared" si="25"/>
        <v>0</v>
      </c>
      <c r="P20" s="40">
        <f>D20*(1+'1'!$Z$5)</f>
        <v>0</v>
      </c>
      <c r="Q20" s="25">
        <f>P20*(1+'1'!$AA$5)</f>
        <v>0</v>
      </c>
      <c r="R20" s="25">
        <f>Q20*(1+'1'!$AB$5)</f>
        <v>0</v>
      </c>
      <c r="S20" s="25">
        <f>R20*(1+'1'!$AC$5)</f>
        <v>0</v>
      </c>
      <c r="T20" s="40">
        <f t="shared" ref="T20:T26" si="28">L20*P20</f>
        <v>0</v>
      </c>
      <c r="U20" s="26">
        <f t="shared" ref="U20:U26" si="29">M20*Q20</f>
        <v>0</v>
      </c>
      <c r="V20" s="26">
        <f t="shared" si="26"/>
        <v>0</v>
      </c>
      <c r="W20" s="26">
        <f t="shared" si="27"/>
        <v>0</v>
      </c>
      <c r="X20" s="26"/>
    </row>
    <row r="21" spans="1:24">
      <c r="A21" s="21">
        <f t="shared" si="19"/>
        <v>5</v>
      </c>
      <c r="B21" s="41">
        <f t="shared" si="19"/>
        <v>0</v>
      </c>
      <c r="C21" s="39">
        <f t="shared" si="20"/>
        <v>0</v>
      </c>
      <c r="D21" s="14">
        <v>0</v>
      </c>
      <c r="E21" s="22">
        <f t="shared" si="21"/>
        <v>0</v>
      </c>
      <c r="F21" s="23">
        <f t="shared" si="22"/>
        <v>0</v>
      </c>
      <c r="L21" s="8">
        <f t="shared" si="15"/>
        <v>0</v>
      </c>
      <c r="M21" s="8">
        <f t="shared" si="23"/>
        <v>0</v>
      </c>
      <c r="N21" s="8">
        <f t="shared" si="24"/>
        <v>0</v>
      </c>
      <c r="O21" s="8">
        <f t="shared" si="25"/>
        <v>0</v>
      </c>
      <c r="P21" s="40">
        <f>D21*(1+'1'!$Z$5)</f>
        <v>0</v>
      </c>
      <c r="Q21" s="25">
        <f>P21*(1+'1'!$AA$5)</f>
        <v>0</v>
      </c>
      <c r="R21" s="25">
        <f>Q21*(1+'1'!$AB$5)</f>
        <v>0</v>
      </c>
      <c r="S21" s="25">
        <f>R21*(1+'1'!$AC$5)</f>
        <v>0</v>
      </c>
      <c r="T21" s="40">
        <f t="shared" si="28"/>
        <v>0</v>
      </c>
      <c r="U21" s="26">
        <f t="shared" si="29"/>
        <v>0</v>
      </c>
      <c r="V21" s="26">
        <f t="shared" si="26"/>
        <v>0</v>
      </c>
      <c r="W21" s="26">
        <f t="shared" si="27"/>
        <v>0</v>
      </c>
      <c r="X21" s="26"/>
    </row>
    <row r="22" spans="1:24">
      <c r="A22" s="21">
        <f t="shared" si="19"/>
        <v>6</v>
      </c>
      <c r="B22" s="41">
        <f t="shared" si="19"/>
        <v>0</v>
      </c>
      <c r="C22" s="39">
        <f t="shared" si="20"/>
        <v>0</v>
      </c>
      <c r="D22" s="14">
        <v>0</v>
      </c>
      <c r="E22" s="22">
        <f t="shared" si="21"/>
        <v>0</v>
      </c>
      <c r="F22" s="23">
        <f t="shared" si="22"/>
        <v>0</v>
      </c>
      <c r="L22" s="8">
        <f t="shared" si="15"/>
        <v>0</v>
      </c>
      <c r="M22" s="8">
        <f t="shared" si="23"/>
        <v>0</v>
      </c>
      <c r="N22" s="8">
        <f t="shared" si="24"/>
        <v>0</v>
      </c>
      <c r="O22" s="8">
        <f t="shared" si="25"/>
        <v>0</v>
      </c>
      <c r="P22" s="40">
        <f>D22*(1+'1'!$Z$5)</f>
        <v>0</v>
      </c>
      <c r="Q22" s="25">
        <f>P22*(1+'1'!$AA$5)</f>
        <v>0</v>
      </c>
      <c r="R22" s="25">
        <f>Q22*(1+'1'!$AB$5)</f>
        <v>0</v>
      </c>
      <c r="S22" s="25">
        <f>R22*(1+'1'!$AC$5)</f>
        <v>0</v>
      </c>
      <c r="T22" s="40">
        <f t="shared" si="28"/>
        <v>0</v>
      </c>
      <c r="U22" s="26">
        <f t="shared" si="29"/>
        <v>0</v>
      </c>
      <c r="V22" s="26">
        <f t="shared" si="26"/>
        <v>0</v>
      </c>
      <c r="W22" s="26">
        <f t="shared" si="27"/>
        <v>0</v>
      </c>
      <c r="X22" s="26"/>
    </row>
    <row r="23" spans="1:24">
      <c r="A23" s="21">
        <f t="shared" si="19"/>
        <v>7</v>
      </c>
      <c r="B23" s="41">
        <f t="shared" si="19"/>
        <v>0</v>
      </c>
      <c r="C23" s="39">
        <f t="shared" si="20"/>
        <v>0</v>
      </c>
      <c r="D23" s="14">
        <v>0</v>
      </c>
      <c r="E23" s="22">
        <f t="shared" si="21"/>
        <v>0</v>
      </c>
      <c r="F23" s="23">
        <f t="shared" si="22"/>
        <v>0</v>
      </c>
      <c r="L23" s="8">
        <f t="shared" si="15"/>
        <v>0</v>
      </c>
      <c r="M23" s="8">
        <f t="shared" si="23"/>
        <v>0</v>
      </c>
      <c r="N23" s="8">
        <f t="shared" si="24"/>
        <v>0</v>
      </c>
      <c r="O23" s="8">
        <f t="shared" si="25"/>
        <v>0</v>
      </c>
      <c r="P23" s="40">
        <f>D23*(1+'1'!$Z$5)</f>
        <v>0</v>
      </c>
      <c r="Q23" s="25">
        <f>P23*(1+'1'!$AA$5)</f>
        <v>0</v>
      </c>
      <c r="R23" s="25">
        <f>Q23*(1+'1'!$AB$5)</f>
        <v>0</v>
      </c>
      <c r="S23" s="25">
        <f>R23*(1+'1'!$AC$5)</f>
        <v>0</v>
      </c>
      <c r="T23" s="40">
        <f t="shared" si="28"/>
        <v>0</v>
      </c>
      <c r="U23" s="26">
        <f t="shared" si="29"/>
        <v>0</v>
      </c>
      <c r="V23" s="26">
        <f t="shared" si="26"/>
        <v>0</v>
      </c>
      <c r="W23" s="26">
        <f t="shared" si="27"/>
        <v>0</v>
      </c>
      <c r="X23" s="26"/>
    </row>
    <row r="24" spans="1:24">
      <c r="A24" s="21">
        <f t="shared" si="19"/>
        <v>8</v>
      </c>
      <c r="B24" s="41">
        <f t="shared" si="19"/>
        <v>0</v>
      </c>
      <c r="C24" s="39">
        <f t="shared" si="20"/>
        <v>0</v>
      </c>
      <c r="D24" s="14">
        <v>0</v>
      </c>
      <c r="E24" s="22">
        <f t="shared" si="21"/>
        <v>0</v>
      </c>
      <c r="F24" s="23">
        <f t="shared" si="22"/>
        <v>0</v>
      </c>
      <c r="L24" s="8">
        <f t="shared" si="15"/>
        <v>0</v>
      </c>
      <c r="M24" s="8">
        <f t="shared" si="23"/>
        <v>0</v>
      </c>
      <c r="N24" s="8">
        <f t="shared" si="24"/>
        <v>0</v>
      </c>
      <c r="O24" s="8">
        <f t="shared" si="25"/>
        <v>0</v>
      </c>
      <c r="P24" s="40">
        <f>D24*(1+'1'!$Z$5)</f>
        <v>0</v>
      </c>
      <c r="Q24" s="25">
        <f>P24*(1+'1'!$AA$5)</f>
        <v>0</v>
      </c>
      <c r="R24" s="25">
        <f>Q24*(1+'1'!$AB$5)</f>
        <v>0</v>
      </c>
      <c r="S24" s="25">
        <f>R24*(1+'1'!$AC$5)</f>
        <v>0</v>
      </c>
      <c r="T24" s="40">
        <f t="shared" si="28"/>
        <v>0</v>
      </c>
      <c r="U24" s="26">
        <f t="shared" si="29"/>
        <v>0</v>
      </c>
      <c r="V24" s="26">
        <f t="shared" si="26"/>
        <v>0</v>
      </c>
      <c r="W24" s="26">
        <f t="shared" si="27"/>
        <v>0</v>
      </c>
      <c r="X24" s="26"/>
    </row>
    <row r="25" spans="1:24">
      <c r="A25" s="21">
        <f t="shared" si="19"/>
        <v>9</v>
      </c>
      <c r="B25" s="41">
        <f t="shared" si="19"/>
        <v>0</v>
      </c>
      <c r="C25" s="39">
        <f t="shared" si="20"/>
        <v>0</v>
      </c>
      <c r="D25" s="14">
        <v>0</v>
      </c>
      <c r="E25" s="22">
        <f t="shared" si="21"/>
        <v>0</v>
      </c>
      <c r="F25" s="23">
        <f t="shared" si="22"/>
        <v>0</v>
      </c>
      <c r="L25" s="8">
        <f t="shared" si="15"/>
        <v>0</v>
      </c>
      <c r="M25" s="8">
        <f t="shared" si="23"/>
        <v>0</v>
      </c>
      <c r="N25" s="8">
        <f t="shared" si="24"/>
        <v>0</v>
      </c>
      <c r="O25" s="8">
        <f t="shared" si="25"/>
        <v>0</v>
      </c>
      <c r="P25" s="40">
        <f>D25*(1+'1'!$Z$5)</f>
        <v>0</v>
      </c>
      <c r="Q25" s="25">
        <f>P25*(1+'1'!$AA$5)</f>
        <v>0</v>
      </c>
      <c r="R25" s="25">
        <f>Q25*(1+'1'!$AB$5)</f>
        <v>0</v>
      </c>
      <c r="S25" s="25">
        <f>R25*(1+'1'!$AC$5)</f>
        <v>0</v>
      </c>
      <c r="T25" s="40">
        <f t="shared" si="28"/>
        <v>0</v>
      </c>
      <c r="U25" s="26">
        <f t="shared" si="29"/>
        <v>0</v>
      </c>
      <c r="V25" s="26">
        <f t="shared" si="26"/>
        <v>0</v>
      </c>
      <c r="W25" s="26">
        <f t="shared" si="27"/>
        <v>0</v>
      </c>
      <c r="X25" s="26"/>
    </row>
    <row r="26" spans="1:24">
      <c r="A26" s="21">
        <f>A12</f>
        <v>10</v>
      </c>
      <c r="B26" s="41">
        <f t="shared" ref="B26" si="30">B12</f>
        <v>0</v>
      </c>
      <c r="C26" s="39">
        <f t="shared" si="20"/>
        <v>0</v>
      </c>
      <c r="D26" s="14">
        <v>0</v>
      </c>
      <c r="E26" s="22">
        <f t="shared" si="21"/>
        <v>0</v>
      </c>
      <c r="F26" s="23">
        <f t="shared" si="22"/>
        <v>0</v>
      </c>
      <c r="L26" s="8">
        <f t="shared" si="15"/>
        <v>0</v>
      </c>
      <c r="M26" s="8">
        <f t="shared" si="23"/>
        <v>0</v>
      </c>
      <c r="N26" s="8">
        <f t="shared" si="24"/>
        <v>0</v>
      </c>
      <c r="O26" s="8">
        <f t="shared" si="25"/>
        <v>0</v>
      </c>
      <c r="P26" s="40">
        <f>D26*(1+'1'!$Z$5)</f>
        <v>0</v>
      </c>
      <c r="Q26" s="25">
        <f>P26*(1+'1'!$AA$5)</f>
        <v>0</v>
      </c>
      <c r="R26" s="25">
        <f>Q26*(1+'1'!$AB$5)</f>
        <v>0</v>
      </c>
      <c r="S26" s="25">
        <f>R26*(1+'1'!$AC$5)</f>
        <v>0</v>
      </c>
      <c r="T26" s="40">
        <f t="shared" si="28"/>
        <v>0</v>
      </c>
      <c r="U26" s="26">
        <f t="shared" si="29"/>
        <v>0</v>
      </c>
      <c r="V26" s="26">
        <f t="shared" si="26"/>
        <v>0</v>
      </c>
      <c r="W26" s="26">
        <f t="shared" si="27"/>
        <v>0</v>
      </c>
      <c r="X26" s="26"/>
    </row>
    <row r="27" spans="1:24">
      <c r="D27" s="8" t="str">
        <f>D13</f>
        <v>TOTAL</v>
      </c>
      <c r="E27" s="33">
        <f>SUM(E17:E26)</f>
        <v>785000000</v>
      </c>
      <c r="F27" s="34">
        <f>SUM(F17:F26)</f>
        <v>1</v>
      </c>
      <c r="T27" s="35">
        <f>SUM(T17:T26)</f>
        <v>891369500</v>
      </c>
      <c r="U27" s="35">
        <f>SUM(U17:U26)</f>
        <v>1017288434.2000002</v>
      </c>
      <c r="V27" s="35">
        <f t="shared" ref="V27:W27" si="31">SUM(V17:V26)</f>
        <v>1166862958.7443802</v>
      </c>
      <c r="W27" s="35">
        <f t="shared" si="31"/>
        <v>1345166963.2154284</v>
      </c>
      <c r="X27" s="26"/>
    </row>
    <row r="30" spans="1:24">
      <c r="A30" s="186" t="s">
        <v>30</v>
      </c>
      <c r="B30" s="186"/>
      <c r="C30" s="186"/>
      <c r="D30" s="186"/>
      <c r="E30" s="186"/>
      <c r="F30" s="186"/>
    </row>
    <row r="31" spans="1:24" ht="26.25">
      <c r="A31" s="42" t="s">
        <v>19</v>
      </c>
      <c r="B31" s="43">
        <f>'1'!Z1</f>
        <v>2024</v>
      </c>
      <c r="C31" s="43">
        <f>B31+1</f>
        <v>2025</v>
      </c>
      <c r="D31" s="43">
        <f>C31+1</f>
        <v>2026</v>
      </c>
      <c r="E31" s="43">
        <f>D31+1</f>
        <v>2027</v>
      </c>
      <c r="F31" s="43">
        <f>E31+1</f>
        <v>2028</v>
      </c>
      <c r="H31" s="44"/>
      <c r="I31" s="44"/>
      <c r="J31" s="44"/>
      <c r="K31" s="44"/>
      <c r="L31" s="44"/>
      <c r="M31" s="44"/>
      <c r="N31" s="44"/>
      <c r="O31" s="44"/>
      <c r="P31" s="44"/>
      <c r="Q31" s="44"/>
      <c r="R31" s="44"/>
      <c r="S31" s="44"/>
      <c r="T31" s="44"/>
      <c r="U31" s="44"/>
      <c r="V31" s="44"/>
    </row>
    <row r="32" spans="1:24">
      <c r="A32" s="45" t="s">
        <v>31</v>
      </c>
      <c r="B32" s="46">
        <f>'1'!E13</f>
        <v>1730000000</v>
      </c>
      <c r="C32" s="47">
        <f>'1'!T13</f>
        <v>1987077000</v>
      </c>
      <c r="D32" s="47">
        <f>'1'!U13</f>
        <v>2293854893.4000006</v>
      </c>
      <c r="E32" s="47">
        <f>'1'!V13</f>
        <v>2661280280.2293005</v>
      </c>
      <c r="F32" s="47">
        <f>'1'!W13</f>
        <v>3102983628.296104</v>
      </c>
    </row>
    <row r="33" spans="1:6">
      <c r="A33" s="45" t="s">
        <v>32</v>
      </c>
      <c r="B33" s="46">
        <f>'1'!E27</f>
        <v>785000000</v>
      </c>
      <c r="C33" s="46">
        <f>'1'!T27</f>
        <v>891369500</v>
      </c>
      <c r="D33" s="46">
        <f>'1'!U27</f>
        <v>1017288434.2000002</v>
      </c>
      <c r="E33" s="46">
        <f>'1'!V27</f>
        <v>1166862958.7443802</v>
      </c>
      <c r="F33" s="46">
        <f>'1'!W27</f>
        <v>1345166963.2154284</v>
      </c>
    </row>
    <row r="34" spans="1:6" ht="21" thickBot="1">
      <c r="A34" s="48" t="s">
        <v>33</v>
      </c>
      <c r="B34" s="118">
        <f>B32-B33</f>
        <v>945000000</v>
      </c>
      <c r="C34" s="118">
        <f t="shared" ref="C34:D34" si="32">C32-C33</f>
        <v>1095707500</v>
      </c>
      <c r="D34" s="118">
        <f t="shared" si="32"/>
        <v>1276566459.2000003</v>
      </c>
      <c r="E34" s="118">
        <f t="shared" ref="E34" si="33">E32-E33</f>
        <v>1494417321.4849203</v>
      </c>
      <c r="F34" s="118">
        <f t="shared" ref="F34" si="34">F32-F33</f>
        <v>1757816665.0806756</v>
      </c>
    </row>
    <row r="35" spans="1:6" ht="15.75" thickTop="1"/>
  </sheetData>
  <sheetProtection algorithmName="SHA-512" hashValue="IM2j+jM+f5Q0iSszpln9SjYa1ct3EnrJ+Fgo/eN1hcEJORKRM/VAmG9BLJ7GlrkOo/6UzT1NeQHoNEo7xoCZ8g==" saltValue="pvCg7EA79uYf5kWmnFj3uQ==" spinCount="100000" sheet="1" formatCells="0" formatColumns="0" formatRows="0"/>
  <mergeCells count="4">
    <mergeCell ref="A30:F30"/>
    <mergeCell ref="A1:E1"/>
    <mergeCell ref="A15:E15"/>
    <mergeCell ref="G1:J1"/>
  </mergeCells>
  <conditionalFormatting sqref="B34:F34">
    <cfRule type="cellIs" dxfId="10" priority="1" operator="lessThan">
      <formula>0</formula>
    </cfRule>
  </conditionalFormatting>
  <pageMargins left="0.7" right="0.7" top="0.75" bottom="0.75" header="0.3" footer="0.3"/>
  <pageSetup orientation="portrait" verticalDpi="0"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B1:H31"/>
  <sheetViews>
    <sheetView showGridLines="0" workbookViewId="0">
      <pane ySplit="14" topLeftCell="A35" activePane="bottomLeft" state="frozenSplit"/>
      <selection pane="bottomLeft" activeCell="C12" sqref="C12"/>
      <selection activeCell="B40" sqref="B40"/>
    </sheetView>
  </sheetViews>
  <sheetFormatPr defaultColWidth="11.42578125" defaultRowHeight="15"/>
  <cols>
    <col min="1" max="1" width="5.42578125" style="8" customWidth="1"/>
    <col min="2" max="2" width="43.28515625" style="8" customWidth="1"/>
    <col min="3" max="3" width="25.5703125" style="8" customWidth="1"/>
    <col min="4" max="4" width="11.42578125" style="8"/>
    <col min="5" max="5" width="23.28515625" style="8" customWidth="1"/>
    <col min="6" max="6" width="19.140625" style="8" bestFit="1" customWidth="1"/>
    <col min="7" max="7" width="15.42578125" style="8" bestFit="1" customWidth="1"/>
    <col min="8" max="16384" width="11.42578125" style="8"/>
  </cols>
  <sheetData>
    <row r="1" spans="2:8">
      <c r="B1" s="189" t="s">
        <v>34</v>
      </c>
      <c r="C1" s="189"/>
      <c r="D1" s="189"/>
      <c r="E1" s="189"/>
      <c r="F1" s="189"/>
      <c r="G1" s="189"/>
      <c r="H1" s="189"/>
    </row>
    <row r="2" spans="2:8" ht="3.75" customHeight="1">
      <c r="B2" s="189"/>
      <c r="C2" s="189"/>
      <c r="D2" s="189"/>
      <c r="E2" s="189"/>
      <c r="F2" s="189"/>
      <c r="G2" s="189"/>
      <c r="H2" s="189"/>
    </row>
    <row r="3" spans="2:8">
      <c r="C3" s="21" t="s">
        <v>35</v>
      </c>
      <c r="F3" s="74" t="s">
        <v>36</v>
      </c>
      <c r="G3" s="74"/>
    </row>
    <row r="4" spans="2:8">
      <c r="B4" s="48" t="s">
        <v>37</v>
      </c>
      <c r="C4" s="14" cm="1">
        <f t="array" ref="C4:D4">'Revisión Monetaria'!D41:E41+'Revisión Monetaria'!I41:J41</f>
        <v>48000000</v>
      </c>
      <c r="D4" s="8">
        <v>0</v>
      </c>
      <c r="F4" s="74"/>
      <c r="G4" s="74"/>
    </row>
    <row r="5" spans="2:8">
      <c r="B5" s="48" t="s">
        <v>38</v>
      </c>
      <c r="C5" s="14" cm="1">
        <f t="array" ref="C5:D5">'Revisión Monetaria'!D42:E42+'Revisión Monetaria'!D43:E43+'Revisión Monetaria'!I42:J42+'Revisión Monetaria'!I43:J43</f>
        <v>34000000</v>
      </c>
      <c r="D5" s="8">
        <v>0</v>
      </c>
      <c r="F5" s="74">
        <v>10</v>
      </c>
      <c r="G5" s="75">
        <f t="shared" ref="G5:G11" si="0">C5/F5</f>
        <v>3400000</v>
      </c>
    </row>
    <row r="6" spans="2:8">
      <c r="B6" s="48" t="s">
        <v>39</v>
      </c>
      <c r="C6" s="14">
        <f>'Revisión Monetaria'!L91</f>
        <v>21200000</v>
      </c>
      <c r="F6" s="74">
        <v>5</v>
      </c>
      <c r="G6" s="75">
        <f t="shared" si="0"/>
        <v>4240000</v>
      </c>
    </row>
    <row r="7" spans="2:8">
      <c r="B7" s="48" t="s">
        <v>40</v>
      </c>
      <c r="C7" s="14" cm="1">
        <f t="array" ref="C7:D7">'Revisión Monetaria'!D44:E44+'Revisión Monetaria'!I44:J44</f>
        <v>1204350</v>
      </c>
      <c r="D7" s="8">
        <v>0</v>
      </c>
      <c r="F7" s="74">
        <v>5</v>
      </c>
      <c r="G7" s="75">
        <f t="shared" si="0"/>
        <v>240870</v>
      </c>
    </row>
    <row r="8" spans="2:8">
      <c r="B8" s="48" t="s">
        <v>41</v>
      </c>
      <c r="C8" s="14">
        <v>0</v>
      </c>
      <c r="F8" s="74">
        <v>5</v>
      </c>
      <c r="G8" s="75">
        <f t="shared" si="0"/>
        <v>0</v>
      </c>
    </row>
    <row r="9" spans="2:8">
      <c r="B9" s="48" t="s">
        <v>42</v>
      </c>
      <c r="C9" s="14">
        <v>0</v>
      </c>
      <c r="F9" s="74">
        <v>5</v>
      </c>
      <c r="G9" s="75">
        <f t="shared" si="0"/>
        <v>0</v>
      </c>
    </row>
    <row r="10" spans="2:8">
      <c r="B10" s="48" t="s">
        <v>43</v>
      </c>
      <c r="C10" s="14">
        <f>'Revisión Monetaria'!L79</f>
        <v>2299500</v>
      </c>
      <c r="F10" s="74">
        <v>5</v>
      </c>
      <c r="G10" s="75">
        <f t="shared" si="0"/>
        <v>459900</v>
      </c>
    </row>
    <row r="11" spans="2:8">
      <c r="B11" s="48" t="s">
        <v>44</v>
      </c>
      <c r="C11" s="14">
        <f>'Revisión Monetaria'!B76</f>
        <v>0</v>
      </c>
      <c r="F11" s="74">
        <v>5</v>
      </c>
      <c r="G11" s="75">
        <f t="shared" si="0"/>
        <v>0</v>
      </c>
    </row>
    <row r="12" spans="2:8" ht="16.5" thickBot="1">
      <c r="B12" s="76" t="s">
        <v>45</v>
      </c>
      <c r="C12" s="77">
        <f>SUM(C4:C11)</f>
        <v>106703850</v>
      </c>
      <c r="F12" s="74"/>
      <c r="G12" s="75">
        <f>SUM(G5:G11)</f>
        <v>8340770</v>
      </c>
    </row>
    <row r="13" spans="2:8">
      <c r="B13" s="190" t="s">
        <v>46</v>
      </c>
      <c r="C13" s="191"/>
      <c r="D13" s="191"/>
      <c r="E13" s="191"/>
      <c r="F13" s="191"/>
      <c r="G13" s="191"/>
      <c r="H13" s="192"/>
    </row>
    <row r="14" spans="2:8" ht="15.75" thickBot="1">
      <c r="B14" s="193"/>
      <c r="C14" s="194"/>
      <c r="D14" s="194"/>
      <c r="E14" s="194"/>
      <c r="F14" s="194"/>
      <c r="G14" s="194"/>
      <c r="H14" s="195"/>
    </row>
    <row r="15" spans="2:8">
      <c r="B15" s="78"/>
      <c r="C15" s="78"/>
      <c r="D15" s="78"/>
      <c r="E15" s="78"/>
      <c r="F15" s="78"/>
      <c r="G15" s="78"/>
      <c r="H15" s="78"/>
    </row>
    <row r="16" spans="2:8">
      <c r="B16" s="76" t="s">
        <v>47</v>
      </c>
      <c r="E16" s="76" t="s">
        <v>48</v>
      </c>
      <c r="F16" s="38"/>
    </row>
    <row r="17" spans="2:6">
      <c r="C17" s="76" t="s">
        <v>49</v>
      </c>
      <c r="F17" s="76" t="str">
        <f>C17</f>
        <v>VALOR AÑO 1</v>
      </c>
    </row>
    <row r="18" spans="2:6">
      <c r="B18" s="79" t="s">
        <v>50</v>
      </c>
      <c r="C18" s="14">
        <f>'Revisión Monetaria'!M23</f>
        <v>395892264</v>
      </c>
      <c r="E18" s="80" t="s">
        <v>51</v>
      </c>
      <c r="F18" s="14">
        <f>C4</f>
        <v>48000000</v>
      </c>
    </row>
    <row r="19" spans="2:6">
      <c r="C19" s="81"/>
      <c r="E19" s="80" t="s">
        <v>52</v>
      </c>
      <c r="F19" s="14">
        <f>'Revisión Monetaria'!L98</f>
        <v>311065</v>
      </c>
    </row>
    <row r="20" spans="2:6">
      <c r="B20" s="79" t="s">
        <v>53</v>
      </c>
      <c r="C20" s="14">
        <f>'Revisión Monetaria'!M24</f>
        <v>94129061</v>
      </c>
      <c r="E20" s="80" t="s">
        <v>54</v>
      </c>
      <c r="F20" s="14">
        <f>'Revisión Monetaria'!L99</f>
        <v>255000</v>
      </c>
    </row>
    <row r="21" spans="2:6">
      <c r="C21" s="81"/>
      <c r="E21" s="80" t="s">
        <v>55</v>
      </c>
      <c r="F21" s="14">
        <f>'Revisión Monetaria'!L100</f>
        <v>1738800</v>
      </c>
    </row>
    <row r="22" spans="2:6">
      <c r="B22" s="79" t="s">
        <v>56</v>
      </c>
      <c r="C22" s="14">
        <f>'Revisión Monetaria'!M25</f>
        <v>80601051</v>
      </c>
      <c r="E22" s="80" t="s">
        <v>57</v>
      </c>
      <c r="F22" s="14">
        <f>'Revisión Monetaria'!L101</f>
        <v>3000000</v>
      </c>
    </row>
    <row r="23" spans="2:6" ht="15.75">
      <c r="B23" s="8" t="s">
        <v>58</v>
      </c>
      <c r="C23" s="77">
        <f>C18+C20+C22</f>
        <v>570622376</v>
      </c>
      <c r="E23" s="80" t="s">
        <v>59</v>
      </c>
      <c r="F23" s="14">
        <f>'Revisión Monetaria'!L102</f>
        <v>16994266</v>
      </c>
    </row>
    <row r="24" spans="2:6">
      <c r="E24" s="80" t="s">
        <v>60</v>
      </c>
      <c r="F24" s="14">
        <f>'Revisión Monetaria'!L103</f>
        <v>7872000</v>
      </c>
    </row>
    <row r="25" spans="2:6" ht="18.75" customHeight="1">
      <c r="B25" s="80" t="s">
        <v>61</v>
      </c>
      <c r="C25" s="14" cm="1">
        <f t="array" ref="C25:D25">'Revisión Monetaria'!I27:J27</f>
        <v>28000000</v>
      </c>
      <c r="D25" s="8">
        <v>0</v>
      </c>
      <c r="E25" s="102" t="s">
        <v>62</v>
      </c>
      <c r="F25" s="14">
        <f>'Revisión Monetaria'!L105</f>
        <v>10000000</v>
      </c>
    </row>
    <row r="26" spans="2:6">
      <c r="E26" s="102" t="s">
        <v>63</v>
      </c>
      <c r="F26" s="14">
        <v>0</v>
      </c>
    </row>
    <row r="27" spans="2:6">
      <c r="B27" s="99" t="s">
        <v>64</v>
      </c>
      <c r="C27" s="99"/>
      <c r="E27" s="102"/>
      <c r="F27" s="14">
        <v>0</v>
      </c>
    </row>
    <row r="28" spans="2:6">
      <c r="B28" s="116">
        <f>'1'!G2</f>
        <v>2025</v>
      </c>
      <c r="C28" s="157">
        <f>(C25+(C25*0.06))</f>
        <v>29680000</v>
      </c>
      <c r="E28" s="102"/>
      <c r="F28" s="14">
        <v>0</v>
      </c>
    </row>
    <row r="29" spans="2:6">
      <c r="B29" s="116">
        <f>'1'!H2</f>
        <v>2026</v>
      </c>
      <c r="C29" s="155">
        <f>C28+(C28*0.06)</f>
        <v>31460800</v>
      </c>
      <c r="E29" s="102"/>
      <c r="F29" s="14">
        <v>0</v>
      </c>
    </row>
    <row r="30" spans="2:6">
      <c r="B30" s="116">
        <f>'1'!I2</f>
        <v>2027</v>
      </c>
      <c r="C30" s="155">
        <f>C29+(C29*0.06)</f>
        <v>33348448</v>
      </c>
      <c r="E30" s="102"/>
      <c r="F30" s="14">
        <v>0</v>
      </c>
    </row>
    <row r="31" spans="2:6" ht="15.75">
      <c r="B31" s="116">
        <f>'1'!J2</f>
        <v>2028</v>
      </c>
      <c r="C31" s="155">
        <f>C30+(C30*0.06)</f>
        <v>35349354.880000003</v>
      </c>
      <c r="E31" s="80" t="s">
        <v>65</v>
      </c>
      <c r="F31" s="77">
        <f>SUM(F18:F30)</f>
        <v>88171131</v>
      </c>
    </row>
  </sheetData>
  <sheetProtection password="8F5C" sheet="1" objects="1" scenarios="1" formatCells="0" formatColumns="0" formatRows="0"/>
  <mergeCells count="2">
    <mergeCell ref="B1:H2"/>
    <mergeCell ref="B13:H14"/>
  </mergeCells>
  <pageMargins left="0.7" right="0.7" top="0.75" bottom="0.75" header="0.3" footer="0.3"/>
  <pageSetup orientation="portrait" verticalDpi="0"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dimension ref="B2:L16"/>
  <sheetViews>
    <sheetView showGridLines="0" topLeftCell="A3" workbookViewId="0">
      <selection activeCell="D16" sqref="D16"/>
    </sheetView>
  </sheetViews>
  <sheetFormatPr defaultColWidth="11.42578125" defaultRowHeight="15"/>
  <cols>
    <col min="1" max="1" width="11.42578125" style="8"/>
    <col min="2" max="2" width="39" style="8" bestFit="1" customWidth="1"/>
    <col min="3" max="3" width="22.5703125" style="8" bestFit="1" customWidth="1"/>
    <col min="4" max="4" width="27.7109375" style="8" bestFit="1" customWidth="1"/>
    <col min="5" max="5" width="12.85546875" style="8" customWidth="1"/>
    <col min="6" max="6" width="25.85546875" style="8" bestFit="1" customWidth="1"/>
    <col min="7" max="9" width="24.28515625" style="8" bestFit="1" customWidth="1"/>
    <col min="10" max="10" width="25.85546875" style="8" bestFit="1" customWidth="1"/>
    <col min="11" max="16384" width="11.42578125" style="8"/>
  </cols>
  <sheetData>
    <row r="2" spans="2:12" ht="29.25" customHeight="1">
      <c r="B2" s="187" t="s">
        <v>66</v>
      </c>
      <c r="C2" s="187"/>
      <c r="D2" s="187"/>
      <c r="E2" s="187"/>
      <c r="F2" s="187"/>
      <c r="G2" s="187"/>
      <c r="H2" s="187"/>
      <c r="I2" s="187"/>
      <c r="J2" s="187"/>
    </row>
    <row r="3" spans="2:12">
      <c r="F3" s="196" t="s">
        <v>67</v>
      </c>
      <c r="G3" s="196"/>
    </row>
    <row r="4" spans="2:12" ht="15.75">
      <c r="B4" s="16" t="s">
        <v>45</v>
      </c>
      <c r="C4" s="77">
        <f>'2'!C12</f>
        <v>106703850</v>
      </c>
      <c r="F4" s="197">
        <v>0.18</v>
      </c>
      <c r="G4" s="197"/>
      <c r="I4" s="8" t="s">
        <v>68</v>
      </c>
      <c r="J4" s="132">
        <v>5</v>
      </c>
      <c r="L4" s="74">
        <v>1</v>
      </c>
    </row>
    <row r="5" spans="2:12">
      <c r="L5" s="74">
        <v>2</v>
      </c>
    </row>
    <row r="6" spans="2:12" ht="15.75" thickBot="1">
      <c r="B6" s="16" t="s">
        <v>69</v>
      </c>
      <c r="F6" s="186" t="s">
        <v>70</v>
      </c>
      <c r="G6" s="186"/>
      <c r="H6" s="186"/>
      <c r="I6" s="186"/>
      <c r="J6" s="186"/>
      <c r="L6" s="74">
        <v>3</v>
      </c>
    </row>
    <row r="7" spans="2:12">
      <c r="C7" s="82" t="s">
        <v>71</v>
      </c>
      <c r="D7" s="82" t="s">
        <v>72</v>
      </c>
      <c r="E7" s="121"/>
      <c r="F7" s="122" t="s">
        <v>73</v>
      </c>
      <c r="G7" s="122" t="s">
        <v>74</v>
      </c>
      <c r="H7" s="122" t="s">
        <v>75</v>
      </c>
      <c r="I7" s="122" t="s">
        <v>76</v>
      </c>
      <c r="J7" s="123" t="s">
        <v>77</v>
      </c>
      <c r="L7" s="74">
        <v>4</v>
      </c>
    </row>
    <row r="8" spans="2:12">
      <c r="B8" s="48" t="s">
        <v>78</v>
      </c>
      <c r="C8" s="57">
        <v>3</v>
      </c>
      <c r="D8" s="25">
        <f>('1'!B33/12)*C8</f>
        <v>196250000</v>
      </c>
      <c r="E8" s="124" t="s">
        <v>79</v>
      </c>
      <c r="F8" s="125"/>
      <c r="G8" s="125"/>
      <c r="H8" s="125"/>
      <c r="I8" s="125"/>
      <c r="J8" s="126">
        <f>D16</f>
        <v>324652226.75</v>
      </c>
      <c r="L8" s="74">
        <v>5</v>
      </c>
    </row>
    <row r="9" spans="2:12">
      <c r="B9" s="48" t="s">
        <v>80</v>
      </c>
      <c r="C9" s="57">
        <v>3</v>
      </c>
      <c r="D9" s="25">
        <f>('2'!C23/12)*C9</f>
        <v>142655594</v>
      </c>
      <c r="E9" s="124">
        <f>'1'!B31</f>
        <v>2024</v>
      </c>
      <c r="F9" s="128">
        <f t="shared" ref="F9:F13" si="0">IF(J8&gt;0,J8,0)</f>
        <v>324652226.75</v>
      </c>
      <c r="G9" s="128">
        <f>F9*$F$4</f>
        <v>58437400.814999998</v>
      </c>
      <c r="H9" s="128">
        <f>IF(J8&lt;1,0,(I9-G9))</f>
        <v>45379187.588986784</v>
      </c>
      <c r="I9" s="128">
        <f>PMT(F4,J4,J8)*-1</f>
        <v>103816588.40398678</v>
      </c>
      <c r="J9" s="129">
        <f>F9-H9</f>
        <v>279273039.16101325</v>
      </c>
    </row>
    <row r="10" spans="2:12">
      <c r="B10" s="48" t="s">
        <v>81</v>
      </c>
      <c r="C10" s="57">
        <v>3</v>
      </c>
      <c r="D10" s="25">
        <f>('2'!C25/12)*C10</f>
        <v>7000000</v>
      </c>
      <c r="E10" s="124">
        <f>'1'!C31</f>
        <v>2025</v>
      </c>
      <c r="F10" s="128">
        <f t="shared" si="0"/>
        <v>279273039.16101325</v>
      </c>
      <c r="G10" s="128">
        <f t="shared" ref="G10:G13" si="1">F10*$F$4</f>
        <v>50269147.048982382</v>
      </c>
      <c r="H10" s="128">
        <f t="shared" ref="H10:H13" si="2">IF(J9&lt;1,0,(I10-G10))</f>
        <v>53547441.3550044</v>
      </c>
      <c r="I10" s="128">
        <f>IF(J9&lt;1,0,(I9*(1+$K$7)))</f>
        <v>103816588.40398678</v>
      </c>
      <c r="J10" s="129">
        <f t="shared" ref="J10:J13" si="3">F10-H10</f>
        <v>225725597.80600885</v>
      </c>
    </row>
    <row r="11" spans="2:12">
      <c r="B11" s="48" t="s">
        <v>82</v>
      </c>
      <c r="C11" s="57">
        <v>3</v>
      </c>
      <c r="D11" s="25">
        <f>('2'!F31/12)*C11</f>
        <v>22042782.75</v>
      </c>
      <c r="E11" s="124">
        <f>'1'!D31</f>
        <v>2026</v>
      </c>
      <c r="F11" s="128">
        <f t="shared" si="0"/>
        <v>225725597.80600885</v>
      </c>
      <c r="G11" s="128">
        <f t="shared" si="1"/>
        <v>40630607.605081588</v>
      </c>
      <c r="H11" s="128">
        <f t="shared" si="2"/>
        <v>63185980.798905194</v>
      </c>
      <c r="I11" s="128">
        <f t="shared" ref="I11:I13" si="4">IF(J10&lt;1,0,(I10*(1+$K$7)))</f>
        <v>103816588.40398678</v>
      </c>
      <c r="J11" s="129">
        <f t="shared" si="3"/>
        <v>162539617.00710365</v>
      </c>
    </row>
    <row r="12" spans="2:12" ht="15.75">
      <c r="B12" s="83" t="s">
        <v>25</v>
      </c>
      <c r="C12" s="61"/>
      <c r="D12" s="84">
        <f>SUM(D8:D11)</f>
        <v>367948376.75</v>
      </c>
      <c r="E12" s="124">
        <f>'1'!E31</f>
        <v>2027</v>
      </c>
      <c r="F12" s="128">
        <f t="shared" si="0"/>
        <v>162539617.00710365</v>
      </c>
      <c r="G12" s="128">
        <f t="shared" si="1"/>
        <v>29257131.061278656</v>
      </c>
      <c r="H12" s="128">
        <f t="shared" si="2"/>
        <v>74559457.342708126</v>
      </c>
      <c r="I12" s="128">
        <f t="shared" si="4"/>
        <v>103816588.40398678</v>
      </c>
      <c r="J12" s="129">
        <f t="shared" si="3"/>
        <v>87980159.664395526</v>
      </c>
    </row>
    <row r="13" spans="2:12" ht="15.75" thickBot="1">
      <c r="E13" s="127">
        <f>'1'!F31</f>
        <v>2028</v>
      </c>
      <c r="F13" s="130">
        <f t="shared" si="0"/>
        <v>87980159.664395526</v>
      </c>
      <c r="G13" s="130">
        <f t="shared" si="1"/>
        <v>15836428.739591194</v>
      </c>
      <c r="H13" s="130">
        <f t="shared" si="2"/>
        <v>87980159.664395586</v>
      </c>
      <c r="I13" s="130">
        <f t="shared" si="4"/>
        <v>103816588.40398678</v>
      </c>
      <c r="J13" s="131">
        <f t="shared" si="3"/>
        <v>0</v>
      </c>
    </row>
    <row r="14" spans="2:12" ht="15.75">
      <c r="B14" s="48" t="s">
        <v>83</v>
      </c>
      <c r="D14" s="77">
        <f>C4+D12</f>
        <v>474652226.75</v>
      </c>
    </row>
    <row r="15" spans="2:12">
      <c r="B15" s="48" t="s">
        <v>84</v>
      </c>
      <c r="D15" s="58">
        <v>150000000</v>
      </c>
    </row>
    <row r="16" spans="2:12" ht="15.75">
      <c r="B16" s="48" t="s">
        <v>85</v>
      </c>
      <c r="D16" s="85">
        <f>D14-D15</f>
        <v>324652226.75</v>
      </c>
    </row>
  </sheetData>
  <sheetProtection algorithmName="SHA-512" hashValue="h4hbO/Lm1a/krC1uY5/Jxn0ddFP3CrI2rF7rNGe2tyQ42CpRZSuibpChruvuXL6oQqVp60jLs9bRa1CwcF5rpA==" saltValue="guSr1VTCKV96zvbSpwtkkA==" spinCount="100000" sheet="1" objects="1" scenarios="1" formatCells="0" formatColumns="0" formatRows="0"/>
  <mergeCells count="4">
    <mergeCell ref="F6:J6"/>
    <mergeCell ref="F3:G3"/>
    <mergeCell ref="F4:G4"/>
    <mergeCell ref="B2:J2"/>
  </mergeCells>
  <dataValidations count="1">
    <dataValidation type="list" allowBlank="1" showInputMessage="1" showErrorMessage="1" sqref="L4 J4" xr:uid="{00000000-0002-0000-0300-000000000000}">
      <formula1>$L$4:$L$8</formula1>
    </dataValidation>
  </dataValidations>
  <pageMargins left="0.7" right="0.7" top="0.75" bottom="0.75" header="0.3" footer="0.3"/>
  <pageSetup paperSize="9"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60"/>
  <sheetViews>
    <sheetView showGridLines="0" zoomScale="115" zoomScaleNormal="115" workbookViewId="0">
      <pane xSplit="7" ySplit="1" topLeftCell="H34" activePane="bottomRight" state="frozenSplit"/>
      <selection pane="bottomRight" activeCell="G57" sqref="G57"/>
      <selection pane="bottomLeft" activeCell="A12" sqref="A12"/>
      <selection pane="topRight" activeCell="E1" sqref="E1"/>
    </sheetView>
  </sheetViews>
  <sheetFormatPr defaultColWidth="11.42578125" defaultRowHeight="15"/>
  <cols>
    <col min="1" max="1" width="26.7109375" style="8" customWidth="1"/>
    <col min="2" max="2" width="25.85546875" style="8" bestFit="1" customWidth="1"/>
    <col min="3" max="3" width="21.7109375" style="8" bestFit="1" customWidth="1"/>
    <col min="4" max="6" width="20.140625" style="8" bestFit="1" customWidth="1"/>
    <col min="7" max="7" width="20.140625" style="8" customWidth="1"/>
    <col min="8" max="16384" width="11.42578125" style="8"/>
  </cols>
  <sheetData>
    <row r="1" spans="1:7" ht="34.5" customHeight="1">
      <c r="A1" s="198" t="s">
        <v>86</v>
      </c>
      <c r="B1" s="198"/>
      <c r="C1" s="198"/>
      <c r="D1" s="198"/>
      <c r="E1" s="198"/>
      <c r="F1" s="198"/>
      <c r="G1" s="198"/>
    </row>
    <row r="2" spans="1:7" ht="23.25">
      <c r="A2" s="199" t="s">
        <v>87</v>
      </c>
      <c r="B2" s="199"/>
      <c r="C2" s="199"/>
      <c r="D2" s="199"/>
      <c r="E2" s="199"/>
      <c r="F2" s="199"/>
      <c r="G2" s="199"/>
    </row>
    <row r="3" spans="1:7" ht="8.25" customHeight="1">
      <c r="A3" s="59"/>
      <c r="B3" s="59"/>
      <c r="C3" s="59"/>
      <c r="D3" s="59"/>
      <c r="E3" s="59"/>
      <c r="F3" s="59"/>
      <c r="G3" s="59"/>
    </row>
    <row r="4" spans="1:7" ht="15.75">
      <c r="A4" s="200" t="s">
        <v>88</v>
      </c>
      <c r="B4" s="200"/>
      <c r="C4" s="200"/>
      <c r="D4" s="200"/>
      <c r="E4" s="200"/>
      <c r="F4" s="200"/>
      <c r="G4" s="200"/>
    </row>
    <row r="5" spans="1:7" ht="23.25">
      <c r="C5" s="63">
        <f>'1'!B31</f>
        <v>2024</v>
      </c>
      <c r="D5" s="63">
        <f>'1'!C31</f>
        <v>2025</v>
      </c>
      <c r="E5" s="63">
        <f>'1'!D31</f>
        <v>2026</v>
      </c>
      <c r="F5" s="63">
        <f>'1'!E31</f>
        <v>2027</v>
      </c>
      <c r="G5" s="63">
        <f>'1'!F31</f>
        <v>2028</v>
      </c>
    </row>
    <row r="6" spans="1:7">
      <c r="B6" s="8" t="s">
        <v>89</v>
      </c>
      <c r="C6" s="64">
        <f>'1'!B32</f>
        <v>1730000000</v>
      </c>
      <c r="D6" s="64">
        <f>'1'!C32</f>
        <v>1987077000</v>
      </c>
      <c r="E6" s="64">
        <f>'1'!D32</f>
        <v>2293854893.4000006</v>
      </c>
      <c r="F6" s="64">
        <f>'1'!E32</f>
        <v>2661280280.2293005</v>
      </c>
      <c r="G6" s="64">
        <f>'1'!F32</f>
        <v>3102983628.296104</v>
      </c>
    </row>
    <row r="7" spans="1:7">
      <c r="B7" s="8" t="s">
        <v>90</v>
      </c>
      <c r="C7" s="64">
        <f>'1'!B33</f>
        <v>785000000</v>
      </c>
      <c r="D7" s="64">
        <f>'1'!C33</f>
        <v>891369500</v>
      </c>
      <c r="E7" s="64">
        <f>'1'!D33</f>
        <v>1017288434.2000002</v>
      </c>
      <c r="F7" s="64">
        <f>'1'!E33</f>
        <v>1166862958.7443802</v>
      </c>
      <c r="G7" s="64">
        <f>'1'!F33</f>
        <v>1345166963.2154284</v>
      </c>
    </row>
    <row r="8" spans="1:7" ht="15.75" thickBot="1">
      <c r="B8" s="65" t="s">
        <v>91</v>
      </c>
      <c r="C8" s="66">
        <f>C6-C7</f>
        <v>945000000</v>
      </c>
      <c r="D8" s="66">
        <f t="shared" ref="D8:G8" si="0">D6-D7</f>
        <v>1095707500</v>
      </c>
      <c r="E8" s="66">
        <f t="shared" si="0"/>
        <v>1276566459.2000003</v>
      </c>
      <c r="F8" s="66">
        <f t="shared" si="0"/>
        <v>1494417321.4849203</v>
      </c>
      <c r="G8" s="66">
        <f t="shared" si="0"/>
        <v>1757816665.0806756</v>
      </c>
    </row>
    <row r="9" spans="1:7" ht="15.75" thickTop="1">
      <c r="B9" s="8" t="s">
        <v>92</v>
      </c>
      <c r="C9" s="64">
        <f>'2'!C23</f>
        <v>570622376</v>
      </c>
      <c r="D9" s="64">
        <f>C9*(1+'1'!Z4)</f>
        <v>607712830.43999994</v>
      </c>
      <c r="E9" s="64">
        <f>D9*(1+'1'!AA4)</f>
        <v>650252728.57079995</v>
      </c>
      <c r="F9" s="64">
        <f>E9*(1+'1'!AB4)</f>
        <v>699021683.21360993</v>
      </c>
      <c r="G9" s="64">
        <f>F9*(1+'1'!AC4)</f>
        <v>754943417.87069881</v>
      </c>
    </row>
    <row r="10" spans="1:7">
      <c r="B10" s="8" t="s">
        <v>93</v>
      </c>
      <c r="C10" s="64">
        <f>'2'!F31</f>
        <v>88171131</v>
      </c>
      <c r="D10" s="64">
        <f>C10*(1+'1'!Z4)</f>
        <v>93902254.515000001</v>
      </c>
      <c r="E10" s="64">
        <f>D10*(1+'1'!AA4)</f>
        <v>100475412.33105001</v>
      </c>
      <c r="F10" s="64">
        <f>E10*(1+'1'!AB4)</f>
        <v>108011068.25587876</v>
      </c>
      <c r="G10" s="64">
        <f>F10*(1+'1'!AC4)</f>
        <v>116651953.71634907</v>
      </c>
    </row>
    <row r="11" spans="1:7">
      <c r="B11" s="8" t="s">
        <v>94</v>
      </c>
      <c r="C11" s="64">
        <f>'2'!C25</f>
        <v>28000000</v>
      </c>
      <c r="D11" s="64">
        <f>'2'!C28</f>
        <v>29680000</v>
      </c>
      <c r="E11" s="64">
        <f>'2'!C29</f>
        <v>31460800</v>
      </c>
      <c r="F11" s="64">
        <f>'2'!C30</f>
        <v>33348448</v>
      </c>
      <c r="G11" s="64">
        <f>'2'!C31</f>
        <v>35349354.880000003</v>
      </c>
    </row>
    <row r="12" spans="1:7">
      <c r="B12" s="8" t="s">
        <v>95</v>
      </c>
      <c r="C12" s="64">
        <f>'2'!G12</f>
        <v>8340770</v>
      </c>
      <c r="D12" s="64">
        <f>C12</f>
        <v>8340770</v>
      </c>
      <c r="E12" s="64">
        <f t="shared" ref="E12:G12" si="1">D12</f>
        <v>8340770</v>
      </c>
      <c r="F12" s="64">
        <f t="shared" si="1"/>
        <v>8340770</v>
      </c>
      <c r="G12" s="64">
        <f t="shared" si="1"/>
        <v>8340770</v>
      </c>
    </row>
    <row r="13" spans="1:7" ht="15.75" thickBot="1">
      <c r="B13" s="65" t="s">
        <v>96</v>
      </c>
      <c r="C13" s="67">
        <f>C8-C9-C10-C11-C12</f>
        <v>249865723</v>
      </c>
      <c r="D13" s="67">
        <f t="shared" ref="D13:G13" si="2">D8-D9-D10-D11-D12</f>
        <v>356071645.04500008</v>
      </c>
      <c r="E13" s="67">
        <f t="shared" si="2"/>
        <v>486036748.2981503</v>
      </c>
      <c r="F13" s="67">
        <f t="shared" si="2"/>
        <v>645695352.01543152</v>
      </c>
      <c r="G13" s="67">
        <f t="shared" si="2"/>
        <v>842531168.61362779</v>
      </c>
    </row>
    <row r="14" spans="1:7" ht="15.75" thickTop="1">
      <c r="B14" s="8" t="s">
        <v>97</v>
      </c>
      <c r="C14" s="64">
        <f>'3'!G9</f>
        <v>58437400.814999998</v>
      </c>
      <c r="D14" s="64">
        <f>'3'!G10</f>
        <v>50269147.048982382</v>
      </c>
      <c r="E14" s="64">
        <f>'3'!G11</f>
        <v>40630607.605081588</v>
      </c>
      <c r="F14" s="64">
        <f>'3'!G12</f>
        <v>29257131.061278656</v>
      </c>
      <c r="G14" s="64">
        <f>'3'!G13</f>
        <v>15836428.739591194</v>
      </c>
    </row>
    <row r="15" spans="1:7" ht="15.75" thickBot="1">
      <c r="B15" s="65" t="s">
        <v>98</v>
      </c>
      <c r="C15" s="67">
        <f>C13-C14</f>
        <v>191428322.185</v>
      </c>
      <c r="D15" s="67">
        <f t="shared" ref="D15:G15" si="3">D13-D14</f>
        <v>305802497.99601769</v>
      </c>
      <c r="E15" s="67">
        <f t="shared" si="3"/>
        <v>445406140.69306874</v>
      </c>
      <c r="F15" s="67">
        <f t="shared" si="3"/>
        <v>616438220.95415282</v>
      </c>
      <c r="G15" s="67">
        <f t="shared" si="3"/>
        <v>826694739.87403655</v>
      </c>
    </row>
    <row r="16" spans="1:7" ht="15.75" thickTop="1">
      <c r="B16" s="8" t="s">
        <v>99</v>
      </c>
      <c r="C16" s="68">
        <f>IF(C15*'1'!$AB$7&lt;0,0,C15*'1'!$AB$7)</f>
        <v>65085629.542900003</v>
      </c>
      <c r="D16" s="68">
        <f>IF(D15*'1'!$AB$7&lt;0,0,D15*'1'!$AB$7)</f>
        <v>103972849.31864603</v>
      </c>
      <c r="E16" s="68">
        <f>IF(E15*'1'!$AB$7&lt;0,0,E15*'1'!$AB$7)</f>
        <v>151438087.83564338</v>
      </c>
      <c r="F16" s="68">
        <f>IF(F15*'1'!$AB$7&lt;0,0,F15*'1'!$AB$7)</f>
        <v>209588995.12441197</v>
      </c>
      <c r="G16" s="68">
        <f>IF(G15*'1'!$AB$7&lt;0,0,G15*'1'!$AB$7)</f>
        <v>281076211.55717242</v>
      </c>
    </row>
    <row r="17" spans="1:8" ht="15.75" thickBot="1">
      <c r="B17" s="69" t="s">
        <v>100</v>
      </c>
      <c r="C17" s="70">
        <f>C15-C16</f>
        <v>126342692.64210001</v>
      </c>
      <c r="D17" s="70">
        <f t="shared" ref="D17:G17" si="4">D15-D16</f>
        <v>201829648.67737168</v>
      </c>
      <c r="E17" s="70">
        <f t="shared" si="4"/>
        <v>293968052.85742533</v>
      </c>
      <c r="F17" s="70">
        <f t="shared" si="4"/>
        <v>406849225.82974088</v>
      </c>
      <c r="G17" s="70">
        <f t="shared" si="4"/>
        <v>545618528.31686413</v>
      </c>
    </row>
    <row r="19" spans="1:8" ht="15.75">
      <c r="A19" s="200" t="s">
        <v>101</v>
      </c>
      <c r="B19" s="200"/>
      <c r="C19" s="200"/>
      <c r="D19" s="200"/>
      <c r="E19" s="200"/>
      <c r="F19" s="200"/>
      <c r="G19" s="200"/>
    </row>
    <row r="20" spans="1:8" ht="23.25">
      <c r="B20" s="71" t="s">
        <v>79</v>
      </c>
      <c r="C20" s="63">
        <f>C5</f>
        <v>2024</v>
      </c>
      <c r="D20" s="63">
        <f>D5</f>
        <v>2025</v>
      </c>
      <c r="E20" s="63">
        <f>E5</f>
        <v>2026</v>
      </c>
      <c r="F20" s="63">
        <f>F5</f>
        <v>2027</v>
      </c>
      <c r="G20" s="63">
        <f>G5</f>
        <v>2028</v>
      </c>
    </row>
    <row r="21" spans="1:8">
      <c r="A21" s="201" t="s">
        <v>102</v>
      </c>
      <c r="B21" s="201"/>
      <c r="C21" s="201"/>
      <c r="D21" s="201"/>
      <c r="E21" s="201"/>
      <c r="F21" s="201"/>
      <c r="G21" s="201"/>
    </row>
    <row r="22" spans="1:8">
      <c r="A22" s="8" t="s">
        <v>103</v>
      </c>
      <c r="B22" s="26">
        <f>B38-B26</f>
        <v>367948376.75</v>
      </c>
      <c r="C22" s="26">
        <f t="shared" ref="C22:G22" si="5">C38-C26</f>
        <v>522338281.34601331</v>
      </c>
      <c r="D22" s="26">
        <f t="shared" si="5"/>
        <v>591505785.80202651</v>
      </c>
      <c r="E22" s="26">
        <f t="shared" si="5"/>
        <v>676264217.70017242</v>
      </c>
      <c r="F22" s="26">
        <f t="shared" si="5"/>
        <v>781077610.61854839</v>
      </c>
      <c r="G22" s="26">
        <f t="shared" si="5"/>
        <v>911694739.87403655</v>
      </c>
    </row>
    <row r="23" spans="1:8">
      <c r="A23" s="8" t="s">
        <v>104</v>
      </c>
      <c r="B23" s="26">
        <f>'2'!C4</f>
        <v>48000000</v>
      </c>
      <c r="C23" s="26">
        <f>B23</f>
        <v>48000000</v>
      </c>
      <c r="D23" s="26">
        <f t="shared" ref="D23:G23" si="6">C23</f>
        <v>48000000</v>
      </c>
      <c r="E23" s="26">
        <f t="shared" si="6"/>
        <v>48000000</v>
      </c>
      <c r="F23" s="26">
        <f t="shared" si="6"/>
        <v>48000000</v>
      </c>
      <c r="G23" s="26">
        <f t="shared" si="6"/>
        <v>48000000</v>
      </c>
      <c r="H23" s="26"/>
    </row>
    <row r="24" spans="1:8">
      <c r="A24" s="8" t="s">
        <v>105</v>
      </c>
      <c r="B24" s="26">
        <f>'2'!C12-'2'!C4</f>
        <v>58703850</v>
      </c>
      <c r="C24" s="26">
        <f>B24</f>
        <v>58703850</v>
      </c>
      <c r="D24" s="26">
        <f t="shared" ref="D24:G24" si="7">C24</f>
        <v>58703850</v>
      </c>
      <c r="E24" s="26">
        <f t="shared" si="7"/>
        <v>58703850</v>
      </c>
      <c r="F24" s="26">
        <f t="shared" si="7"/>
        <v>58703850</v>
      </c>
      <c r="G24" s="26">
        <f t="shared" si="7"/>
        <v>58703850</v>
      </c>
      <c r="H24" s="26"/>
    </row>
    <row r="25" spans="1:8">
      <c r="A25" s="8" t="s">
        <v>106</v>
      </c>
      <c r="B25" s="26">
        <v>0</v>
      </c>
      <c r="C25" s="26">
        <f>C12</f>
        <v>8340770</v>
      </c>
      <c r="D25" s="26">
        <f>D12+C12</f>
        <v>16681540</v>
      </c>
      <c r="E25" s="26">
        <f>E12+D12+C12</f>
        <v>25022310</v>
      </c>
      <c r="F25" s="26">
        <f>F12+E12+D12+C12</f>
        <v>33363080</v>
      </c>
      <c r="G25" s="26">
        <f>F25+G12</f>
        <v>41703850</v>
      </c>
      <c r="H25" s="26"/>
    </row>
    <row r="26" spans="1:8">
      <c r="A26" s="8" t="s">
        <v>107</v>
      </c>
      <c r="B26" s="26">
        <f>B23+(B24-B25)</f>
        <v>106703850</v>
      </c>
      <c r="C26" s="26">
        <f>C23+(C24-C25)</f>
        <v>98363080</v>
      </c>
      <c r="D26" s="26">
        <f t="shared" ref="D26:G26" si="8">D23+(D24-D25)</f>
        <v>90022310</v>
      </c>
      <c r="E26" s="26">
        <f t="shared" si="8"/>
        <v>81681540</v>
      </c>
      <c r="F26" s="26">
        <f t="shared" si="8"/>
        <v>73340770</v>
      </c>
      <c r="G26" s="26">
        <f t="shared" si="8"/>
        <v>65000000</v>
      </c>
      <c r="H26" s="26"/>
    </row>
    <row r="27" spans="1:8" ht="15.75" thickBot="1">
      <c r="A27" s="65" t="s">
        <v>108</v>
      </c>
      <c r="B27" s="72">
        <f>B22+B26</f>
        <v>474652226.75</v>
      </c>
      <c r="C27" s="72">
        <f t="shared" ref="C27:G27" si="9">C22+C26</f>
        <v>620701361.34601331</v>
      </c>
      <c r="D27" s="72">
        <f t="shared" si="9"/>
        <v>681528095.80202651</v>
      </c>
      <c r="E27" s="72">
        <f t="shared" si="9"/>
        <v>757945757.70017242</v>
      </c>
      <c r="F27" s="72">
        <f t="shared" si="9"/>
        <v>854418380.61854839</v>
      </c>
      <c r="G27" s="72">
        <f t="shared" si="9"/>
        <v>976694739.87403655</v>
      </c>
      <c r="H27" s="26"/>
    </row>
    <row r="28" spans="1:8" ht="15.75" thickTop="1">
      <c r="A28" s="201" t="s">
        <v>109</v>
      </c>
      <c r="B28" s="201"/>
      <c r="C28" s="201"/>
      <c r="D28" s="201"/>
      <c r="E28" s="201"/>
      <c r="F28" s="201"/>
      <c r="G28" s="201"/>
    </row>
    <row r="29" spans="1:8">
      <c r="A29" s="8" t="s">
        <v>110</v>
      </c>
      <c r="B29" s="8">
        <v>0</v>
      </c>
      <c r="C29" s="68">
        <f>C16</f>
        <v>65085629.542900003</v>
      </c>
      <c r="D29" s="68">
        <f>D16</f>
        <v>103972849.31864603</v>
      </c>
      <c r="E29" s="68">
        <f>E16</f>
        <v>151438087.83564338</v>
      </c>
      <c r="F29" s="68">
        <f>F16</f>
        <v>209588995.12441197</v>
      </c>
      <c r="G29" s="68">
        <f>G16</f>
        <v>281076211.55717242</v>
      </c>
    </row>
    <row r="30" spans="1:8">
      <c r="A30" s="8" t="s">
        <v>111</v>
      </c>
      <c r="B30" s="68">
        <f>B29</f>
        <v>0</v>
      </c>
      <c r="C30" s="68">
        <f t="shared" ref="C30:G30" si="10">C29</f>
        <v>65085629.542900003</v>
      </c>
      <c r="D30" s="68">
        <f t="shared" si="10"/>
        <v>103972849.31864603</v>
      </c>
      <c r="E30" s="68">
        <f t="shared" si="10"/>
        <v>151438087.83564338</v>
      </c>
      <c r="F30" s="68">
        <f t="shared" si="10"/>
        <v>209588995.12441197</v>
      </c>
      <c r="G30" s="68">
        <f t="shared" si="10"/>
        <v>281076211.55717242</v>
      </c>
    </row>
    <row r="31" spans="1:8">
      <c r="A31" s="8" t="s">
        <v>112</v>
      </c>
      <c r="B31" s="25">
        <f>'3'!J8</f>
        <v>324652226.75</v>
      </c>
      <c r="C31" s="25">
        <f>'3'!J9</f>
        <v>279273039.16101325</v>
      </c>
      <c r="D31" s="25">
        <f>'3'!J10</f>
        <v>225725597.80600885</v>
      </c>
      <c r="E31" s="25">
        <f>'3'!J11</f>
        <v>162539617.00710365</v>
      </c>
      <c r="F31" s="25">
        <f>'3'!J12</f>
        <v>87980159.664395526</v>
      </c>
      <c r="G31" s="25">
        <f>'3'!J13</f>
        <v>0</v>
      </c>
    </row>
    <row r="32" spans="1:8" ht="15.75" thickBot="1">
      <c r="A32" s="65" t="s">
        <v>109</v>
      </c>
      <c r="B32" s="72">
        <f>B30+B31</f>
        <v>324652226.75</v>
      </c>
      <c r="C32" s="72">
        <f t="shared" ref="C32:G32" si="11">C30+C31</f>
        <v>344358668.70391327</v>
      </c>
      <c r="D32" s="72">
        <f t="shared" si="11"/>
        <v>329698447.12465489</v>
      </c>
      <c r="E32" s="72">
        <f t="shared" si="11"/>
        <v>313977704.84274703</v>
      </c>
      <c r="F32" s="72">
        <f t="shared" si="11"/>
        <v>297569154.78880751</v>
      </c>
      <c r="G32" s="72">
        <f t="shared" si="11"/>
        <v>281076211.55717242</v>
      </c>
    </row>
    <row r="33" spans="1:7" ht="15.75" thickTop="1">
      <c r="A33" s="201" t="s">
        <v>113</v>
      </c>
      <c r="B33" s="201"/>
      <c r="C33" s="201"/>
      <c r="D33" s="201"/>
      <c r="E33" s="201"/>
      <c r="F33" s="201"/>
      <c r="G33" s="201"/>
    </row>
    <row r="34" spans="1:7">
      <c r="A34" s="8" t="s">
        <v>114</v>
      </c>
      <c r="B34" s="26">
        <f>'3'!D15</f>
        <v>150000000</v>
      </c>
      <c r="C34" s="26">
        <f>B34</f>
        <v>150000000</v>
      </c>
      <c r="D34" s="26">
        <f t="shared" ref="D34:G34" si="12">C34</f>
        <v>150000000</v>
      </c>
      <c r="E34" s="26">
        <f t="shared" si="12"/>
        <v>150000000</v>
      </c>
      <c r="F34" s="26">
        <f t="shared" si="12"/>
        <v>150000000</v>
      </c>
      <c r="G34" s="26">
        <f t="shared" si="12"/>
        <v>150000000</v>
      </c>
    </row>
    <row r="35" spans="1:7">
      <c r="A35" s="8" t="s">
        <v>115</v>
      </c>
      <c r="B35" s="8">
        <v>0</v>
      </c>
      <c r="C35" s="68">
        <f>C17</f>
        <v>126342692.64210001</v>
      </c>
      <c r="D35" s="68">
        <f>D17</f>
        <v>201829648.67737168</v>
      </c>
      <c r="E35" s="68">
        <f>E17</f>
        <v>293968052.85742533</v>
      </c>
      <c r="F35" s="68">
        <f>F17</f>
        <v>406849225.82974088</v>
      </c>
      <c r="G35" s="68">
        <f>G17</f>
        <v>545618528.31686413</v>
      </c>
    </row>
    <row r="36" spans="1:7" ht="15.75" thickBot="1">
      <c r="A36" s="65" t="s">
        <v>116</v>
      </c>
      <c r="B36" s="72">
        <f>B34+B35</f>
        <v>150000000</v>
      </c>
      <c r="C36" s="72">
        <f t="shared" ref="C36:G36" si="13">C34+C35</f>
        <v>276342692.64209998</v>
      </c>
      <c r="D36" s="72">
        <f t="shared" si="13"/>
        <v>351829648.67737168</v>
      </c>
      <c r="E36" s="72">
        <f t="shared" si="13"/>
        <v>443968052.85742533</v>
      </c>
      <c r="F36" s="72">
        <f t="shared" si="13"/>
        <v>556849225.82974088</v>
      </c>
      <c r="G36" s="72">
        <f t="shared" si="13"/>
        <v>695618528.31686413</v>
      </c>
    </row>
    <row r="37" spans="1:7" ht="15.75" thickTop="1"/>
    <row r="38" spans="1:7" ht="15.75" thickBot="1">
      <c r="A38" s="65" t="s">
        <v>117</v>
      </c>
      <c r="B38" s="72">
        <f>B32+B36</f>
        <v>474652226.75</v>
      </c>
      <c r="C38" s="72">
        <f t="shared" ref="C38:G38" si="14">C32+C36</f>
        <v>620701361.34601331</v>
      </c>
      <c r="D38" s="72">
        <f t="shared" si="14"/>
        <v>681528095.80202651</v>
      </c>
      <c r="E38" s="72">
        <f t="shared" si="14"/>
        <v>757945757.70017242</v>
      </c>
      <c r="F38" s="72">
        <f t="shared" si="14"/>
        <v>854418380.61854839</v>
      </c>
      <c r="G38" s="72">
        <f t="shared" si="14"/>
        <v>976694739.87403655</v>
      </c>
    </row>
    <row r="39" spans="1:7" ht="15.75" thickTop="1">
      <c r="A39" s="61" t="s">
        <v>118</v>
      </c>
      <c r="B39" s="73">
        <f>B27-B38</f>
        <v>0</v>
      </c>
      <c r="C39" s="73">
        <f t="shared" ref="C39:G39" si="15">C27-C38</f>
        <v>0</v>
      </c>
      <c r="D39" s="73">
        <f t="shared" si="15"/>
        <v>0</v>
      </c>
      <c r="E39" s="73">
        <f t="shared" si="15"/>
        <v>0</v>
      </c>
      <c r="F39" s="73">
        <f t="shared" si="15"/>
        <v>0</v>
      </c>
      <c r="G39" s="73">
        <f t="shared" si="15"/>
        <v>0</v>
      </c>
    </row>
    <row r="41" spans="1:7" ht="15.75">
      <c r="A41" s="200" t="s">
        <v>119</v>
      </c>
      <c r="B41" s="200"/>
      <c r="C41" s="200"/>
      <c r="D41" s="200"/>
      <c r="E41" s="200"/>
      <c r="F41" s="200"/>
      <c r="G41" s="200"/>
    </row>
    <row r="42" spans="1:7">
      <c r="A42" s="201" t="s">
        <v>120</v>
      </c>
      <c r="B42" s="201"/>
      <c r="C42" s="201"/>
      <c r="D42" s="201"/>
      <c r="E42" s="201"/>
      <c r="F42" s="201"/>
      <c r="G42" s="201"/>
    </row>
    <row r="43" spans="1:7" ht="23.25">
      <c r="A43" s="11"/>
      <c r="B43" s="71" t="s">
        <v>79</v>
      </c>
      <c r="C43" s="63">
        <f>C20</f>
        <v>2024</v>
      </c>
      <c r="D43" s="63">
        <f t="shared" ref="D43:G43" si="16">D20</f>
        <v>2025</v>
      </c>
      <c r="E43" s="63">
        <f t="shared" si="16"/>
        <v>2026</v>
      </c>
      <c r="F43" s="63">
        <f t="shared" si="16"/>
        <v>2027</v>
      </c>
      <c r="G43" s="63">
        <f t="shared" si="16"/>
        <v>2028</v>
      </c>
    </row>
    <row r="44" spans="1:7">
      <c r="A44" s="1" t="s">
        <v>121</v>
      </c>
      <c r="B44" s="2">
        <f>B22</f>
        <v>367948376.75</v>
      </c>
      <c r="C44" s="2">
        <f t="shared" ref="C44:G44" si="17">C22</f>
        <v>522338281.34601331</v>
      </c>
      <c r="D44" s="2">
        <f t="shared" si="17"/>
        <v>591505785.80202651</v>
      </c>
      <c r="E44" s="2">
        <f t="shared" si="17"/>
        <v>676264217.70017242</v>
      </c>
      <c r="F44" s="2">
        <f t="shared" si="17"/>
        <v>781077610.61854839</v>
      </c>
      <c r="G44" s="2">
        <f t="shared" si="17"/>
        <v>911694739.87403655</v>
      </c>
    </row>
    <row r="45" spans="1:7" ht="15.75" thickBot="1">
      <c r="A45" s="1" t="s">
        <v>122</v>
      </c>
      <c r="B45" s="3">
        <f>B29</f>
        <v>0</v>
      </c>
      <c r="C45" s="3">
        <f t="shared" ref="C45:G45" si="18">C29</f>
        <v>65085629.542900003</v>
      </c>
      <c r="D45" s="3">
        <f t="shared" si="18"/>
        <v>103972849.31864603</v>
      </c>
      <c r="E45" s="3">
        <f t="shared" si="18"/>
        <v>151438087.83564338</v>
      </c>
      <c r="F45" s="3">
        <f t="shared" si="18"/>
        <v>209588995.12441197</v>
      </c>
      <c r="G45" s="3">
        <f t="shared" si="18"/>
        <v>281076211.55717242</v>
      </c>
    </row>
    <row r="46" spans="1:7" ht="15.75" thickTop="1">
      <c r="A46" s="4" t="s">
        <v>123</v>
      </c>
      <c r="B46" s="5">
        <f t="shared" ref="B46:G46" si="19">B44-B45</f>
        <v>367948376.75</v>
      </c>
      <c r="C46" s="5">
        <f t="shared" si="19"/>
        <v>457252651.80311328</v>
      </c>
      <c r="D46" s="5">
        <f t="shared" si="19"/>
        <v>487532936.4833805</v>
      </c>
      <c r="E46" s="5">
        <f t="shared" si="19"/>
        <v>524826129.86452901</v>
      </c>
      <c r="F46" s="5">
        <f t="shared" si="19"/>
        <v>571488615.49413645</v>
      </c>
      <c r="G46" s="5">
        <f t="shared" si="19"/>
        <v>630618528.31686413</v>
      </c>
    </row>
    <row r="47" spans="1:7">
      <c r="A47" s="1"/>
      <c r="B47" s="2"/>
      <c r="C47" s="2"/>
      <c r="D47" s="2"/>
      <c r="E47" s="2"/>
      <c r="F47" s="2"/>
      <c r="G47" s="2"/>
    </row>
    <row r="48" spans="1:7">
      <c r="A48" s="4" t="s">
        <v>124</v>
      </c>
      <c r="B48" s="2">
        <f>B26</f>
        <v>106703850</v>
      </c>
      <c r="C48" s="2">
        <f t="shared" ref="C48:G48" si="20">C26</f>
        <v>98363080</v>
      </c>
      <c r="D48" s="2">
        <f t="shared" si="20"/>
        <v>90022310</v>
      </c>
      <c r="E48" s="2">
        <f t="shared" si="20"/>
        <v>81681540</v>
      </c>
      <c r="F48" s="2">
        <f t="shared" si="20"/>
        <v>73340770</v>
      </c>
      <c r="G48" s="2">
        <f t="shared" si="20"/>
        <v>65000000</v>
      </c>
    </row>
    <row r="49" spans="1:7" ht="15.75" thickBot="1">
      <c r="A49" s="1" t="s">
        <v>125</v>
      </c>
      <c r="B49" s="3">
        <f>B25</f>
        <v>0</v>
      </c>
      <c r="C49" s="3">
        <f t="shared" ref="C49:G49" si="21">C25</f>
        <v>8340770</v>
      </c>
      <c r="D49" s="3">
        <f t="shared" si="21"/>
        <v>16681540</v>
      </c>
      <c r="E49" s="3">
        <f t="shared" si="21"/>
        <v>25022310</v>
      </c>
      <c r="F49" s="3">
        <f t="shared" si="21"/>
        <v>33363080</v>
      </c>
      <c r="G49" s="3">
        <f t="shared" si="21"/>
        <v>41703850</v>
      </c>
    </row>
    <row r="50" spans="1:7" ht="15.75" thickTop="1">
      <c r="A50" s="4" t="s">
        <v>126</v>
      </c>
      <c r="B50" s="5">
        <f t="shared" ref="B50:G50" si="22">B48+B49</f>
        <v>106703850</v>
      </c>
      <c r="C50" s="5">
        <f t="shared" si="22"/>
        <v>106703850</v>
      </c>
      <c r="D50" s="5">
        <f t="shared" si="22"/>
        <v>106703850</v>
      </c>
      <c r="E50" s="5">
        <f t="shared" si="22"/>
        <v>106703850</v>
      </c>
      <c r="F50" s="5">
        <f t="shared" si="22"/>
        <v>106703850</v>
      </c>
      <c r="G50" s="5">
        <f t="shared" si="22"/>
        <v>106703850</v>
      </c>
    </row>
    <row r="51" spans="1:7">
      <c r="A51" s="1"/>
      <c r="B51" s="2"/>
      <c r="C51" s="2"/>
      <c r="D51" s="2"/>
      <c r="E51" s="2"/>
      <c r="F51" s="2"/>
      <c r="G51" s="2"/>
    </row>
    <row r="52" spans="1:7" ht="15.75" thickBot="1">
      <c r="A52" s="12" t="s">
        <v>127</v>
      </c>
      <c r="B52" s="6">
        <f t="shared" ref="B52:G52" si="23">B46+B48</f>
        <v>474652226.75</v>
      </c>
      <c r="C52" s="6">
        <f t="shared" si="23"/>
        <v>555615731.80311322</v>
      </c>
      <c r="D52" s="6">
        <f t="shared" si="23"/>
        <v>577555246.48338056</v>
      </c>
      <c r="E52" s="6">
        <f t="shared" si="23"/>
        <v>606507669.86452901</v>
      </c>
      <c r="F52" s="6">
        <f t="shared" si="23"/>
        <v>644829385.49413645</v>
      </c>
      <c r="G52" s="6">
        <f t="shared" si="23"/>
        <v>695618528.31686413</v>
      </c>
    </row>
    <row r="53" spans="1:7" ht="15.75" thickTop="1">
      <c r="A53" s="7"/>
      <c r="B53" s="2"/>
      <c r="C53" s="2"/>
      <c r="D53" s="2"/>
      <c r="E53" s="2"/>
      <c r="F53" s="2"/>
      <c r="G53" s="2"/>
    </row>
    <row r="54" spans="1:7">
      <c r="A54" s="202" t="s">
        <v>128</v>
      </c>
      <c r="B54" s="202"/>
      <c r="C54" s="202"/>
      <c r="D54" s="202"/>
      <c r="E54" s="202"/>
      <c r="F54" s="202"/>
      <c r="G54" s="202"/>
    </row>
    <row r="55" spans="1:7">
      <c r="A55" s="1" t="s">
        <v>129</v>
      </c>
      <c r="C55" s="9">
        <f>C13</f>
        <v>249865723</v>
      </c>
      <c r="D55" s="9">
        <f t="shared" ref="D55:G55" si="24">D13</f>
        <v>356071645.04500008</v>
      </c>
      <c r="E55" s="9">
        <f t="shared" si="24"/>
        <v>486036748.2981503</v>
      </c>
      <c r="F55" s="9">
        <f t="shared" si="24"/>
        <v>645695352.01543152</v>
      </c>
      <c r="G55" s="9">
        <f t="shared" si="24"/>
        <v>842531168.61362779</v>
      </c>
    </row>
    <row r="56" spans="1:7" ht="15.75" thickBot="1">
      <c r="A56" s="1" t="s">
        <v>130</v>
      </c>
      <c r="C56" s="10">
        <f>C55*'1'!$AB$7</f>
        <v>84954345.820000008</v>
      </c>
      <c r="D56" s="10">
        <f>D55*'1'!$AB$7</f>
        <v>121064359.31530003</v>
      </c>
      <c r="E56" s="10">
        <f>E55*'1'!$AB$7</f>
        <v>165252494.4213711</v>
      </c>
      <c r="F56" s="10">
        <f>F55*'1'!$AB$7</f>
        <v>219536419.68524674</v>
      </c>
      <c r="G56" s="10">
        <f>G55*'1'!$AB$7</f>
        <v>286460597.32863349</v>
      </c>
    </row>
    <row r="57" spans="1:7" ht="15.75" thickTop="1">
      <c r="A57" s="4" t="s">
        <v>131</v>
      </c>
      <c r="C57" s="9">
        <f>C55-C56</f>
        <v>164911377.18000001</v>
      </c>
      <c r="D57" s="9">
        <f>D55-D56</f>
        <v>235007285.72970003</v>
      </c>
      <c r="E57" s="9">
        <f>E55-E56</f>
        <v>320784253.8767792</v>
      </c>
      <c r="F57" s="9">
        <f>F55-F56</f>
        <v>426158932.33018482</v>
      </c>
      <c r="G57" s="9">
        <f>G55-G56</f>
        <v>556070571.28499436</v>
      </c>
    </row>
    <row r="58" spans="1:7" ht="15.75" thickBot="1">
      <c r="A58" s="1" t="s">
        <v>132</v>
      </c>
      <c r="C58" s="10">
        <f>-(C52-B52)</f>
        <v>-80963505.053113222</v>
      </c>
      <c r="D58" s="10">
        <f t="shared" ref="D58:G58" si="25">-(D52-C52)</f>
        <v>-21939514.680267334</v>
      </c>
      <c r="E58" s="10">
        <f t="shared" si="25"/>
        <v>-28952423.381148458</v>
      </c>
      <c r="F58" s="10">
        <f t="shared" si="25"/>
        <v>-38321715.629607439</v>
      </c>
      <c r="G58" s="10">
        <f t="shared" si="25"/>
        <v>-50789142.82272768</v>
      </c>
    </row>
    <row r="59" spans="1:7" ht="16.5" thickTop="1" thickBot="1">
      <c r="A59" s="60" t="s">
        <v>133</v>
      </c>
      <c r="B59" s="61"/>
      <c r="C59" s="62">
        <f>SUM(C57:C58)</f>
        <v>83947872.126886785</v>
      </c>
      <c r="D59" s="62">
        <f t="shared" ref="D59:G59" si="26">SUM(D57:D58)</f>
        <v>213067771.04943269</v>
      </c>
      <c r="E59" s="62">
        <f t="shared" si="26"/>
        <v>291831830.49563074</v>
      </c>
      <c r="F59" s="62">
        <f t="shared" si="26"/>
        <v>387837216.70057738</v>
      </c>
      <c r="G59" s="62">
        <f t="shared" si="26"/>
        <v>505281428.46226668</v>
      </c>
    </row>
    <row r="60" spans="1:7" ht="15.75" thickTop="1"/>
  </sheetData>
  <sheetProtection algorithmName="SHA-512" hashValue="KLBhxYPsWRm/mDONeSdAIiuCHDVzFvjvnXci62rP+PvRkwTfgDMBnUm1lUq9hW+nalA7QvZtDlGH44e1gxba/w==" saltValue="qz8Leb/Kc1kBPTEK+6wHOA==" spinCount="100000" sheet="1" formatCells="0" formatColumns="0" formatRows="0"/>
  <mergeCells count="10">
    <mergeCell ref="A54:G54"/>
    <mergeCell ref="A21:G21"/>
    <mergeCell ref="A28:G28"/>
    <mergeCell ref="A33:G33"/>
    <mergeCell ref="A19:G19"/>
    <mergeCell ref="A1:G1"/>
    <mergeCell ref="A2:G2"/>
    <mergeCell ref="A4:G4"/>
    <mergeCell ref="A41:G41"/>
    <mergeCell ref="A42:G42"/>
  </mergeCells>
  <conditionalFormatting sqref="B22:G22">
    <cfRule type="cellIs" dxfId="9" priority="2" operator="lessThan">
      <formula>0</formula>
    </cfRule>
  </conditionalFormatting>
  <conditionalFormatting sqref="C17:G17">
    <cfRule type="cellIs" dxfId="8" priority="3" operator="lessThan">
      <formula>0</formula>
    </cfRule>
  </conditionalFormatting>
  <conditionalFormatting sqref="C59:G59">
    <cfRule type="cellIs" dxfId="7" priority="1" operator="lessThan">
      <formula>0</formula>
    </cfRule>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P54"/>
  <sheetViews>
    <sheetView showGridLines="0" topLeftCell="D1" zoomScale="80" zoomScaleNormal="80" workbookViewId="0">
      <selection activeCell="E3" sqref="E3:F4"/>
    </sheetView>
  </sheetViews>
  <sheetFormatPr defaultColWidth="11.42578125" defaultRowHeight="15"/>
  <cols>
    <col min="1" max="1" width="11.42578125" style="8"/>
    <col min="2" max="2" width="32.42578125" style="8" customWidth="1"/>
    <col min="3" max="3" width="24.28515625" style="8" bestFit="1" customWidth="1"/>
    <col min="4" max="4" width="36.28515625" style="8" bestFit="1" customWidth="1"/>
    <col min="5" max="5" width="30.42578125" style="8" bestFit="1" customWidth="1"/>
    <col min="6" max="7" width="26" style="8" customWidth="1"/>
    <col min="8" max="8" width="25.42578125" style="8" customWidth="1"/>
    <col min="9" max="9" width="11.42578125" style="8"/>
    <col min="10" max="10" width="12" style="8" bestFit="1" customWidth="1"/>
    <col min="11" max="14" width="11.42578125" style="8"/>
    <col min="15" max="15" width="15.28515625" style="8" bestFit="1" customWidth="1"/>
    <col min="16" max="16" width="21.42578125" style="8" bestFit="1" customWidth="1"/>
    <col min="17" max="16384" width="11.42578125" style="8"/>
  </cols>
  <sheetData>
    <row r="2" spans="2:16" ht="38.25" customHeight="1">
      <c r="B2" s="187" t="s">
        <v>134</v>
      </c>
      <c r="C2" s="187"/>
      <c r="D2" s="187"/>
      <c r="E2" s="187"/>
      <c r="F2" s="187"/>
      <c r="G2" s="187"/>
      <c r="H2" s="187"/>
    </row>
    <row r="3" spans="2:16" ht="15.75" customHeight="1">
      <c r="B3" s="204" t="s">
        <v>135</v>
      </c>
      <c r="C3" s="204"/>
      <c r="D3" s="204"/>
      <c r="E3" s="205">
        <v>0.2</v>
      </c>
      <c r="F3" s="205"/>
    </row>
    <row r="4" spans="2:16" ht="16.5" customHeight="1">
      <c r="B4" s="204"/>
      <c r="C4" s="204"/>
      <c r="D4" s="204"/>
      <c r="E4" s="205"/>
      <c r="F4" s="205"/>
      <c r="O4" s="104"/>
    </row>
    <row r="5" spans="2:16" ht="15.75" thickBot="1">
      <c r="O5" s="104"/>
      <c r="P5" s="107"/>
    </row>
    <row r="6" spans="2:16" ht="23.25">
      <c r="B6" s="103" t="s">
        <v>136</v>
      </c>
      <c r="C6" s="86" t="s">
        <v>137</v>
      </c>
      <c r="D6" s="87">
        <f>'4'!C20</f>
        <v>2024</v>
      </c>
      <c r="E6" s="87">
        <f>'4'!D20</f>
        <v>2025</v>
      </c>
      <c r="F6" s="87">
        <f>'4'!E20</f>
        <v>2026</v>
      </c>
      <c r="G6" s="87">
        <f>'4'!F20</f>
        <v>2027</v>
      </c>
      <c r="H6" s="88">
        <f>'4'!G20</f>
        <v>2028</v>
      </c>
      <c r="O6" s="104"/>
      <c r="P6" s="106"/>
    </row>
    <row r="7" spans="2:16" ht="19.5" thickBot="1">
      <c r="B7" s="89"/>
      <c r="C7" s="111">
        <f>-'3'!D14</f>
        <v>-474652226.75</v>
      </c>
      <c r="D7" s="111">
        <f>'4'!C59</f>
        <v>83947872.126886785</v>
      </c>
      <c r="E7" s="111">
        <f>'4'!D59</f>
        <v>213067771.04943269</v>
      </c>
      <c r="F7" s="111">
        <f>'4'!E59</f>
        <v>291831830.49563074</v>
      </c>
      <c r="G7" s="111">
        <f>'4'!F59</f>
        <v>387837216.70057738</v>
      </c>
      <c r="H7" s="112">
        <f>'4'!G59</f>
        <v>505281428.46226668</v>
      </c>
      <c r="O7" s="104"/>
      <c r="P7" s="106"/>
    </row>
    <row r="8" spans="2:16" ht="15.75" thickBot="1">
      <c r="C8" s="74">
        <f>C7/(1+$E$3)^0</f>
        <v>-474652226.75</v>
      </c>
      <c r="D8" s="74">
        <f>D7/(1+$E$3)^1</f>
        <v>69956560.105738997</v>
      </c>
      <c r="E8" s="74">
        <f>E7/(1+$E$3)^2</f>
        <v>147963729.89543939</v>
      </c>
      <c r="F8" s="74">
        <f>F7/(1+$E$3)^3</f>
        <v>168884161.16645297</v>
      </c>
      <c r="G8" s="74">
        <f>G7/(1+$E$3)^4</f>
        <v>187035694.78230006</v>
      </c>
      <c r="H8" s="74">
        <f>H7/(1+$E$3)^5</f>
        <v>203061273.65542483</v>
      </c>
      <c r="O8" s="104"/>
      <c r="P8" s="106"/>
    </row>
    <row r="9" spans="2:16" ht="24" thickBot="1">
      <c r="B9" s="30" t="s">
        <v>138</v>
      </c>
      <c r="C9" s="31"/>
      <c r="D9" s="113">
        <f>NPV(E3,D7:H7)+$C$7</f>
        <v>302249192.85535622</v>
      </c>
      <c r="O9" s="104"/>
      <c r="P9" s="106"/>
    </row>
    <row r="10" spans="2:16" ht="28.5" thickBot="1">
      <c r="B10" s="140" t="s">
        <v>139</v>
      </c>
      <c r="C10" s="31"/>
      <c r="D10" s="114">
        <f>IF(ISERROR(IRR(C7:H7)),"NO_APLICA",(IRR(C7:H7)))</f>
        <v>0.39553617394990459</v>
      </c>
      <c r="F10" s="108" t="s">
        <v>140</v>
      </c>
      <c r="G10" s="31"/>
      <c r="H10" s="109">
        <f>IF(ISERROR(-C8/AVERAGE(D8:H8)),"NO_APLICA",(-C8/AVERAGE(D8:H8)))</f>
        <v>3.0547777026273799</v>
      </c>
      <c r="I10" s="110" t="s">
        <v>141</v>
      </c>
      <c r="P10" s="105"/>
    </row>
    <row r="12" spans="2:16" ht="18.75">
      <c r="B12" s="206" t="s">
        <v>142</v>
      </c>
      <c r="C12" s="206"/>
      <c r="D12" s="206"/>
      <c r="E12" s="206"/>
      <c r="F12" s="206"/>
      <c r="G12" s="206"/>
      <c r="H12" s="206"/>
    </row>
    <row r="13" spans="2:16" ht="36.75">
      <c r="B13" s="90" t="str">
        <f>'1'!B2</f>
        <v>NOMBRE DEL PRODUCTO O SERVICIO</v>
      </c>
      <c r="C13" s="90" t="s">
        <v>143</v>
      </c>
      <c r="D13" s="90" t="s">
        <v>144</v>
      </c>
      <c r="E13" s="90" t="s">
        <v>145</v>
      </c>
      <c r="F13" s="90" t="s">
        <v>146</v>
      </c>
      <c r="H13" s="74"/>
      <c r="I13" s="74"/>
      <c r="J13" s="74" t="s">
        <v>147</v>
      </c>
    </row>
    <row r="14" spans="2:16">
      <c r="B14" s="38" t="str">
        <f>'1'!B3</f>
        <v>Servicio de Asesoría</v>
      </c>
      <c r="C14" s="91">
        <f>'1'!D3-'1'!D17</f>
        <v>10000000</v>
      </c>
      <c r="D14" s="92">
        <f>'1'!F3</f>
        <v>0.2774566473988439</v>
      </c>
      <c r="E14" s="91">
        <f>C14*D14</f>
        <v>2774566.473988439</v>
      </c>
      <c r="F14" s="93">
        <f t="shared" ref="F14:F23" si="0">$E$27*D14</f>
        <v>26.35178923741007</v>
      </c>
      <c r="G14" s="38" t="s">
        <v>148</v>
      </c>
      <c r="H14" s="75">
        <f>'1'!D3</f>
        <v>20000000</v>
      </c>
      <c r="I14" s="94">
        <f t="shared" ref="I14:I23" si="1">$B$34*D14</f>
        <v>52.703578474820134</v>
      </c>
      <c r="J14" s="75">
        <f>'1'!D17</f>
        <v>10000000</v>
      </c>
    </row>
    <row r="15" spans="2:16">
      <c r="B15" s="95" t="str">
        <f>'1'!B4</f>
        <v>Servicio de Consultoría</v>
      </c>
      <c r="C15" s="91">
        <f>'1'!D4-'1'!D18</f>
        <v>15000000</v>
      </c>
      <c r="D15" s="92">
        <f>'1'!F4</f>
        <v>0.26011560693641617</v>
      </c>
      <c r="E15" s="91">
        <f t="shared" ref="E15:E23" si="2">C15*D15</f>
        <v>3901734.1040462423</v>
      </c>
      <c r="F15" s="93">
        <f t="shared" si="0"/>
        <v>24.704802410071942</v>
      </c>
      <c r="G15" s="38" t="str">
        <f>G14</f>
        <v>UNIDADES</v>
      </c>
      <c r="H15" s="75">
        <f>'1'!D4</f>
        <v>30000000</v>
      </c>
      <c r="I15" s="94">
        <f t="shared" si="1"/>
        <v>49.409604820143876</v>
      </c>
      <c r="J15" s="75">
        <f>'1'!D18</f>
        <v>15000000</v>
      </c>
    </row>
    <row r="16" spans="2:16">
      <c r="B16" s="95" t="str">
        <f>'1'!B5</f>
        <v>Formación y capacitación (Cupos de Seminario y Talleres de Sostenibilidad &amp; ODS 12)</v>
      </c>
      <c r="C16" s="91">
        <f>'1'!D5-'1'!D19</f>
        <v>1200000</v>
      </c>
      <c r="D16" s="92">
        <f>'1'!F5</f>
        <v>0.46242774566473988</v>
      </c>
      <c r="E16" s="91">
        <f t="shared" si="2"/>
        <v>554913.29479768791</v>
      </c>
      <c r="F16" s="93">
        <f t="shared" si="0"/>
        <v>43.919648729016792</v>
      </c>
      <c r="G16" s="38" t="str">
        <f t="shared" ref="G16:G23" si="3">G15</f>
        <v>UNIDADES</v>
      </c>
      <c r="H16" s="75">
        <f>'1'!D5</f>
        <v>2000000</v>
      </c>
      <c r="I16" s="94">
        <f t="shared" si="1"/>
        <v>87.83929745803357</v>
      </c>
      <c r="J16" s="75">
        <f>'1'!D19</f>
        <v>800000</v>
      </c>
    </row>
    <row r="17" spans="2:10">
      <c r="B17" s="95">
        <f>'1'!B6</f>
        <v>0</v>
      </c>
      <c r="C17" s="91">
        <f>'1'!D6-'1'!D20</f>
        <v>0</v>
      </c>
      <c r="D17" s="92">
        <f>'1'!F6</f>
        <v>0</v>
      </c>
      <c r="E17" s="91">
        <f t="shared" si="2"/>
        <v>0</v>
      </c>
      <c r="F17" s="93">
        <f t="shared" si="0"/>
        <v>0</v>
      </c>
      <c r="G17" s="38" t="str">
        <f t="shared" si="3"/>
        <v>UNIDADES</v>
      </c>
      <c r="H17" s="75">
        <f>'1'!D6</f>
        <v>0</v>
      </c>
      <c r="I17" s="94">
        <f t="shared" si="1"/>
        <v>0</v>
      </c>
      <c r="J17" s="75">
        <f>'1'!D20</f>
        <v>0</v>
      </c>
    </row>
    <row r="18" spans="2:10">
      <c r="B18" s="95">
        <f>'1'!B7</f>
        <v>0</v>
      </c>
      <c r="C18" s="91">
        <f>'1'!D7-'1'!D21</f>
        <v>0</v>
      </c>
      <c r="D18" s="92">
        <f>'1'!F7</f>
        <v>0</v>
      </c>
      <c r="E18" s="91">
        <f t="shared" si="2"/>
        <v>0</v>
      </c>
      <c r="F18" s="93">
        <f t="shared" si="0"/>
        <v>0</v>
      </c>
      <c r="G18" s="38" t="str">
        <f t="shared" si="3"/>
        <v>UNIDADES</v>
      </c>
      <c r="H18" s="75">
        <f>'1'!D7</f>
        <v>0</v>
      </c>
      <c r="I18" s="94">
        <f t="shared" si="1"/>
        <v>0</v>
      </c>
      <c r="J18" s="75">
        <f>'1'!D21</f>
        <v>0</v>
      </c>
    </row>
    <row r="19" spans="2:10">
      <c r="B19" s="95">
        <f>'1'!B8</f>
        <v>0</v>
      </c>
      <c r="C19" s="91">
        <f>'1'!D8-'1'!D22</f>
        <v>0</v>
      </c>
      <c r="D19" s="92">
        <f>'1'!F8</f>
        <v>0</v>
      </c>
      <c r="E19" s="91">
        <f t="shared" si="2"/>
        <v>0</v>
      </c>
      <c r="F19" s="93">
        <f t="shared" si="0"/>
        <v>0</v>
      </c>
      <c r="G19" s="38" t="str">
        <f t="shared" si="3"/>
        <v>UNIDADES</v>
      </c>
      <c r="H19" s="75">
        <f>'1'!D8</f>
        <v>0</v>
      </c>
      <c r="I19" s="94">
        <f t="shared" si="1"/>
        <v>0</v>
      </c>
      <c r="J19" s="75">
        <f>'1'!D22</f>
        <v>0</v>
      </c>
    </row>
    <row r="20" spans="2:10">
      <c r="B20" s="95">
        <f>'1'!B9</f>
        <v>0</v>
      </c>
      <c r="C20" s="91">
        <f>'1'!D9-'1'!D23</f>
        <v>0</v>
      </c>
      <c r="D20" s="92">
        <f>'1'!F9</f>
        <v>0</v>
      </c>
      <c r="E20" s="91">
        <f t="shared" si="2"/>
        <v>0</v>
      </c>
      <c r="F20" s="93">
        <f t="shared" si="0"/>
        <v>0</v>
      </c>
      <c r="G20" s="38" t="str">
        <f t="shared" si="3"/>
        <v>UNIDADES</v>
      </c>
      <c r="H20" s="75">
        <f>'1'!D9</f>
        <v>0</v>
      </c>
      <c r="I20" s="94">
        <f t="shared" si="1"/>
        <v>0</v>
      </c>
      <c r="J20" s="75">
        <f>'1'!D23</f>
        <v>0</v>
      </c>
    </row>
    <row r="21" spans="2:10">
      <c r="B21" s="95">
        <f>'1'!B10</f>
        <v>0</v>
      </c>
      <c r="C21" s="91">
        <f>'1'!D10-'1'!D24</f>
        <v>0</v>
      </c>
      <c r="D21" s="92">
        <f>'1'!F10</f>
        <v>0</v>
      </c>
      <c r="E21" s="91">
        <f t="shared" si="2"/>
        <v>0</v>
      </c>
      <c r="F21" s="93">
        <f t="shared" si="0"/>
        <v>0</v>
      </c>
      <c r="G21" s="38" t="str">
        <f t="shared" si="3"/>
        <v>UNIDADES</v>
      </c>
      <c r="H21" s="75">
        <f>'1'!D10</f>
        <v>0</v>
      </c>
      <c r="I21" s="94">
        <f t="shared" si="1"/>
        <v>0</v>
      </c>
      <c r="J21" s="75">
        <f>'1'!D24</f>
        <v>0</v>
      </c>
    </row>
    <row r="22" spans="2:10">
      <c r="B22" s="95">
        <f>'1'!B11</f>
        <v>0</v>
      </c>
      <c r="C22" s="91">
        <f>'1'!D11-'1'!D25</f>
        <v>0</v>
      </c>
      <c r="D22" s="92">
        <f>'1'!F11</f>
        <v>0</v>
      </c>
      <c r="E22" s="91">
        <f t="shared" si="2"/>
        <v>0</v>
      </c>
      <c r="F22" s="93">
        <f t="shared" si="0"/>
        <v>0</v>
      </c>
      <c r="G22" s="38" t="str">
        <f t="shared" si="3"/>
        <v>UNIDADES</v>
      </c>
      <c r="H22" s="75">
        <f>'1'!D11</f>
        <v>0</v>
      </c>
      <c r="I22" s="94">
        <f t="shared" si="1"/>
        <v>0</v>
      </c>
      <c r="J22" s="75">
        <f>'1'!D25</f>
        <v>0</v>
      </c>
    </row>
    <row r="23" spans="2:10">
      <c r="B23" s="38">
        <f>'1'!B12</f>
        <v>0</v>
      </c>
      <c r="C23" s="91">
        <f>'1'!D12-'1'!D26</f>
        <v>0</v>
      </c>
      <c r="D23" s="92">
        <f>'1'!F12</f>
        <v>0</v>
      </c>
      <c r="E23" s="91">
        <f t="shared" si="2"/>
        <v>0</v>
      </c>
      <c r="F23" s="93">
        <f t="shared" si="0"/>
        <v>0</v>
      </c>
      <c r="G23" s="38" t="str">
        <f t="shared" si="3"/>
        <v>UNIDADES</v>
      </c>
      <c r="H23" s="75">
        <f>'1'!D12</f>
        <v>0</v>
      </c>
      <c r="I23" s="94">
        <f t="shared" si="1"/>
        <v>0</v>
      </c>
      <c r="J23" s="75">
        <f>'1'!D26</f>
        <v>0</v>
      </c>
    </row>
    <row r="24" spans="2:10" ht="26.25">
      <c r="C24" s="26"/>
      <c r="D24" s="96"/>
      <c r="E24" s="26"/>
      <c r="F24" s="97">
        <f>SUM(F14:F23)</f>
        <v>94.976240376498794</v>
      </c>
      <c r="G24" s="8" t="str">
        <f>G23</f>
        <v>UNIDADES</v>
      </c>
      <c r="H24" s="75"/>
      <c r="I24" s="94"/>
      <c r="J24" s="75"/>
    </row>
    <row r="25" spans="2:10" ht="12.75" customHeight="1">
      <c r="C25" s="26"/>
      <c r="D25" s="96"/>
      <c r="E25" s="26"/>
      <c r="F25" s="97"/>
      <c r="H25" s="75"/>
      <c r="I25" s="94"/>
      <c r="J25" s="75"/>
    </row>
    <row r="26" spans="2:10" ht="21" customHeight="1">
      <c r="B26" s="203" t="s">
        <v>149</v>
      </c>
      <c r="C26" s="203"/>
      <c r="D26" s="203"/>
      <c r="E26" s="98">
        <f>SUM(E14:E23)</f>
        <v>7231213.8728323691</v>
      </c>
      <c r="H26" s="74"/>
      <c r="I26" s="74"/>
      <c r="J26" s="74"/>
    </row>
    <row r="27" spans="2:10" ht="19.5" customHeight="1">
      <c r="B27" s="203" t="s">
        <v>150</v>
      </c>
      <c r="C27" s="203"/>
      <c r="D27" s="203"/>
      <c r="E27" s="97">
        <f>IF(E26=0,0,('2'!C23+'2'!F31+'2'!C25)/'5'!E26)</f>
        <v>94.976240376498808</v>
      </c>
      <c r="F27" s="99" t="s">
        <v>148</v>
      </c>
      <c r="H27" s="100"/>
    </row>
    <row r="28" spans="2:10" ht="26.25">
      <c r="B28" s="203" t="s">
        <v>151</v>
      </c>
      <c r="C28" s="203"/>
      <c r="D28" s="203"/>
      <c r="E28" s="98">
        <f>E48</f>
        <v>1356019154.5083933</v>
      </c>
    </row>
    <row r="30" spans="2:10">
      <c r="B30" s="74"/>
      <c r="C30" s="74"/>
      <c r="D30" s="74"/>
      <c r="E30" s="74"/>
      <c r="F30" s="74"/>
      <c r="G30" s="74"/>
    </row>
    <row r="31" spans="2:10">
      <c r="B31" s="74"/>
      <c r="C31" s="74" t="s">
        <v>152</v>
      </c>
      <c r="D31" s="74" t="s">
        <v>153</v>
      </c>
      <c r="E31" s="74" t="s">
        <v>154</v>
      </c>
      <c r="F31" s="74" t="s">
        <v>155</v>
      </c>
      <c r="G31" s="74"/>
      <c r="H31" s="74"/>
    </row>
    <row r="32" spans="2:10">
      <c r="B32" s="74">
        <v>0</v>
      </c>
      <c r="C32" s="75">
        <f>'2'!C25+'2'!F31+'2'!C23</f>
        <v>686793507</v>
      </c>
      <c r="D32" s="74">
        <f>0</f>
        <v>0</v>
      </c>
      <c r="E32" s="74">
        <v>0</v>
      </c>
      <c r="F32" s="75">
        <f>C32+E32</f>
        <v>686793507</v>
      </c>
      <c r="G32" s="74"/>
      <c r="H32" s="74"/>
    </row>
    <row r="33" spans="2:8">
      <c r="B33" s="94">
        <f>F24</f>
        <v>94.976240376498794</v>
      </c>
      <c r="C33" s="75">
        <f>C32</f>
        <v>686793507</v>
      </c>
      <c r="D33" s="101">
        <f>SUMPRODUCT(F14:F23,H14:H23)</f>
        <v>1356019154.5083933</v>
      </c>
      <c r="E33" s="101">
        <f>SUMPRODUCT(F14:F23,J14:J23)</f>
        <v>669225647.50839329</v>
      </c>
      <c r="F33" s="75">
        <f t="shared" ref="F33:F34" si="4">C33+E33</f>
        <v>1356019154.5083933</v>
      </c>
      <c r="G33" s="74"/>
      <c r="H33" s="74"/>
    </row>
    <row r="34" spans="2:8">
      <c r="B34" s="94">
        <f>B33*2</f>
        <v>189.95248075299759</v>
      </c>
      <c r="C34" s="75">
        <f>C33</f>
        <v>686793507</v>
      </c>
      <c r="D34" s="101">
        <f>SUMPRODUCT(H14:H23,I14:I23)</f>
        <v>2712038309.0167861</v>
      </c>
      <c r="E34" s="101">
        <f>SUMPRODUCT(I14:I23,J14:J23)</f>
        <v>1338451295.0167863</v>
      </c>
      <c r="F34" s="75">
        <f t="shared" si="4"/>
        <v>2025244802.0167863</v>
      </c>
      <c r="G34" s="74"/>
      <c r="H34" s="74"/>
    </row>
    <row r="35" spans="2:8">
      <c r="B35" s="74"/>
      <c r="C35" s="75"/>
      <c r="D35" s="74"/>
      <c r="E35" s="74"/>
      <c r="F35" s="74"/>
      <c r="G35" s="74"/>
      <c r="H35" s="74"/>
    </row>
    <row r="36" spans="2:8">
      <c r="B36" s="74"/>
      <c r="C36" s="75"/>
      <c r="D36" s="74"/>
      <c r="E36" s="74"/>
      <c r="F36" s="74"/>
      <c r="G36" s="74"/>
      <c r="H36" s="74"/>
    </row>
    <row r="37" spans="2:8">
      <c r="B37" s="74"/>
      <c r="C37" s="133" t="s">
        <v>156</v>
      </c>
      <c r="D37" s="74" t="s">
        <v>148</v>
      </c>
      <c r="E37" s="74" t="s">
        <v>157</v>
      </c>
      <c r="F37" s="74"/>
      <c r="G37" s="74"/>
      <c r="H37" s="74"/>
    </row>
    <row r="38" spans="2:8">
      <c r="B38" s="74">
        <v>1</v>
      </c>
      <c r="C38" s="75">
        <f>'1'!D3</f>
        <v>20000000</v>
      </c>
      <c r="D38" s="94">
        <f>F14</f>
        <v>26.35178923741007</v>
      </c>
      <c r="E38" s="74">
        <f>C38*D38</f>
        <v>527035784.74820143</v>
      </c>
      <c r="F38" s="74"/>
      <c r="G38" s="74"/>
      <c r="H38" s="74"/>
    </row>
    <row r="39" spans="2:8">
      <c r="B39" s="74">
        <f>B38+1</f>
        <v>2</v>
      </c>
      <c r="C39" s="75">
        <f>'1'!D4</f>
        <v>30000000</v>
      </c>
      <c r="D39" s="94">
        <f t="shared" ref="D39:D47" si="5">F15</f>
        <v>24.704802410071942</v>
      </c>
      <c r="E39" s="74">
        <f t="shared" ref="E39:E47" si="6">C39*D39</f>
        <v>741144072.30215824</v>
      </c>
      <c r="F39" s="74"/>
      <c r="G39" s="74"/>
      <c r="H39" s="74"/>
    </row>
    <row r="40" spans="2:8">
      <c r="B40" s="74">
        <f t="shared" ref="B40:B47" si="7">B39+1</f>
        <v>3</v>
      </c>
      <c r="C40" s="75">
        <f>'1'!D5</f>
        <v>2000000</v>
      </c>
      <c r="D40" s="94">
        <f t="shared" si="5"/>
        <v>43.919648729016792</v>
      </c>
      <c r="E40" s="74">
        <f t="shared" si="6"/>
        <v>87839297.458033592</v>
      </c>
      <c r="F40" s="74"/>
      <c r="G40" s="74"/>
      <c r="H40" s="74"/>
    </row>
    <row r="41" spans="2:8">
      <c r="B41" s="74">
        <f t="shared" si="7"/>
        <v>4</v>
      </c>
      <c r="C41" s="75">
        <f>'1'!D6</f>
        <v>0</v>
      </c>
      <c r="D41" s="94">
        <f t="shared" si="5"/>
        <v>0</v>
      </c>
      <c r="E41" s="74">
        <f t="shared" si="6"/>
        <v>0</v>
      </c>
      <c r="F41" s="74"/>
      <c r="G41" s="74"/>
      <c r="H41" s="74"/>
    </row>
    <row r="42" spans="2:8">
      <c r="B42" s="74">
        <f t="shared" si="7"/>
        <v>5</v>
      </c>
      <c r="C42" s="75">
        <f>'1'!D7</f>
        <v>0</v>
      </c>
      <c r="D42" s="94">
        <f t="shared" si="5"/>
        <v>0</v>
      </c>
      <c r="E42" s="74">
        <f t="shared" si="6"/>
        <v>0</v>
      </c>
      <c r="F42" s="74"/>
      <c r="G42" s="74"/>
      <c r="H42" s="74"/>
    </row>
    <row r="43" spans="2:8">
      <c r="B43" s="74">
        <f t="shared" si="7"/>
        <v>6</v>
      </c>
      <c r="C43" s="75">
        <f>'1'!D8</f>
        <v>0</v>
      </c>
      <c r="D43" s="94">
        <f t="shared" si="5"/>
        <v>0</v>
      </c>
      <c r="E43" s="74">
        <f t="shared" si="6"/>
        <v>0</v>
      </c>
      <c r="F43" s="74"/>
      <c r="G43" s="74"/>
      <c r="H43" s="74"/>
    </row>
    <row r="44" spans="2:8">
      <c r="B44" s="74">
        <f t="shared" si="7"/>
        <v>7</v>
      </c>
      <c r="C44" s="75">
        <f>'1'!D9</f>
        <v>0</v>
      </c>
      <c r="D44" s="94">
        <f t="shared" si="5"/>
        <v>0</v>
      </c>
      <c r="E44" s="74">
        <f t="shared" si="6"/>
        <v>0</v>
      </c>
      <c r="F44" s="74"/>
      <c r="G44" s="74"/>
      <c r="H44" s="74"/>
    </row>
    <row r="45" spans="2:8">
      <c r="B45" s="74">
        <f t="shared" si="7"/>
        <v>8</v>
      </c>
      <c r="C45" s="75">
        <f>'1'!D10</f>
        <v>0</v>
      </c>
      <c r="D45" s="94">
        <f t="shared" si="5"/>
        <v>0</v>
      </c>
      <c r="E45" s="74">
        <f t="shared" si="6"/>
        <v>0</v>
      </c>
      <c r="F45" s="74"/>
      <c r="G45" s="74"/>
      <c r="H45" s="74"/>
    </row>
    <row r="46" spans="2:8">
      <c r="B46" s="74">
        <f t="shared" si="7"/>
        <v>9</v>
      </c>
      <c r="C46" s="75">
        <f>'1'!D11</f>
        <v>0</v>
      </c>
      <c r="D46" s="94">
        <f t="shared" si="5"/>
        <v>0</v>
      </c>
      <c r="E46" s="74">
        <f t="shared" si="6"/>
        <v>0</v>
      </c>
      <c r="F46" s="74"/>
      <c r="G46" s="74"/>
      <c r="H46" s="74"/>
    </row>
    <row r="47" spans="2:8">
      <c r="B47" s="74">
        <f t="shared" si="7"/>
        <v>10</v>
      </c>
      <c r="C47" s="75">
        <f>'1'!D12</f>
        <v>0</v>
      </c>
      <c r="D47" s="94">
        <f t="shared" si="5"/>
        <v>0</v>
      </c>
      <c r="E47" s="74">
        <f t="shared" si="6"/>
        <v>0</v>
      </c>
      <c r="F47" s="74"/>
      <c r="G47" s="74"/>
      <c r="H47" s="74"/>
    </row>
    <row r="48" spans="2:8">
      <c r="B48" s="74"/>
      <c r="C48" s="75"/>
      <c r="D48" s="74"/>
      <c r="E48" s="134">
        <f>SUM(E38:E47)</f>
        <v>1356019154.5083933</v>
      </c>
      <c r="F48" s="74"/>
      <c r="G48" s="74"/>
      <c r="H48" s="74"/>
    </row>
    <row r="49" spans="2:8">
      <c r="B49" s="74"/>
      <c r="C49" s="74"/>
      <c r="D49" s="74"/>
      <c r="E49" s="74"/>
      <c r="F49" s="74"/>
      <c r="G49" s="74"/>
      <c r="H49" s="74"/>
    </row>
    <row r="50" spans="2:8">
      <c r="B50" s="74"/>
      <c r="C50" s="75"/>
      <c r="D50" s="74"/>
      <c r="E50" s="74"/>
      <c r="F50" s="74"/>
      <c r="G50" s="74"/>
      <c r="H50" s="74"/>
    </row>
    <row r="51" spans="2:8">
      <c r="B51" s="74"/>
      <c r="C51" s="75"/>
      <c r="D51" s="74"/>
      <c r="E51" s="74"/>
      <c r="F51" s="74"/>
      <c r="G51" s="74"/>
      <c r="H51" s="74"/>
    </row>
    <row r="52" spans="2:8">
      <c r="B52" s="74"/>
      <c r="C52" s="75"/>
      <c r="D52" s="74"/>
      <c r="E52" s="74"/>
      <c r="F52" s="74"/>
      <c r="G52" s="74"/>
      <c r="H52" s="74"/>
    </row>
    <row r="53" spans="2:8">
      <c r="B53" s="74"/>
      <c r="C53" s="74"/>
      <c r="D53" s="74"/>
      <c r="E53" s="74"/>
      <c r="F53" s="74"/>
      <c r="G53" s="74"/>
      <c r="H53" s="74"/>
    </row>
    <row r="54" spans="2:8">
      <c r="B54" s="74"/>
      <c r="C54" s="74"/>
      <c r="D54" s="74"/>
      <c r="E54" s="74"/>
      <c r="F54" s="74"/>
      <c r="G54" s="74"/>
      <c r="H54" s="74"/>
    </row>
  </sheetData>
  <sheetProtection algorithmName="SHA-512" hashValue="3+YCEPd7MiOqwxJUwxbw9lH+NZ/deTsqsi74b6CqtvqHoCDjURZmTtZwU3qtErjyzyXe96heae9720a7WTNDKg==" saltValue="8qrNxEUAu0WQgdLevZOh7A==" spinCount="100000" sheet="1" objects="1" scenarios="1" formatCells="0" formatColumns="0" formatRows="0"/>
  <mergeCells count="8">
    <mergeCell ref="B28:D28"/>
    <mergeCell ref="B26:D26"/>
    <mergeCell ref="B27:D27"/>
    <mergeCell ref="B2:F2"/>
    <mergeCell ref="G2:H2"/>
    <mergeCell ref="B3:D4"/>
    <mergeCell ref="E3:F4"/>
    <mergeCell ref="B12:H12"/>
  </mergeCells>
  <conditionalFormatting sqref="D9:D10">
    <cfRule type="cellIs" dxfId="6" priority="4" operator="lessThan">
      <formula>0</formula>
    </cfRule>
  </conditionalFormatting>
  <conditionalFormatting sqref="D10">
    <cfRule type="containsText" dxfId="5" priority="2" operator="containsText" text="NO_APLICA">
      <formula>NOT(ISERROR(SEARCH("NO_APLICA",D10)))</formula>
    </cfRule>
    <cfRule type="cellIs" dxfId="4" priority="6" operator="equal">
      <formula>$E$3</formula>
    </cfRule>
    <cfRule type="cellIs" dxfId="3" priority="7" operator="greaterThan">
      <formula>$E$3</formula>
    </cfRule>
    <cfRule type="cellIs" dxfId="2" priority="8" operator="lessThan">
      <formula>$E$3</formula>
    </cfRule>
  </conditionalFormatting>
  <conditionalFormatting sqref="H10">
    <cfRule type="containsText" dxfId="1" priority="1" operator="containsText" text="NO_APLICA">
      <formula>NOT(ISERROR(SEARCH("NO_APLICA",H10)))</formula>
    </cfRule>
    <cfRule type="cellIs" dxfId="0" priority="3" operator="lessThan">
      <formula>0</formula>
    </cfRule>
  </conditionalFormatting>
  <pageMargins left="0.7" right="0.7" top="0.75" bottom="0.75" header="0.3" footer="0.3"/>
  <pageSetup orientation="portrait"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8859CB-545F-0C47-9234-67C705A4AE5E}">
  <sheetPr>
    <tabColor rgb="FF002060"/>
  </sheetPr>
  <dimension ref="A1:AG113"/>
  <sheetViews>
    <sheetView tabSelected="1" topLeftCell="A11" zoomScaleNormal="100" workbookViewId="0">
      <selection activeCell="M21" sqref="M21:N21"/>
    </sheetView>
  </sheetViews>
  <sheetFormatPr defaultColWidth="11.42578125" defaultRowHeight="15"/>
  <cols>
    <col min="1" max="1" width="25.140625" customWidth="1"/>
    <col min="2" max="2" width="17.28515625" customWidth="1"/>
    <col min="3" max="3" width="13.28515625" customWidth="1"/>
    <col min="5" max="5" width="12.28515625" customWidth="1"/>
    <col min="6" max="6" width="16.7109375" customWidth="1"/>
    <col min="7" max="7" width="24.28515625" customWidth="1"/>
    <col min="8" max="8" width="13.28515625" customWidth="1"/>
    <col min="11" max="12" width="29" customWidth="1"/>
    <col min="13" max="13" width="23" customWidth="1"/>
    <col min="14" max="14" width="17.42578125" customWidth="1"/>
    <col min="15" max="15" width="16.140625" customWidth="1"/>
  </cols>
  <sheetData>
    <row r="1" spans="1:33" ht="15" customHeight="1">
      <c r="A1" s="241" t="s">
        <v>158</v>
      </c>
      <c r="B1" s="242"/>
      <c r="C1" s="242"/>
      <c r="D1" s="242"/>
      <c r="E1" s="242"/>
      <c r="F1" s="242"/>
      <c r="G1" s="242"/>
      <c r="H1" s="242"/>
      <c r="I1" s="242"/>
      <c r="J1" s="242"/>
      <c r="K1" s="242"/>
      <c r="L1" s="242"/>
      <c r="M1" s="242"/>
      <c r="N1" s="242"/>
      <c r="O1" s="243"/>
      <c r="AD1">
        <v>12</v>
      </c>
    </row>
    <row r="2" spans="1:33" ht="15" customHeight="1">
      <c r="A2" s="244"/>
      <c r="B2" s="245"/>
      <c r="C2" s="245"/>
      <c r="D2" s="245"/>
      <c r="E2" s="245"/>
      <c r="F2" s="245"/>
      <c r="G2" s="245"/>
      <c r="H2" s="245"/>
      <c r="I2" s="245"/>
      <c r="J2" s="245"/>
      <c r="K2" s="245"/>
      <c r="L2" s="245"/>
      <c r="M2" s="245"/>
      <c r="N2" s="245"/>
      <c r="O2" s="246"/>
    </row>
    <row r="3" spans="1:33">
      <c r="A3" s="210" t="s">
        <v>159</v>
      </c>
      <c r="B3" s="211"/>
      <c r="C3" s="211"/>
      <c r="D3" s="211"/>
      <c r="E3" s="211"/>
      <c r="F3" s="211" t="s">
        <v>160</v>
      </c>
      <c r="G3" s="211"/>
      <c r="H3" s="211"/>
      <c r="I3" s="211"/>
      <c r="J3" s="211"/>
      <c r="K3" s="211" t="s">
        <v>161</v>
      </c>
      <c r="L3" s="211"/>
      <c r="M3" s="211"/>
      <c r="N3" s="211"/>
      <c r="O3" s="219"/>
    </row>
    <row r="4" spans="1:33">
      <c r="A4" s="210" t="s">
        <v>162</v>
      </c>
      <c r="B4" s="211"/>
      <c r="C4" s="135" t="s">
        <v>163</v>
      </c>
      <c r="D4" s="211" t="s">
        <v>164</v>
      </c>
      <c r="E4" s="211"/>
      <c r="F4" s="211" t="s">
        <v>162</v>
      </c>
      <c r="G4" s="211"/>
      <c r="H4" s="135" t="s">
        <v>163</v>
      </c>
      <c r="I4" s="211" t="s">
        <v>165</v>
      </c>
      <c r="J4" s="211"/>
      <c r="K4" s="211"/>
      <c r="L4" s="211"/>
      <c r="M4" s="135"/>
      <c r="N4" s="211"/>
      <c r="O4" s="219"/>
      <c r="Q4" s="211"/>
      <c r="R4" s="211"/>
      <c r="S4" s="211"/>
    </row>
    <row r="5" spans="1:33">
      <c r="A5" s="210" t="s">
        <v>166</v>
      </c>
      <c r="B5" s="211"/>
      <c r="C5" s="211"/>
      <c r="D5" s="211"/>
      <c r="E5" s="211"/>
      <c r="F5" s="211"/>
      <c r="G5" s="211"/>
      <c r="H5" s="211"/>
      <c r="I5" s="211"/>
      <c r="J5" s="211"/>
      <c r="K5" s="211"/>
      <c r="L5" s="211"/>
      <c r="O5" s="165"/>
    </row>
    <row r="6" spans="1:33" ht="14.45" customHeight="1">
      <c r="A6" s="210" t="s">
        <v>167</v>
      </c>
      <c r="B6" s="211"/>
      <c r="C6" s="211"/>
      <c r="D6" s="211"/>
      <c r="E6" s="211"/>
      <c r="F6" s="211"/>
      <c r="G6" s="211"/>
      <c r="H6" s="168">
        <v>1</v>
      </c>
      <c r="I6" s="220">
        <v>92981365</v>
      </c>
      <c r="J6" s="221"/>
      <c r="K6" s="211"/>
      <c r="L6" s="211"/>
      <c r="M6" s="135"/>
      <c r="N6" s="211"/>
      <c r="O6" s="219"/>
    </row>
    <row r="7" spans="1:33">
      <c r="A7" s="210" t="s">
        <v>168</v>
      </c>
      <c r="B7" s="211"/>
      <c r="C7" s="211"/>
      <c r="D7" s="211"/>
      <c r="E7" s="211"/>
      <c r="F7" s="211"/>
      <c r="G7" s="211"/>
      <c r="H7" s="168">
        <v>1</v>
      </c>
      <c r="I7" s="220">
        <v>65340147</v>
      </c>
      <c r="J7" s="221"/>
      <c r="K7" s="211"/>
      <c r="L7" s="211"/>
      <c r="M7" s="135"/>
      <c r="N7" s="211"/>
      <c r="O7" s="219"/>
    </row>
    <row r="8" spans="1:33" ht="14.45" customHeight="1">
      <c r="A8" s="210" t="s">
        <v>169</v>
      </c>
      <c r="B8" s="211"/>
      <c r="C8" s="211"/>
      <c r="D8" s="211"/>
      <c r="E8" s="211"/>
      <c r="F8" s="211"/>
      <c r="G8" s="211"/>
      <c r="H8" s="168">
        <v>1</v>
      </c>
      <c r="I8" s="220">
        <v>31795915</v>
      </c>
      <c r="J8" s="220"/>
      <c r="K8" s="211"/>
      <c r="L8" s="211"/>
      <c r="M8" s="135"/>
      <c r="N8" s="211"/>
      <c r="O8" s="219"/>
    </row>
    <row r="9" spans="1:33" ht="14.45" customHeight="1">
      <c r="A9" s="210" t="s">
        <v>170</v>
      </c>
      <c r="B9" s="211"/>
      <c r="C9" s="211"/>
      <c r="D9" s="211"/>
      <c r="E9" s="211"/>
      <c r="F9" s="211"/>
      <c r="G9" s="211"/>
      <c r="H9" s="168">
        <v>1</v>
      </c>
      <c r="I9" s="220">
        <v>55397635</v>
      </c>
      <c r="J9" s="220"/>
      <c r="K9" s="211"/>
      <c r="L9" s="211"/>
      <c r="M9" s="135"/>
      <c r="N9" s="211"/>
      <c r="O9" s="219"/>
    </row>
    <row r="10" spans="1:33" ht="14.45" customHeight="1">
      <c r="A10" s="210" t="s">
        <v>171</v>
      </c>
      <c r="B10" s="211"/>
      <c r="C10" s="211"/>
      <c r="D10" s="211"/>
      <c r="E10" s="211"/>
      <c r="F10" s="211"/>
      <c r="G10" s="211"/>
      <c r="H10" s="168">
        <v>1</v>
      </c>
      <c r="I10" s="220">
        <v>55373513</v>
      </c>
      <c r="J10" s="220"/>
      <c r="K10" s="211"/>
      <c r="L10" s="211"/>
      <c r="M10" s="135"/>
      <c r="N10" s="211"/>
      <c r="O10" s="219"/>
    </row>
    <row r="11" spans="1:33" ht="14.45" customHeight="1">
      <c r="A11" s="210" t="s">
        <v>172</v>
      </c>
      <c r="B11" s="211"/>
      <c r="C11" s="211"/>
      <c r="D11" s="211"/>
      <c r="E11" s="211"/>
      <c r="F11" s="211"/>
      <c r="G11" s="211"/>
      <c r="H11" s="168">
        <v>1</v>
      </c>
      <c r="I11" s="220">
        <v>31795915</v>
      </c>
      <c r="J11" s="220"/>
      <c r="K11" s="211"/>
      <c r="L11" s="211"/>
      <c r="M11" s="135"/>
      <c r="N11" s="211"/>
      <c r="O11" s="219"/>
    </row>
    <row r="12" spans="1:33">
      <c r="A12" s="207" t="s">
        <v>173</v>
      </c>
      <c r="B12" s="208"/>
      <c r="C12" s="208"/>
      <c r="D12" s="208"/>
      <c r="E12" s="208"/>
      <c r="F12" s="208"/>
      <c r="G12" s="208"/>
      <c r="H12" s="171">
        <f>SUM(H6:H11)</f>
        <v>6</v>
      </c>
      <c r="I12" s="227">
        <f>SUM(I6:J11)</f>
        <v>332684490</v>
      </c>
      <c r="J12" s="228"/>
      <c r="K12" s="211"/>
      <c r="L12" s="211"/>
      <c r="M12" s="135"/>
      <c r="N12" s="211"/>
      <c r="O12" s="219"/>
    </row>
    <row r="13" spans="1:33">
      <c r="A13" s="210" t="s">
        <v>174</v>
      </c>
      <c r="B13" s="211"/>
      <c r="C13" s="211"/>
      <c r="D13" s="211"/>
      <c r="E13" s="211"/>
      <c r="F13" s="211"/>
      <c r="G13" s="211"/>
      <c r="H13" s="211"/>
      <c r="I13" s="211"/>
      <c r="J13" s="211"/>
      <c r="K13" s="211" t="s">
        <v>175</v>
      </c>
      <c r="L13" s="211"/>
      <c r="M13" s="211"/>
      <c r="N13" s="211"/>
      <c r="O13" s="219"/>
    </row>
    <row r="14" spans="1:33" ht="14.45" customHeight="1">
      <c r="A14" s="210" t="s">
        <v>176</v>
      </c>
      <c r="B14" s="211"/>
      <c r="C14" s="168">
        <v>1</v>
      </c>
      <c r="D14" s="220">
        <v>13015969</v>
      </c>
      <c r="E14" s="221"/>
      <c r="F14" s="211" t="s">
        <v>177</v>
      </c>
      <c r="G14" s="211"/>
      <c r="H14" s="135">
        <v>1</v>
      </c>
      <c r="I14" s="220">
        <f>(H14*45778306)</f>
        <v>45778306</v>
      </c>
      <c r="J14" s="220"/>
      <c r="K14" s="211" t="s">
        <v>178</v>
      </c>
      <c r="L14" s="211"/>
      <c r="M14" s="222">
        <f>I6+I7</f>
        <v>158321512</v>
      </c>
      <c r="N14" s="211"/>
      <c r="O14" s="165"/>
    </row>
    <row r="15" spans="1:33">
      <c r="A15" s="210" t="s">
        <v>179</v>
      </c>
      <c r="B15" s="211"/>
      <c r="C15" s="168">
        <v>2</v>
      </c>
      <c r="D15" s="220">
        <f>(C15*19365713)</f>
        <v>38731426</v>
      </c>
      <c r="E15" s="221"/>
      <c r="F15" s="211" t="s">
        <v>180</v>
      </c>
      <c r="G15" s="211"/>
      <c r="H15" s="135">
        <v>1</v>
      </c>
      <c r="I15" s="220">
        <v>34822745</v>
      </c>
      <c r="J15" s="221"/>
      <c r="K15" s="222" t="s">
        <v>181</v>
      </c>
      <c r="L15" s="211"/>
      <c r="M15" s="222">
        <f>D17</f>
        <v>27757664</v>
      </c>
      <c r="N15" s="211"/>
      <c r="O15" s="172"/>
      <c r="Q15" s="222"/>
      <c r="R15" s="211"/>
      <c r="S15" s="222"/>
      <c r="T15" s="211"/>
      <c r="U15" s="222"/>
      <c r="V15" s="211"/>
      <c r="W15" s="222"/>
      <c r="X15" s="211"/>
      <c r="Y15" s="222"/>
      <c r="Z15" s="211"/>
      <c r="AA15" s="222"/>
      <c r="AB15" s="211"/>
      <c r="AC15" s="222"/>
      <c r="AD15" s="211"/>
      <c r="AE15" s="222"/>
      <c r="AF15" s="211"/>
      <c r="AG15" s="142"/>
    </row>
    <row r="16" spans="1:33">
      <c r="A16" s="210" t="s">
        <v>182</v>
      </c>
      <c r="B16" s="211"/>
      <c r="C16" s="168">
        <v>1</v>
      </c>
      <c r="D16" s="220">
        <f>21519233</f>
        <v>21519233</v>
      </c>
      <c r="E16" s="221"/>
      <c r="F16" s="211"/>
      <c r="G16" s="211"/>
      <c r="H16" s="135"/>
      <c r="I16" s="220"/>
      <c r="J16" s="221"/>
      <c r="K16" s="222" t="s">
        <v>183</v>
      </c>
      <c r="L16" s="211"/>
      <c r="M16" s="222">
        <f>SUM(I9+D15)</f>
        <v>94129061</v>
      </c>
      <c r="N16" s="211"/>
      <c r="O16" s="172"/>
      <c r="Q16" s="222"/>
      <c r="R16" s="211"/>
      <c r="S16" s="222"/>
      <c r="T16" s="211"/>
      <c r="U16" s="222"/>
      <c r="V16" s="211"/>
      <c r="W16" s="222"/>
      <c r="X16" s="211"/>
      <c r="Y16" s="222"/>
      <c r="Z16" s="211"/>
      <c r="AA16" s="222"/>
      <c r="AB16" s="211"/>
      <c r="AC16" s="222"/>
      <c r="AD16" s="211"/>
      <c r="AE16" s="222"/>
      <c r="AF16" s="211"/>
      <c r="AG16" s="142"/>
    </row>
    <row r="17" spans="1:33">
      <c r="A17" s="210" t="s">
        <v>184</v>
      </c>
      <c r="B17" s="211"/>
      <c r="C17" s="168">
        <v>1</v>
      </c>
      <c r="D17" s="220">
        <v>27757664</v>
      </c>
      <c r="E17" s="221"/>
      <c r="F17" s="211"/>
      <c r="G17" s="211"/>
      <c r="H17" s="135"/>
      <c r="I17" s="220"/>
      <c r="J17" s="221"/>
      <c r="K17" s="222" t="s">
        <v>185</v>
      </c>
      <c r="L17" s="211"/>
      <c r="M17" s="222">
        <f>I11</f>
        <v>31795915</v>
      </c>
      <c r="N17" s="211"/>
      <c r="O17" s="172"/>
      <c r="Q17" s="222"/>
      <c r="R17" s="211"/>
      <c r="S17" s="222"/>
      <c r="T17" s="211"/>
      <c r="U17" s="222"/>
      <c r="V17" s="211"/>
      <c r="W17" s="222"/>
      <c r="X17" s="211"/>
      <c r="Y17" s="222"/>
      <c r="Z17" s="211"/>
      <c r="AA17" s="222"/>
      <c r="AB17" s="211"/>
      <c r="AC17" s="222"/>
      <c r="AD17" s="211"/>
      <c r="AE17" s="222"/>
      <c r="AF17" s="211"/>
      <c r="AG17" s="142"/>
    </row>
    <row r="18" spans="1:33">
      <c r="A18" s="210" t="s">
        <v>186</v>
      </c>
      <c r="B18" s="211"/>
      <c r="C18" s="168">
        <v>1</v>
      </c>
      <c r="D18" s="220">
        <f>(C18*18999345)</f>
        <v>18999345</v>
      </c>
      <c r="E18" s="221"/>
      <c r="F18" s="211"/>
      <c r="G18" s="211"/>
      <c r="H18" s="135"/>
      <c r="I18" s="220"/>
      <c r="J18" s="221"/>
      <c r="K18" s="222" t="s">
        <v>187</v>
      </c>
      <c r="L18" s="211"/>
      <c r="M18" s="222">
        <f>SUM(D16+I10)</f>
        <v>76892746</v>
      </c>
      <c r="N18" s="211"/>
      <c r="O18" s="172"/>
      <c r="Q18" s="222"/>
      <c r="R18" s="211"/>
      <c r="S18" s="222"/>
      <c r="T18" s="211"/>
      <c r="U18" s="222"/>
      <c r="V18" s="211"/>
      <c r="W18" s="222"/>
      <c r="X18" s="211"/>
      <c r="Y18" s="222"/>
      <c r="Z18" s="211"/>
      <c r="AA18" s="222"/>
      <c r="AB18" s="211"/>
      <c r="AC18" s="222"/>
      <c r="AD18" s="211"/>
      <c r="AE18" s="222"/>
      <c r="AF18" s="211"/>
      <c r="AG18" s="142"/>
    </row>
    <row r="19" spans="1:33">
      <c r="A19" s="210" t="s">
        <v>188</v>
      </c>
      <c r="B19" s="211"/>
      <c r="C19" s="168">
        <v>2</v>
      </c>
      <c r="D19" s="220">
        <f>(C19*18656599)</f>
        <v>37313198</v>
      </c>
      <c r="E19" s="221"/>
      <c r="F19" s="211"/>
      <c r="G19" s="211"/>
      <c r="H19" s="135"/>
      <c r="I19" s="220"/>
      <c r="J19" s="221"/>
      <c r="K19" s="222" t="s">
        <v>189</v>
      </c>
      <c r="L19" s="211"/>
      <c r="M19" s="222">
        <f>SUM(I8+D14)</f>
        <v>44811884</v>
      </c>
      <c r="N19" s="211"/>
      <c r="O19" s="172"/>
      <c r="Q19" s="222"/>
      <c r="R19" s="211"/>
      <c r="S19" s="222"/>
      <c r="T19" s="211"/>
      <c r="U19" s="222"/>
      <c r="V19" s="211"/>
      <c r="W19" s="222"/>
      <c r="X19" s="211"/>
      <c r="Y19" s="222"/>
      <c r="Z19" s="211"/>
      <c r="AA19" s="222"/>
      <c r="AB19" s="211"/>
      <c r="AC19" s="222"/>
      <c r="AD19" s="211"/>
      <c r="AE19" s="222"/>
      <c r="AF19" s="211"/>
      <c r="AG19" s="142"/>
    </row>
    <row r="20" spans="1:33">
      <c r="A20" s="210"/>
      <c r="B20" s="211"/>
      <c r="C20" s="168"/>
      <c r="D20" s="220"/>
      <c r="E20" s="221"/>
      <c r="F20" s="211"/>
      <c r="G20" s="211"/>
      <c r="H20" s="135"/>
      <c r="I20" s="220"/>
      <c r="J20" s="221"/>
      <c r="K20" s="222" t="s">
        <v>190</v>
      </c>
      <c r="L20" s="211"/>
      <c r="M20" s="222">
        <f>SUM(D18+D17)</f>
        <v>46757009</v>
      </c>
      <c r="N20" s="211"/>
      <c r="O20" s="172"/>
      <c r="Q20" s="222"/>
      <c r="R20" s="211"/>
      <c r="S20" s="222"/>
      <c r="T20" s="211"/>
      <c r="U20" s="222"/>
      <c r="V20" s="211"/>
      <c r="W20" s="222"/>
      <c r="X20" s="211"/>
      <c r="Y20" s="222"/>
      <c r="Z20" s="211"/>
      <c r="AA20" s="222"/>
      <c r="AB20" s="211"/>
      <c r="AC20" s="222"/>
      <c r="AD20" s="211"/>
      <c r="AE20" s="222"/>
      <c r="AF20" s="211"/>
      <c r="AG20" s="142"/>
    </row>
    <row r="21" spans="1:33">
      <c r="A21" s="167"/>
      <c r="B21" s="135"/>
      <c r="C21" s="168"/>
      <c r="D21" s="169"/>
      <c r="E21" s="170"/>
      <c r="F21" s="135"/>
      <c r="G21" s="135"/>
      <c r="H21" s="135"/>
      <c r="I21" s="169"/>
      <c r="J21" s="170"/>
      <c r="K21" s="222" t="s">
        <v>191</v>
      </c>
      <c r="L21" s="222"/>
      <c r="M21" s="222">
        <f>SUM(I14:J15)</f>
        <v>80601051</v>
      </c>
      <c r="N21" s="222"/>
      <c r="O21" s="172"/>
      <c r="Q21" s="142"/>
      <c r="R21" s="135"/>
      <c r="S21" s="142"/>
      <c r="T21" s="135"/>
      <c r="U21" s="142"/>
      <c r="V21" s="135"/>
      <c r="W21" s="142"/>
      <c r="X21" s="135"/>
      <c r="Y21" s="142"/>
      <c r="Z21" s="135"/>
      <c r="AA21" s="142"/>
      <c r="AB21" s="135"/>
      <c r="AC21" s="142"/>
      <c r="AD21" s="135"/>
      <c r="AE21" s="142"/>
      <c r="AF21" s="135"/>
      <c r="AG21" s="142"/>
    </row>
    <row r="22" spans="1:33">
      <c r="A22" s="210"/>
      <c r="B22" s="211"/>
      <c r="C22" s="168"/>
      <c r="D22" s="220"/>
      <c r="E22" s="221"/>
      <c r="F22" s="211"/>
      <c r="G22" s="211"/>
      <c r="H22" s="135"/>
      <c r="I22" s="220"/>
      <c r="J22" s="221"/>
      <c r="K22" s="222" t="s">
        <v>192</v>
      </c>
      <c r="L22" s="211"/>
      <c r="M22" s="222">
        <f>SUM(D19)</f>
        <v>37313198</v>
      </c>
      <c r="N22" s="211"/>
      <c r="O22" s="172"/>
      <c r="Q22" s="222"/>
      <c r="R22" s="211"/>
      <c r="S22" s="222"/>
      <c r="T22" s="211"/>
      <c r="U22" s="222"/>
      <c r="V22" s="211"/>
      <c r="W22" s="222"/>
      <c r="X22" s="211"/>
      <c r="Y22" s="222"/>
      <c r="Z22" s="211"/>
      <c r="AA22" s="222"/>
      <c r="AB22" s="211"/>
      <c r="AC22" s="222"/>
      <c r="AD22" s="211"/>
      <c r="AE22" s="222"/>
      <c r="AF22" s="211"/>
      <c r="AG22" s="142"/>
    </row>
    <row r="23" spans="1:33">
      <c r="A23" s="210"/>
      <c r="B23" s="211"/>
      <c r="C23" s="168"/>
      <c r="D23" s="220"/>
      <c r="E23" s="221"/>
      <c r="F23" s="211"/>
      <c r="G23" s="211"/>
      <c r="H23" s="135"/>
      <c r="I23" s="211"/>
      <c r="J23" s="211"/>
      <c r="K23" s="208" t="s">
        <v>193</v>
      </c>
      <c r="L23" s="208"/>
      <c r="M23" s="142">
        <f>SUM(I6,I8,I10,I7,I11,D14,D16,D17,D18,D19)</f>
        <v>395892264</v>
      </c>
      <c r="N23" s="211"/>
      <c r="O23" s="219"/>
    </row>
    <row r="24" spans="1:33">
      <c r="A24" s="207" t="s">
        <v>173</v>
      </c>
      <c r="B24" s="208"/>
      <c r="C24" s="171">
        <f>SUM(C14:C23)</f>
        <v>8</v>
      </c>
      <c r="D24" s="227">
        <f>SUM(D14:E23)</f>
        <v>157336835</v>
      </c>
      <c r="E24" s="228"/>
      <c r="F24" s="208" t="s">
        <v>173</v>
      </c>
      <c r="G24" s="208"/>
      <c r="H24" s="171">
        <f>SUM(H14:H22)</f>
        <v>2</v>
      </c>
      <c r="I24" s="227">
        <f>SUM(I14:J22)</f>
        <v>80601051</v>
      </c>
      <c r="J24" s="228"/>
      <c r="K24" s="208" t="s">
        <v>194</v>
      </c>
      <c r="L24" s="208"/>
      <c r="M24" s="142">
        <f>SUM(I9+D15)</f>
        <v>94129061</v>
      </c>
      <c r="N24" s="211"/>
      <c r="O24" s="219"/>
    </row>
    <row r="25" spans="1:33">
      <c r="A25" s="210" t="s">
        <v>195</v>
      </c>
      <c r="B25" s="211"/>
      <c r="C25" s="211"/>
      <c r="D25" s="211"/>
      <c r="E25" s="211"/>
      <c r="F25" s="211"/>
      <c r="G25" s="211"/>
      <c r="H25" s="168">
        <f>SUM(C24+H24+H12)</f>
        <v>16</v>
      </c>
      <c r="I25" s="227">
        <f>SUM(I12+D24+I24)</f>
        <v>570622376</v>
      </c>
      <c r="J25" s="228"/>
      <c r="K25" s="208" t="s">
        <v>196</v>
      </c>
      <c r="L25" s="208"/>
      <c r="M25" s="142">
        <f>SUM(I14:J15)</f>
        <v>80601051</v>
      </c>
      <c r="N25" s="211" t="s">
        <v>197</v>
      </c>
      <c r="O25" s="219"/>
    </row>
    <row r="26" spans="1:33">
      <c r="A26" s="210" t="s">
        <v>198</v>
      </c>
      <c r="B26" s="211"/>
      <c r="C26" s="211"/>
      <c r="D26" s="211"/>
      <c r="E26" s="211"/>
      <c r="F26" s="211"/>
      <c r="G26" s="211"/>
      <c r="H26" s="209">
        <f>SUM(D24+I12+I24)</f>
        <v>570622376</v>
      </c>
      <c r="I26" s="209"/>
      <c r="J26" s="209"/>
      <c r="K26" s="209" t="s">
        <v>199</v>
      </c>
      <c r="L26" s="209"/>
      <c r="M26" s="142">
        <f>(SUM(M23:M25)/12)</f>
        <v>47551864.666666664</v>
      </c>
      <c r="N26" s="222">
        <f>M26*3</f>
        <v>142655594</v>
      </c>
      <c r="O26" s="219"/>
    </row>
    <row r="27" spans="1:33" ht="15.75" thickBot="1">
      <c r="A27" s="238" t="s">
        <v>200</v>
      </c>
      <c r="B27" s="213"/>
      <c r="C27" s="213"/>
      <c r="D27" s="213"/>
      <c r="E27" s="213"/>
      <c r="F27" s="213"/>
      <c r="G27" s="213"/>
      <c r="H27" s="138">
        <v>1</v>
      </c>
      <c r="I27" s="239">
        <v>28000000</v>
      </c>
      <c r="J27" s="213"/>
      <c r="K27" s="215"/>
      <c r="L27" s="215"/>
      <c r="M27" s="137"/>
      <c r="N27" s="215"/>
      <c r="O27" s="240"/>
    </row>
    <row r="28" spans="1:33" ht="15.75" thickBot="1">
      <c r="A28" s="235" t="s">
        <v>201</v>
      </c>
      <c r="B28" s="236"/>
      <c r="C28" s="236"/>
      <c r="D28" s="236"/>
      <c r="E28" s="236"/>
      <c r="F28" s="236"/>
      <c r="G28" s="237"/>
      <c r="H28" s="230">
        <f>SUM(I24+D24+I12+I27)</f>
        <v>598622376</v>
      </c>
      <c r="I28" s="231"/>
      <c r="J28" s="231"/>
      <c r="K28" s="231"/>
      <c r="L28" s="231"/>
      <c r="M28" s="231"/>
      <c r="N28" s="231"/>
      <c r="O28" s="232"/>
    </row>
    <row r="29" spans="1:33">
      <c r="A29" s="224"/>
      <c r="B29" s="224"/>
      <c r="C29" s="224"/>
      <c r="D29" s="224"/>
      <c r="E29" s="224"/>
      <c r="F29" s="224"/>
      <c r="G29" s="224"/>
      <c r="H29" s="224"/>
      <c r="I29" s="224"/>
      <c r="J29" s="224"/>
      <c r="K29" s="224"/>
      <c r="L29" s="224"/>
      <c r="M29" s="224"/>
      <c r="N29" s="224"/>
      <c r="O29" s="224"/>
    </row>
    <row r="30" spans="1:33">
      <c r="A30" s="211"/>
      <c r="B30" s="211"/>
      <c r="C30" s="211"/>
      <c r="D30" s="211"/>
      <c r="E30" s="211"/>
      <c r="F30" s="211"/>
      <c r="G30" s="211"/>
      <c r="H30" s="211"/>
      <c r="I30" s="211"/>
      <c r="J30" s="211"/>
      <c r="K30" s="211"/>
      <c r="L30" s="211"/>
      <c r="M30" s="211"/>
      <c r="N30" s="211"/>
      <c r="O30" s="211"/>
    </row>
    <row r="31" spans="1:33" ht="15.75" thickBot="1">
      <c r="A31" s="215"/>
      <c r="B31" s="215"/>
      <c r="C31" s="215"/>
      <c r="D31" s="215"/>
      <c r="E31" s="215"/>
      <c r="F31" s="215"/>
      <c r="G31" s="215"/>
      <c r="H31" s="215"/>
      <c r="I31" s="215"/>
      <c r="J31" s="215"/>
      <c r="K31" s="215"/>
      <c r="L31" s="215"/>
      <c r="M31" s="215"/>
      <c r="N31" s="215"/>
      <c r="O31" s="215"/>
    </row>
    <row r="32" spans="1:33">
      <c r="A32" s="226" t="s">
        <v>202</v>
      </c>
      <c r="B32" s="223"/>
      <c r="C32" s="173" t="s">
        <v>163</v>
      </c>
      <c r="D32" s="223" t="s">
        <v>164</v>
      </c>
      <c r="E32" s="223"/>
      <c r="F32" s="139" t="s">
        <v>163</v>
      </c>
      <c r="G32" s="174" t="s">
        <v>203</v>
      </c>
      <c r="H32" s="139"/>
      <c r="I32" s="224"/>
      <c r="J32" s="224"/>
      <c r="K32" s="224"/>
      <c r="L32" s="224"/>
      <c r="M32" s="139"/>
      <c r="N32" s="224"/>
      <c r="O32" s="229"/>
    </row>
    <row r="33" spans="1:15">
      <c r="A33" s="210" t="s">
        <v>204</v>
      </c>
      <c r="B33" s="211"/>
      <c r="C33" s="211"/>
      <c r="D33" s="211"/>
      <c r="E33" s="211"/>
      <c r="F33" s="135">
        <v>1</v>
      </c>
      <c r="G33" s="161">
        <v>38863464</v>
      </c>
      <c r="H33" s="135"/>
      <c r="I33" s="175"/>
      <c r="K33" s="211"/>
      <c r="L33" s="211"/>
      <c r="M33" s="135"/>
      <c r="N33" s="211"/>
      <c r="O33" s="219"/>
    </row>
    <row r="34" spans="1:15">
      <c r="A34" s="210" t="s">
        <v>205</v>
      </c>
      <c r="B34" s="211"/>
      <c r="C34" s="211"/>
      <c r="D34" s="211"/>
      <c r="E34" s="211"/>
      <c r="F34" s="135">
        <v>1</v>
      </c>
      <c r="G34" s="161">
        <v>8000000</v>
      </c>
      <c r="H34" s="135"/>
      <c r="I34" s="175"/>
      <c r="K34" s="211"/>
      <c r="L34" s="211"/>
      <c r="M34" s="135"/>
      <c r="N34" s="211"/>
      <c r="O34" s="219"/>
    </row>
    <row r="35" spans="1:15">
      <c r="A35" s="210" t="s">
        <v>206</v>
      </c>
      <c r="B35" s="211"/>
      <c r="C35" s="211"/>
      <c r="D35" s="211"/>
      <c r="E35" s="211"/>
      <c r="F35" s="135">
        <v>1</v>
      </c>
      <c r="G35" s="161">
        <v>433900</v>
      </c>
      <c r="H35" s="135"/>
      <c r="I35" s="175"/>
      <c r="K35" s="135"/>
      <c r="L35" s="135"/>
      <c r="M35" s="135"/>
      <c r="N35" s="135"/>
      <c r="O35" s="136"/>
    </row>
    <row r="36" spans="1:15">
      <c r="A36" s="210" t="s">
        <v>207</v>
      </c>
      <c r="B36" s="211"/>
      <c r="C36" s="211"/>
      <c r="D36" s="211"/>
      <c r="E36" s="211"/>
      <c r="F36" s="135">
        <v>1</v>
      </c>
      <c r="G36" s="161">
        <v>390900</v>
      </c>
      <c r="H36" s="135"/>
      <c r="I36" s="175"/>
      <c r="K36" s="135"/>
      <c r="L36" s="135"/>
      <c r="M36" s="135"/>
      <c r="N36" s="135"/>
      <c r="O36" s="136"/>
    </row>
    <row r="37" spans="1:15" ht="15" customHeight="1">
      <c r="A37" s="210" t="s">
        <v>208</v>
      </c>
      <c r="B37" s="211"/>
      <c r="C37" s="211"/>
      <c r="D37" s="211"/>
      <c r="E37" s="211"/>
      <c r="F37" s="135">
        <v>1</v>
      </c>
      <c r="G37" s="161">
        <v>558000</v>
      </c>
      <c r="H37" s="135"/>
      <c r="I37" s="175"/>
      <c r="K37" s="147"/>
      <c r="L37" s="251" t="s">
        <v>209</v>
      </c>
      <c r="M37" s="251"/>
      <c r="N37" s="251"/>
      <c r="O37" s="148"/>
    </row>
    <row r="38" spans="1:15" ht="15" customHeight="1">
      <c r="A38" s="210" t="s">
        <v>210</v>
      </c>
      <c r="B38" s="211"/>
      <c r="C38" s="211"/>
      <c r="D38" s="211"/>
      <c r="E38" s="211"/>
      <c r="F38" s="135" t="s">
        <v>211</v>
      </c>
      <c r="G38" s="161">
        <v>9872640</v>
      </c>
      <c r="H38" s="135"/>
      <c r="I38" s="175"/>
      <c r="K38" s="147"/>
      <c r="L38" s="251"/>
      <c r="M38" s="251"/>
      <c r="N38" s="251"/>
      <c r="O38" s="148"/>
    </row>
    <row r="39" spans="1:15">
      <c r="A39" s="207" t="s">
        <v>173</v>
      </c>
      <c r="B39" s="208"/>
      <c r="C39" s="208"/>
      <c r="D39" s="208"/>
      <c r="E39" s="208"/>
      <c r="F39" s="208"/>
      <c r="G39" s="163">
        <f>SUM(G33:H38)</f>
        <v>58118904</v>
      </c>
      <c r="H39" s="153"/>
      <c r="I39" s="176"/>
      <c r="J39" s="176"/>
      <c r="K39" s="135"/>
      <c r="L39" s="251"/>
      <c r="M39" s="251"/>
      <c r="N39" s="251"/>
      <c r="O39" s="136"/>
    </row>
    <row r="40" spans="1:15">
      <c r="A40" s="207" t="s">
        <v>212</v>
      </c>
      <c r="B40" s="208"/>
      <c r="C40" s="208"/>
      <c r="D40" s="208"/>
      <c r="E40" s="208"/>
      <c r="F40" s="208"/>
      <c r="G40" s="208"/>
      <c r="H40" s="162"/>
      <c r="I40" s="163"/>
      <c r="J40" s="163"/>
      <c r="K40" s="135"/>
      <c r="L40" s="164"/>
      <c r="M40" s="164"/>
      <c r="N40" s="164"/>
      <c r="O40" s="136"/>
    </row>
    <row r="41" spans="1:15">
      <c r="A41" s="210" t="s">
        <v>213</v>
      </c>
      <c r="B41" s="211"/>
      <c r="C41" s="135">
        <v>1</v>
      </c>
      <c r="D41" s="250">
        <f>4000000*12</f>
        <v>48000000</v>
      </c>
      <c r="E41" s="250"/>
      <c r="F41" s="211"/>
      <c r="G41" s="211"/>
      <c r="H41" s="135"/>
      <c r="I41" s="225"/>
      <c r="J41" s="211"/>
      <c r="K41" s="211"/>
      <c r="L41" s="211"/>
      <c r="M41" s="135"/>
      <c r="N41" s="211"/>
      <c r="O41" s="219"/>
    </row>
    <row r="42" spans="1:15">
      <c r="A42" s="210" t="s">
        <v>214</v>
      </c>
      <c r="B42" s="211"/>
      <c r="C42" s="135">
        <v>10</v>
      </c>
      <c r="D42" s="250">
        <v>16000000</v>
      </c>
      <c r="E42" s="250"/>
      <c r="F42" s="211"/>
      <c r="G42" s="211"/>
      <c r="H42" s="135"/>
      <c r="I42" s="225"/>
      <c r="J42" s="211"/>
      <c r="K42" s="145"/>
      <c r="L42" s="145"/>
      <c r="M42" s="145"/>
      <c r="N42" s="145"/>
      <c r="O42" s="146"/>
    </row>
    <row r="43" spans="1:15">
      <c r="A43" s="210" t="s">
        <v>215</v>
      </c>
      <c r="B43" s="211"/>
      <c r="C43" s="135">
        <v>6</v>
      </c>
      <c r="D43" s="250">
        <v>18000000</v>
      </c>
      <c r="E43" s="250"/>
      <c r="F43" s="211"/>
      <c r="G43" s="211"/>
      <c r="H43" s="135"/>
      <c r="I43" s="225"/>
      <c r="J43" s="225"/>
      <c r="K43" s="145"/>
      <c r="L43" s="145"/>
      <c r="M43" s="145"/>
      <c r="N43" s="145"/>
      <c r="O43" s="146"/>
    </row>
    <row r="44" spans="1:15">
      <c r="A44" s="210" t="s">
        <v>216</v>
      </c>
      <c r="B44" s="211"/>
      <c r="C44" s="135">
        <v>7</v>
      </c>
      <c r="D44" s="250">
        <v>1204350</v>
      </c>
      <c r="E44" s="250"/>
      <c r="F44" s="211"/>
      <c r="G44" s="211"/>
      <c r="H44" s="135"/>
      <c r="I44" s="225"/>
      <c r="J44" s="211"/>
      <c r="K44" s="145"/>
      <c r="L44" s="150" t="s">
        <v>217</v>
      </c>
      <c r="M44" s="149">
        <f>SUM(D45+G39)</f>
        <v>141323254</v>
      </c>
      <c r="N44" s="183">
        <f>M44/12</f>
        <v>11776937.833333334</v>
      </c>
      <c r="O44" s="146"/>
    </row>
    <row r="45" spans="1:15">
      <c r="A45" s="207" t="s">
        <v>173</v>
      </c>
      <c r="B45" s="208"/>
      <c r="C45" s="208"/>
      <c r="D45" s="209">
        <f>SUM(D41:E44)</f>
        <v>83204350</v>
      </c>
      <c r="E45" s="209"/>
      <c r="F45" s="208"/>
      <c r="G45" s="208"/>
      <c r="H45" s="213"/>
      <c r="I45" s="239"/>
      <c r="J45" s="213"/>
      <c r="K45" s="215"/>
      <c r="L45" s="215"/>
      <c r="M45" s="137"/>
      <c r="N45" s="215"/>
      <c r="O45" s="240"/>
    </row>
    <row r="46" spans="1:15">
      <c r="A46" s="247" t="s">
        <v>201</v>
      </c>
      <c r="B46" s="248"/>
      <c r="C46" s="248"/>
      <c r="D46" s="248"/>
      <c r="E46" s="248"/>
      <c r="F46" s="248"/>
      <c r="G46" s="249"/>
      <c r="H46" s="231"/>
      <c r="I46" s="231"/>
      <c r="J46" s="231"/>
      <c r="K46" s="231"/>
      <c r="L46" s="231"/>
      <c r="M46" s="231"/>
      <c r="N46" s="231"/>
      <c r="O46" s="232"/>
    </row>
    <row r="47" spans="1:15">
      <c r="A47" s="211"/>
      <c r="B47" s="211"/>
      <c r="C47" s="211"/>
      <c r="D47" s="211"/>
      <c r="E47" s="211"/>
      <c r="F47" s="211"/>
      <c r="G47" s="211"/>
      <c r="H47" s="224"/>
      <c r="I47" s="224"/>
      <c r="J47" s="224"/>
      <c r="K47" s="224"/>
      <c r="L47" s="224"/>
      <c r="M47" s="224"/>
      <c r="N47" s="224"/>
      <c r="O47" s="224"/>
    </row>
    <row r="48" spans="1:15">
      <c r="A48" s="211"/>
      <c r="B48" s="211"/>
      <c r="C48" s="211"/>
      <c r="D48" s="211"/>
      <c r="E48" s="211"/>
      <c r="F48" s="211"/>
      <c r="G48" s="211"/>
      <c r="H48" s="211"/>
      <c r="I48" s="211"/>
      <c r="J48" s="211"/>
      <c r="K48" s="211"/>
      <c r="L48" s="211"/>
      <c r="M48" s="211"/>
      <c r="N48" s="211"/>
      <c r="O48" s="211"/>
    </row>
    <row r="49" spans="1:15" ht="15.75" thickBot="1">
      <c r="A49" s="211"/>
      <c r="B49" s="211"/>
      <c r="C49" s="211"/>
      <c r="D49" s="211"/>
      <c r="E49" s="211"/>
      <c r="F49" s="211"/>
      <c r="G49" s="211"/>
      <c r="H49" s="211"/>
      <c r="I49" s="211"/>
      <c r="J49" s="211"/>
      <c r="K49" s="211"/>
      <c r="L49" s="211"/>
      <c r="M49" s="211"/>
      <c r="N49" s="211"/>
      <c r="O49" s="211"/>
    </row>
    <row r="50" spans="1:15">
      <c r="A50" s="241" t="s">
        <v>218</v>
      </c>
      <c r="B50" s="242"/>
      <c r="C50" s="242"/>
      <c r="D50" s="242"/>
      <c r="E50" s="242"/>
      <c r="F50" s="242"/>
      <c r="G50" s="242"/>
      <c r="H50" s="242"/>
      <c r="I50" s="242"/>
      <c r="J50" s="242"/>
      <c r="K50" s="242"/>
      <c r="L50" s="242"/>
      <c r="M50" s="242"/>
      <c r="N50" s="242"/>
      <c r="O50" s="243"/>
    </row>
    <row r="51" spans="1:15">
      <c r="A51" s="244"/>
      <c r="B51" s="245"/>
      <c r="C51" s="245"/>
      <c r="D51" s="245"/>
      <c r="E51" s="245"/>
      <c r="F51" s="245"/>
      <c r="G51" s="245"/>
      <c r="H51" s="245"/>
      <c r="I51" s="245"/>
      <c r="J51" s="245"/>
      <c r="K51" s="245"/>
      <c r="L51" s="245"/>
      <c r="M51" s="245"/>
      <c r="N51" s="245"/>
      <c r="O51" s="246"/>
    </row>
    <row r="52" spans="1:15">
      <c r="A52" s="207" t="s">
        <v>219</v>
      </c>
      <c r="B52" s="208"/>
      <c r="C52" s="208"/>
      <c r="D52" s="208"/>
      <c r="E52" s="208"/>
      <c r="F52" s="211" t="s">
        <v>164</v>
      </c>
      <c r="G52" s="211"/>
      <c r="H52" s="233">
        <v>163537519</v>
      </c>
      <c r="I52" s="208"/>
      <c r="J52" s="208" t="s">
        <v>220</v>
      </c>
      <c r="K52" s="208"/>
      <c r="L52" s="208"/>
      <c r="M52" s="135" t="s">
        <v>164</v>
      </c>
      <c r="N52" s="233">
        <v>120755899</v>
      </c>
      <c r="O52" s="234"/>
    </row>
    <row r="53" spans="1:15">
      <c r="A53" s="210" t="s">
        <v>221</v>
      </c>
      <c r="B53" s="211"/>
      <c r="C53" s="212" t="s">
        <v>164</v>
      </c>
      <c r="D53" s="212"/>
      <c r="E53" s="212"/>
      <c r="F53" s="217">
        <v>2000000</v>
      </c>
      <c r="G53" s="217"/>
      <c r="H53" s="135"/>
      <c r="J53" s="211" t="s">
        <v>221</v>
      </c>
      <c r="K53" s="211"/>
      <c r="L53" s="135" t="s">
        <v>164</v>
      </c>
      <c r="M53" s="177"/>
      <c r="N53" s="211"/>
      <c r="O53" s="219"/>
    </row>
    <row r="54" spans="1:15">
      <c r="A54" s="210"/>
      <c r="B54" s="211"/>
      <c r="C54" s="212"/>
      <c r="D54" s="212"/>
      <c r="E54" s="212"/>
      <c r="F54" s="217"/>
      <c r="G54" s="217"/>
      <c r="H54" s="135"/>
      <c r="J54" s="211"/>
      <c r="K54" s="211"/>
      <c r="L54" s="135"/>
      <c r="M54" s="177"/>
      <c r="O54" s="165"/>
    </row>
    <row r="55" spans="1:15">
      <c r="A55" s="210"/>
      <c r="B55" s="211"/>
      <c r="C55" s="212"/>
      <c r="D55" s="212"/>
      <c r="E55" s="212"/>
      <c r="F55" s="217"/>
      <c r="G55" s="217"/>
      <c r="H55" s="135"/>
      <c r="J55" s="211"/>
      <c r="K55" s="211"/>
      <c r="M55" s="177"/>
      <c r="O55" s="165"/>
    </row>
    <row r="56" spans="1:15">
      <c r="A56" s="210"/>
      <c r="B56" s="211"/>
      <c r="C56" s="212"/>
      <c r="D56" s="212"/>
      <c r="E56" s="212"/>
      <c r="F56" s="217"/>
      <c r="G56" s="217"/>
      <c r="H56" s="135"/>
      <c r="J56" s="211"/>
      <c r="K56" s="211"/>
      <c r="M56" s="177"/>
      <c r="O56" s="165"/>
    </row>
    <row r="57" spans="1:15">
      <c r="A57" s="210"/>
      <c r="B57" s="211"/>
      <c r="C57" s="212"/>
      <c r="D57" s="212"/>
      <c r="E57" s="212"/>
      <c r="F57" s="217"/>
      <c r="G57" s="217"/>
      <c r="H57" s="135"/>
      <c r="J57" s="211"/>
      <c r="K57" s="211"/>
      <c r="M57" s="177"/>
      <c r="O57" s="165"/>
    </row>
    <row r="58" spans="1:15">
      <c r="A58" s="210"/>
      <c r="B58" s="211"/>
      <c r="C58" s="212"/>
      <c r="D58" s="212"/>
      <c r="E58" s="212"/>
      <c r="F58" s="217"/>
      <c r="G58" s="217"/>
      <c r="H58" s="135"/>
      <c r="J58" s="211"/>
      <c r="K58" s="211"/>
      <c r="M58" s="177"/>
      <c r="O58" s="165"/>
    </row>
    <row r="59" spans="1:15">
      <c r="A59" s="210"/>
      <c r="B59" s="211"/>
      <c r="C59" s="212"/>
      <c r="D59" s="212"/>
      <c r="E59" s="212"/>
      <c r="F59" s="217"/>
      <c r="G59" s="217"/>
      <c r="H59" s="135"/>
      <c r="J59" s="211"/>
      <c r="K59" s="211"/>
      <c r="M59" s="177"/>
      <c r="O59" s="165"/>
    </row>
    <row r="60" spans="1:15" ht="15" customHeight="1">
      <c r="A60" s="210"/>
      <c r="B60" s="211"/>
      <c r="C60" s="212"/>
      <c r="D60" s="212"/>
      <c r="E60" s="212"/>
      <c r="F60" s="217"/>
      <c r="G60" s="217"/>
      <c r="H60" s="141"/>
      <c r="I60" s="141"/>
      <c r="J60" s="211"/>
      <c r="K60" s="211"/>
      <c r="L60" s="141"/>
      <c r="M60" s="178"/>
      <c r="N60" s="141"/>
      <c r="O60" s="179"/>
    </row>
    <row r="61" spans="1:15" ht="15" customHeight="1">
      <c r="A61" s="210"/>
      <c r="B61" s="211"/>
      <c r="C61" s="212"/>
      <c r="D61" s="212"/>
      <c r="E61" s="212"/>
      <c r="F61" s="217"/>
      <c r="G61" s="217"/>
      <c r="H61" s="141"/>
      <c r="I61" s="141"/>
      <c r="J61" s="208" t="s">
        <v>173</v>
      </c>
      <c r="K61" s="208"/>
      <c r="L61" s="208"/>
      <c r="M61" s="180"/>
      <c r="N61" s="141"/>
      <c r="O61" s="179"/>
    </row>
    <row r="62" spans="1:15">
      <c r="A62" s="207" t="s">
        <v>173</v>
      </c>
      <c r="B62" s="208"/>
      <c r="C62" s="208"/>
      <c r="D62" s="208"/>
      <c r="E62" s="208"/>
      <c r="F62" s="209">
        <f>SUM(F53:G61)</f>
        <v>2000000</v>
      </c>
      <c r="G62" s="209"/>
      <c r="I62" s="153"/>
      <c r="J62" s="153"/>
      <c r="K62" s="153"/>
      <c r="L62" s="153"/>
      <c r="M62" s="144">
        <f>SUM(M53:M61)</f>
        <v>0</v>
      </c>
      <c r="O62" s="165"/>
    </row>
    <row r="63" spans="1:15">
      <c r="A63" s="207" t="s">
        <v>222</v>
      </c>
      <c r="B63" s="208"/>
      <c r="C63" s="208"/>
      <c r="D63" s="208"/>
      <c r="E63" s="208"/>
      <c r="F63" s="209" t="s">
        <v>164</v>
      </c>
      <c r="G63" s="209"/>
      <c r="I63" s="162"/>
      <c r="J63" s="162"/>
      <c r="K63" s="162"/>
      <c r="L63" s="162"/>
      <c r="M63" s="144"/>
      <c r="O63" s="165"/>
    </row>
    <row r="64" spans="1:15">
      <c r="A64" s="210" t="s">
        <v>221</v>
      </c>
      <c r="B64" s="211"/>
      <c r="C64" s="212" t="s">
        <v>164</v>
      </c>
      <c r="D64" s="212"/>
      <c r="E64" s="212"/>
      <c r="F64" s="217">
        <v>2000000</v>
      </c>
      <c r="G64" s="217"/>
      <c r="I64" s="162"/>
      <c r="J64" s="162"/>
      <c r="K64" s="162"/>
      <c r="L64" s="162"/>
      <c r="M64" s="144"/>
      <c r="O64" s="165"/>
    </row>
    <row r="65" spans="1:15">
      <c r="A65" s="210"/>
      <c r="B65" s="211"/>
      <c r="C65" s="212"/>
      <c r="D65" s="212"/>
      <c r="E65" s="212"/>
      <c r="F65" s="217"/>
      <c r="G65" s="217"/>
      <c r="I65" s="162"/>
      <c r="J65" s="162"/>
      <c r="K65" s="162"/>
      <c r="L65" s="162"/>
      <c r="M65" s="144"/>
      <c r="O65" s="165"/>
    </row>
    <row r="66" spans="1:15">
      <c r="A66" s="210"/>
      <c r="B66" s="211"/>
      <c r="C66" s="212"/>
      <c r="D66" s="212"/>
      <c r="E66" s="212"/>
      <c r="F66" s="217"/>
      <c r="G66" s="217"/>
      <c r="I66" s="162"/>
      <c r="J66" s="162"/>
      <c r="K66" s="162"/>
      <c r="L66" s="162"/>
      <c r="M66" s="144"/>
      <c r="O66" s="165"/>
    </row>
    <row r="67" spans="1:15">
      <c r="A67" s="210"/>
      <c r="B67" s="211"/>
      <c r="C67" s="212"/>
      <c r="D67" s="212"/>
      <c r="E67" s="212"/>
      <c r="F67" s="217"/>
      <c r="G67" s="217"/>
      <c r="I67" s="162"/>
      <c r="J67" s="162"/>
      <c r="K67" s="162"/>
      <c r="L67" s="162"/>
      <c r="M67" s="144"/>
      <c r="O67" s="165"/>
    </row>
    <row r="68" spans="1:15">
      <c r="A68" s="210"/>
      <c r="B68" s="211"/>
      <c r="C68" s="212"/>
      <c r="D68" s="212"/>
      <c r="E68" s="212"/>
      <c r="F68" s="217"/>
      <c r="G68" s="217"/>
      <c r="I68" s="162"/>
      <c r="J68" s="162"/>
      <c r="K68" s="162"/>
      <c r="L68" s="162"/>
      <c r="M68" s="144"/>
      <c r="O68" s="165"/>
    </row>
    <row r="69" spans="1:15">
      <c r="A69" s="210"/>
      <c r="B69" s="211"/>
      <c r="C69" s="212"/>
      <c r="D69" s="212"/>
      <c r="E69" s="212"/>
      <c r="F69" s="217"/>
      <c r="G69" s="217"/>
      <c r="I69" s="162"/>
      <c r="J69" s="162"/>
      <c r="K69" s="162"/>
      <c r="L69" s="162"/>
      <c r="M69" s="144"/>
      <c r="O69" s="165"/>
    </row>
    <row r="70" spans="1:15" ht="15.75" thickBot="1">
      <c r="A70" s="214"/>
      <c r="B70" s="215"/>
      <c r="C70" s="216"/>
      <c r="D70" s="216"/>
      <c r="E70" s="216"/>
      <c r="F70" s="218"/>
      <c r="G70" s="218"/>
      <c r="H70" s="181"/>
      <c r="I70" s="213" t="s">
        <v>223</v>
      </c>
      <c r="J70" s="213"/>
      <c r="K70" s="213"/>
      <c r="L70" s="213"/>
      <c r="M70" s="181"/>
      <c r="N70" s="181"/>
      <c r="O70" s="182"/>
    </row>
    <row r="73" spans="1:15" ht="15" customHeight="1">
      <c r="A73" s="245" t="s">
        <v>218</v>
      </c>
      <c r="B73" s="245"/>
      <c r="C73" s="245"/>
      <c r="D73" s="245"/>
      <c r="E73" s="245"/>
      <c r="F73" s="141"/>
      <c r="G73" s="245" t="s">
        <v>224</v>
      </c>
      <c r="H73" s="245"/>
      <c r="I73" s="245"/>
      <c r="J73" s="245"/>
      <c r="K73" s="245"/>
      <c r="L73" s="245" t="s">
        <v>225</v>
      </c>
      <c r="M73" s="141"/>
      <c r="N73" s="141"/>
    </row>
    <row r="74" spans="1:15" ht="15" customHeight="1">
      <c r="A74" s="245"/>
      <c r="B74" s="245"/>
      <c r="C74" s="245"/>
      <c r="D74" s="245"/>
      <c r="E74" s="245"/>
      <c r="F74" s="141"/>
      <c r="G74" s="245"/>
      <c r="H74" s="245"/>
      <c r="I74" s="245"/>
      <c r="J74" s="245"/>
      <c r="K74" s="245"/>
      <c r="L74" s="245"/>
      <c r="M74" s="141"/>
      <c r="N74" s="141"/>
    </row>
    <row r="75" spans="1:15">
      <c r="A75" s="211" t="s">
        <v>226</v>
      </c>
      <c r="B75" s="211"/>
      <c r="D75" s="211"/>
      <c r="E75" s="211"/>
      <c r="G75" s="211" t="s">
        <v>227</v>
      </c>
      <c r="H75" s="211"/>
      <c r="I75" s="211"/>
      <c r="J75" s="211"/>
      <c r="K75" s="211"/>
      <c r="L75" s="143">
        <v>88000</v>
      </c>
    </row>
    <row r="76" spans="1:15">
      <c r="A76" t="s">
        <v>228</v>
      </c>
      <c r="B76" s="151">
        <f>M62</f>
        <v>0</v>
      </c>
      <c r="G76" s="211" t="s">
        <v>229</v>
      </c>
      <c r="H76" s="211"/>
      <c r="I76" s="211"/>
      <c r="J76" s="211"/>
      <c r="K76" s="211"/>
      <c r="L76" s="143">
        <v>1363000</v>
      </c>
    </row>
    <row r="77" spans="1:15">
      <c r="A77" t="s">
        <v>230</v>
      </c>
      <c r="B77" s="152">
        <f>H26</f>
        <v>570622376</v>
      </c>
      <c r="G77" s="211" t="s">
        <v>231</v>
      </c>
      <c r="H77" s="211"/>
      <c r="I77" s="211"/>
      <c r="J77" s="211"/>
      <c r="K77" s="211"/>
      <c r="L77" s="143">
        <v>78000</v>
      </c>
    </row>
    <row r="78" spans="1:15">
      <c r="A78" t="s">
        <v>232</v>
      </c>
      <c r="B78" s="151">
        <f>M44</f>
        <v>141323254</v>
      </c>
      <c r="G78" s="211" t="s">
        <v>233</v>
      </c>
      <c r="H78" s="211"/>
      <c r="I78" s="211"/>
      <c r="J78" s="211"/>
      <c r="K78" s="211"/>
      <c r="L78" s="143">
        <v>770500</v>
      </c>
    </row>
    <row r="79" spans="1:15">
      <c r="A79" s="153" t="s">
        <v>173</v>
      </c>
      <c r="B79" s="144">
        <f>SUM(B76:B78)</f>
        <v>711945630</v>
      </c>
      <c r="C79" s="143">
        <f>B79/2</f>
        <v>355972815</v>
      </c>
      <c r="G79" s="208" t="s">
        <v>234</v>
      </c>
      <c r="H79" s="208"/>
      <c r="I79" s="208"/>
      <c r="J79" s="208"/>
      <c r="K79" s="208"/>
      <c r="L79" s="144">
        <f>SUM(L75:L78)</f>
        <v>2299500</v>
      </c>
    </row>
    <row r="81" spans="1:13">
      <c r="A81" t="s">
        <v>235</v>
      </c>
      <c r="B81" s="154">
        <f>B79/40</f>
        <v>17798640.75</v>
      </c>
      <c r="G81" s="211" t="s">
        <v>236</v>
      </c>
      <c r="H81" s="211"/>
      <c r="I81" s="211"/>
      <c r="J81" s="211"/>
      <c r="K81" s="211"/>
      <c r="L81" s="211"/>
      <c r="M81" s="211"/>
    </row>
    <row r="82" spans="1:13">
      <c r="A82" t="s">
        <v>237</v>
      </c>
      <c r="B82" s="154">
        <f>(B81*0.19)</f>
        <v>3381741.7425000002</v>
      </c>
    </row>
    <row r="83" spans="1:13">
      <c r="B83" s="154">
        <f>SUM(B81:B82)</f>
        <v>21180382.4925</v>
      </c>
    </row>
    <row r="85" spans="1:13">
      <c r="G85" s="245" t="s">
        <v>238</v>
      </c>
      <c r="H85" s="245"/>
      <c r="I85" s="245"/>
      <c r="J85" s="245"/>
      <c r="K85" s="245"/>
      <c r="L85" s="253" t="s">
        <v>225</v>
      </c>
    </row>
    <row r="86" spans="1:13">
      <c r="G86" s="245"/>
      <c r="H86" s="245"/>
      <c r="I86" s="245"/>
      <c r="J86" s="245"/>
      <c r="K86" s="245"/>
      <c r="L86" s="253"/>
    </row>
    <row r="87" spans="1:13">
      <c r="G87" s="211" t="s">
        <v>239</v>
      </c>
      <c r="H87" s="211"/>
      <c r="I87" s="211"/>
      <c r="J87" s="211"/>
      <c r="K87" s="211"/>
      <c r="L87" s="154">
        <v>16000000</v>
      </c>
    </row>
    <row r="88" spans="1:13">
      <c r="G88" s="211" t="s">
        <v>240</v>
      </c>
      <c r="H88" s="211"/>
      <c r="I88" s="211"/>
      <c r="J88" s="211"/>
      <c r="K88" s="211"/>
      <c r="L88" s="154">
        <v>700000</v>
      </c>
    </row>
    <row r="89" spans="1:13">
      <c r="G89" s="211" t="s">
        <v>241</v>
      </c>
      <c r="H89" s="211"/>
      <c r="I89" s="211"/>
      <c r="J89" s="211"/>
      <c r="K89" s="211"/>
      <c r="L89" s="154">
        <v>4500000</v>
      </c>
    </row>
    <row r="90" spans="1:13">
      <c r="G90" s="211"/>
      <c r="H90" s="211"/>
      <c r="I90" s="211"/>
      <c r="J90" s="211"/>
      <c r="K90" s="211"/>
      <c r="L90" s="154"/>
    </row>
    <row r="91" spans="1:13">
      <c r="G91" s="208" t="s">
        <v>25</v>
      </c>
      <c r="H91" s="208"/>
      <c r="I91" s="208"/>
      <c r="J91" s="208"/>
      <c r="K91" s="208"/>
      <c r="L91" s="156">
        <f>SUM(L87:L90)</f>
        <v>21200000</v>
      </c>
    </row>
    <row r="92" spans="1:13">
      <c r="G92" s="211"/>
      <c r="H92" s="211"/>
      <c r="I92" s="211"/>
      <c r="J92" s="211"/>
      <c r="K92" s="211"/>
    </row>
    <row r="93" spans="1:13">
      <c r="G93" s="211"/>
      <c r="H93" s="211"/>
      <c r="I93" s="211"/>
      <c r="J93" s="211"/>
      <c r="K93" s="211"/>
    </row>
    <row r="94" spans="1:13">
      <c r="G94" s="211"/>
      <c r="H94" s="211"/>
      <c r="I94" s="211"/>
      <c r="J94" s="211"/>
      <c r="K94" s="211"/>
    </row>
    <row r="96" spans="1:13">
      <c r="G96" s="245" t="s">
        <v>242</v>
      </c>
      <c r="H96" s="245"/>
      <c r="I96" s="245"/>
      <c r="J96" s="245"/>
      <c r="K96" s="245"/>
      <c r="L96" s="253" t="s">
        <v>225</v>
      </c>
    </row>
    <row r="97" spans="2:27">
      <c r="G97" s="245"/>
      <c r="H97" s="245"/>
      <c r="I97" s="245"/>
      <c r="J97" s="245"/>
      <c r="K97" s="245"/>
      <c r="L97" s="253"/>
    </row>
    <row r="98" spans="2:27">
      <c r="B98" s="256" t="s">
        <v>243</v>
      </c>
      <c r="C98" s="256"/>
      <c r="D98" s="211" t="s">
        <v>164</v>
      </c>
      <c r="E98" s="211"/>
      <c r="G98" s="256" t="s">
        <v>243</v>
      </c>
      <c r="H98" s="256"/>
      <c r="I98" s="256"/>
      <c r="J98" s="256"/>
      <c r="K98" s="256"/>
      <c r="L98" s="143">
        <f>SUM(D99:E102)</f>
        <v>311065</v>
      </c>
      <c r="N98" s="254" t="s">
        <v>244</v>
      </c>
      <c r="O98" s="254"/>
      <c r="P98" s="254"/>
      <c r="Q98" s="254"/>
      <c r="R98" s="254"/>
      <c r="S98" s="254"/>
      <c r="T98" s="254"/>
      <c r="U98" s="254"/>
      <c r="V98" s="254"/>
      <c r="W98" s="254"/>
      <c r="X98" s="158"/>
      <c r="Y98" s="158"/>
      <c r="Z98" s="158"/>
    </row>
    <row r="99" spans="2:27">
      <c r="B99" s="211" t="s">
        <v>245</v>
      </c>
      <c r="C99" s="211"/>
      <c r="D99" s="222">
        <v>72879</v>
      </c>
      <c r="E99" s="211"/>
      <c r="G99" s="211" t="s">
        <v>246</v>
      </c>
      <c r="H99" s="211"/>
      <c r="I99" s="211"/>
      <c r="J99" s="211"/>
      <c r="K99" s="211"/>
      <c r="L99" s="143">
        <v>255000</v>
      </c>
      <c r="N99" s="254" t="s">
        <v>247</v>
      </c>
      <c r="O99" s="254"/>
      <c r="P99" s="254"/>
      <c r="Q99" s="254"/>
      <c r="R99" s="254"/>
      <c r="S99" s="254"/>
      <c r="T99" s="254"/>
      <c r="U99" s="254"/>
      <c r="V99" s="254"/>
      <c r="W99" s="254"/>
      <c r="X99" s="254"/>
      <c r="Y99" s="254"/>
      <c r="Z99" s="254"/>
    </row>
    <row r="100" spans="2:27">
      <c r="B100" s="211" t="s">
        <v>248</v>
      </c>
      <c r="C100" s="211"/>
      <c r="D100" s="222">
        <v>67792</v>
      </c>
      <c r="E100" s="211"/>
      <c r="G100" s="211" t="s">
        <v>249</v>
      </c>
      <c r="H100" s="211"/>
      <c r="I100" s="211"/>
      <c r="J100" s="211"/>
      <c r="K100" s="211"/>
      <c r="L100" s="143">
        <v>1738800</v>
      </c>
      <c r="N100" s="255" t="s">
        <v>250</v>
      </c>
      <c r="O100" s="255"/>
      <c r="P100" s="255"/>
      <c r="Q100" s="255"/>
      <c r="R100" s="255"/>
      <c r="S100" s="255"/>
      <c r="T100" s="255"/>
      <c r="U100" s="255"/>
      <c r="V100" s="255"/>
      <c r="W100" s="255"/>
      <c r="X100" s="255"/>
      <c r="Y100" s="255"/>
      <c r="Z100" s="255"/>
    </row>
    <row r="101" spans="2:27">
      <c r="B101" s="211" t="s">
        <v>251</v>
      </c>
      <c r="C101" s="211"/>
      <c r="D101" s="222">
        <v>87038</v>
      </c>
      <c r="E101" s="211"/>
      <c r="G101" s="211" t="s">
        <v>252</v>
      </c>
      <c r="H101" s="211"/>
      <c r="I101" s="211"/>
      <c r="J101" s="211"/>
      <c r="K101" s="211"/>
      <c r="L101" s="143">
        <v>3000000</v>
      </c>
      <c r="N101" t="s">
        <v>253</v>
      </c>
    </row>
    <row r="102" spans="2:27">
      <c r="B102" s="211" t="s">
        <v>254</v>
      </c>
      <c r="C102" s="211"/>
      <c r="D102" s="222">
        <v>83356</v>
      </c>
      <c r="E102" s="211"/>
      <c r="G102" s="211" t="s">
        <v>255</v>
      </c>
      <c r="H102" s="211"/>
      <c r="I102" s="211"/>
      <c r="J102" s="211"/>
      <c r="K102" s="211"/>
      <c r="L102" s="143">
        <v>16994266</v>
      </c>
      <c r="N102" s="254" t="s">
        <v>256</v>
      </c>
      <c r="O102" s="254"/>
      <c r="P102" s="254"/>
      <c r="Q102" s="254"/>
      <c r="R102" s="254"/>
      <c r="S102" s="254"/>
      <c r="T102" s="254"/>
      <c r="U102" s="254"/>
      <c r="V102" s="254"/>
      <c r="W102" s="254"/>
      <c r="X102" s="254"/>
      <c r="Y102" s="254"/>
      <c r="Z102" s="254"/>
    </row>
    <row r="103" spans="2:27">
      <c r="G103" s="211" t="s">
        <v>257</v>
      </c>
      <c r="H103" s="211"/>
      <c r="I103" s="211"/>
      <c r="J103" s="211"/>
      <c r="K103" s="211"/>
      <c r="L103" s="143">
        <v>7872000</v>
      </c>
      <c r="N103" s="254" t="s">
        <v>258</v>
      </c>
      <c r="O103" s="254"/>
      <c r="P103" s="254"/>
      <c r="Q103" s="254"/>
      <c r="R103" s="254"/>
      <c r="S103" s="254"/>
      <c r="T103" s="254"/>
      <c r="U103" s="254"/>
      <c r="V103" s="254"/>
      <c r="W103" s="254"/>
      <c r="X103" s="254"/>
      <c r="Y103" s="254"/>
      <c r="Z103" s="254"/>
      <c r="AA103" s="254"/>
    </row>
    <row r="104" spans="2:27">
      <c r="G104" s="211" t="s">
        <v>63</v>
      </c>
      <c r="H104" s="211"/>
      <c r="I104" s="211"/>
      <c r="J104" s="211"/>
      <c r="K104" s="211"/>
      <c r="L104" s="143">
        <v>0</v>
      </c>
      <c r="N104" s="166"/>
      <c r="O104" s="166"/>
      <c r="P104" s="166"/>
      <c r="Q104" s="166"/>
      <c r="R104" s="166"/>
      <c r="S104" s="166"/>
      <c r="T104" s="166"/>
      <c r="U104" s="166"/>
      <c r="V104" s="166"/>
      <c r="W104" s="166"/>
      <c r="X104" s="166"/>
      <c r="Y104" s="166"/>
      <c r="Z104" s="166"/>
      <c r="AA104" s="166"/>
    </row>
    <row r="105" spans="2:27">
      <c r="G105" s="252" t="s">
        <v>259</v>
      </c>
      <c r="H105" s="252"/>
      <c r="I105" s="252"/>
      <c r="J105" s="252"/>
      <c r="K105" s="252"/>
      <c r="L105" s="143">
        <v>10000000</v>
      </c>
    </row>
    <row r="106" spans="2:27">
      <c r="B106" s="159"/>
      <c r="C106" s="159"/>
    </row>
    <row r="107" spans="2:27">
      <c r="D107" s="160"/>
    </row>
    <row r="108" spans="2:27">
      <c r="C108" s="135"/>
      <c r="D108" s="160"/>
    </row>
    <row r="109" spans="2:27">
      <c r="D109" s="160"/>
    </row>
    <row r="110" spans="2:27">
      <c r="C110" s="135"/>
      <c r="D110" s="160"/>
      <c r="G110" s="245" t="s">
        <v>260</v>
      </c>
      <c r="H110" s="245"/>
      <c r="I110" s="245"/>
      <c r="J110" s="245"/>
      <c r="K110" s="245"/>
    </row>
    <row r="111" spans="2:27">
      <c r="G111" s="245"/>
      <c r="H111" s="245"/>
      <c r="I111" s="245"/>
      <c r="J111" s="245"/>
      <c r="K111" s="245"/>
    </row>
    <row r="112" spans="2:27">
      <c r="G112" s="211" t="s">
        <v>261</v>
      </c>
      <c r="H112" s="211"/>
      <c r="I112" s="211"/>
      <c r="J112" s="211"/>
      <c r="K112" t="s">
        <v>262</v>
      </c>
    </row>
    <row r="113" spans="2:11">
      <c r="B113" s="143"/>
      <c r="G113" s="225">
        <f>SUM(L98:L105)</f>
        <v>40171131</v>
      </c>
      <c r="H113" s="211"/>
      <c r="I113" s="211"/>
      <c r="J113" s="211"/>
      <c r="K113" s="143">
        <f>G113/12</f>
        <v>3347594.25</v>
      </c>
    </row>
  </sheetData>
  <mergeCells count="325">
    <mergeCell ref="K5:L5"/>
    <mergeCell ref="A38:E38"/>
    <mergeCell ref="A35:E35"/>
    <mergeCell ref="A36:E36"/>
    <mergeCell ref="G104:K104"/>
    <mergeCell ref="G110:K111"/>
    <mergeCell ref="N98:W98"/>
    <mergeCell ref="N100:Z100"/>
    <mergeCell ref="N102:Z102"/>
    <mergeCell ref="N103:AA103"/>
    <mergeCell ref="B98:C98"/>
    <mergeCell ref="D98:E98"/>
    <mergeCell ref="B99:C99"/>
    <mergeCell ref="B100:C100"/>
    <mergeCell ref="D99:E99"/>
    <mergeCell ref="D100:E100"/>
    <mergeCell ref="B101:C101"/>
    <mergeCell ref="D101:E101"/>
    <mergeCell ref="B102:C102"/>
    <mergeCell ref="D102:E102"/>
    <mergeCell ref="N99:Z99"/>
    <mergeCell ref="G98:K98"/>
    <mergeCell ref="G99:K99"/>
    <mergeCell ref="G100:K100"/>
    <mergeCell ref="G101:K101"/>
    <mergeCell ref="G102:K102"/>
    <mergeCell ref="G103:K103"/>
    <mergeCell ref="G105:K105"/>
    <mergeCell ref="G93:K93"/>
    <mergeCell ref="G94:K94"/>
    <mergeCell ref="L85:L86"/>
    <mergeCell ref="L73:L74"/>
    <mergeCell ref="G81:M81"/>
    <mergeCell ref="G85:K86"/>
    <mergeCell ref="G87:K87"/>
    <mergeCell ref="G88:K88"/>
    <mergeCell ref="G89:K89"/>
    <mergeCell ref="G90:K90"/>
    <mergeCell ref="G91:K91"/>
    <mergeCell ref="G92:K92"/>
    <mergeCell ref="G96:K97"/>
    <mergeCell ref="L96:L97"/>
    <mergeCell ref="Q4:S4"/>
    <mergeCell ref="D75:E75"/>
    <mergeCell ref="A73:E74"/>
    <mergeCell ref="G73:K74"/>
    <mergeCell ref="G75:K75"/>
    <mergeCell ref="G76:K76"/>
    <mergeCell ref="G77:K77"/>
    <mergeCell ref="G78:K78"/>
    <mergeCell ref="G79:K79"/>
    <mergeCell ref="J52:L52"/>
    <mergeCell ref="J61:L61"/>
    <mergeCell ref="H52:I52"/>
    <mergeCell ref="A75:B75"/>
    <mergeCell ref="F45:H45"/>
    <mergeCell ref="A45:C45"/>
    <mergeCell ref="L37:N39"/>
    <mergeCell ref="J53:K53"/>
    <mergeCell ref="J54:K54"/>
    <mergeCell ref="J55:K55"/>
    <mergeCell ref="J56:K56"/>
    <mergeCell ref="J57:K57"/>
    <mergeCell ref="M14:N14"/>
    <mergeCell ref="K21:L21"/>
    <mergeCell ref="M21:N21"/>
    <mergeCell ref="J60:K60"/>
    <mergeCell ref="A62:E62"/>
    <mergeCell ref="F62:G62"/>
    <mergeCell ref="A55:B55"/>
    <mergeCell ref="A60:B60"/>
    <mergeCell ref="F53:G61"/>
    <mergeCell ref="A61:B61"/>
    <mergeCell ref="A57:B57"/>
    <mergeCell ref="A56:B56"/>
    <mergeCell ref="A54:B54"/>
    <mergeCell ref="A53:B53"/>
    <mergeCell ref="C55:E55"/>
    <mergeCell ref="C56:E56"/>
    <mergeCell ref="C57:E57"/>
    <mergeCell ref="C60:E60"/>
    <mergeCell ref="C61:E61"/>
    <mergeCell ref="J58:K58"/>
    <mergeCell ref="J59:K59"/>
    <mergeCell ref="A58:B58"/>
    <mergeCell ref="A59:B59"/>
    <mergeCell ref="C58:E58"/>
    <mergeCell ref="C59:E59"/>
    <mergeCell ref="A1:O2"/>
    <mergeCell ref="A4:B4"/>
    <mergeCell ref="D4:E4"/>
    <mergeCell ref="F4:G4"/>
    <mergeCell ref="I4:J4"/>
    <mergeCell ref="K4:L4"/>
    <mergeCell ref="N4:O4"/>
    <mergeCell ref="A3:E3"/>
    <mergeCell ref="F3:J3"/>
    <mergeCell ref="K3:O3"/>
    <mergeCell ref="I10:J10"/>
    <mergeCell ref="N10:O10"/>
    <mergeCell ref="I7:J7"/>
    <mergeCell ref="N7:O7"/>
    <mergeCell ref="A10:G10"/>
    <mergeCell ref="K9:L9"/>
    <mergeCell ref="K7:L7"/>
    <mergeCell ref="K8:L8"/>
    <mergeCell ref="K10:L10"/>
    <mergeCell ref="A6:G6"/>
    <mergeCell ref="A9:G9"/>
    <mergeCell ref="I9:J9"/>
    <mergeCell ref="N9:O9"/>
    <mergeCell ref="I6:J6"/>
    <mergeCell ref="N6:O6"/>
    <mergeCell ref="A8:G8"/>
    <mergeCell ref="I8:J8"/>
    <mergeCell ref="N8:O8"/>
    <mergeCell ref="A7:G7"/>
    <mergeCell ref="K6:L6"/>
    <mergeCell ref="K45:L45"/>
    <mergeCell ref="N45:O45"/>
    <mergeCell ref="A41:B41"/>
    <mergeCell ref="D41:E41"/>
    <mergeCell ref="F41:G41"/>
    <mergeCell ref="I41:J41"/>
    <mergeCell ref="K41:L41"/>
    <mergeCell ref="N41:O41"/>
    <mergeCell ref="A44:B44"/>
    <mergeCell ref="D44:E44"/>
    <mergeCell ref="F44:G44"/>
    <mergeCell ref="I44:J44"/>
    <mergeCell ref="A43:B43"/>
    <mergeCell ref="D43:E43"/>
    <mergeCell ref="F43:G43"/>
    <mergeCell ref="I43:J43"/>
    <mergeCell ref="A42:B42"/>
    <mergeCell ref="D42:E42"/>
    <mergeCell ref="N53:O53"/>
    <mergeCell ref="F52:G52"/>
    <mergeCell ref="N52:O52"/>
    <mergeCell ref="A28:G28"/>
    <mergeCell ref="A20:B20"/>
    <mergeCell ref="D20:E20"/>
    <mergeCell ref="F20:G20"/>
    <mergeCell ref="I20:J20"/>
    <mergeCell ref="K20:L20"/>
    <mergeCell ref="A26:G26"/>
    <mergeCell ref="H26:J26"/>
    <mergeCell ref="A27:G27"/>
    <mergeCell ref="I27:J27"/>
    <mergeCell ref="K27:L27"/>
    <mergeCell ref="N27:O27"/>
    <mergeCell ref="A23:B23"/>
    <mergeCell ref="A52:E52"/>
    <mergeCell ref="A50:O51"/>
    <mergeCell ref="A47:O49"/>
    <mergeCell ref="A46:G46"/>
    <mergeCell ref="H46:O46"/>
    <mergeCell ref="D23:E23"/>
    <mergeCell ref="D45:E45"/>
    <mergeCell ref="I45:J45"/>
    <mergeCell ref="K33:L33"/>
    <mergeCell ref="N33:O33"/>
    <mergeCell ref="D19:E19"/>
    <mergeCell ref="F19:G19"/>
    <mergeCell ref="I19:J19"/>
    <mergeCell ref="K19:L19"/>
    <mergeCell ref="N23:O23"/>
    <mergeCell ref="A24:B24"/>
    <mergeCell ref="D24:E24"/>
    <mergeCell ref="F24:G24"/>
    <mergeCell ref="I24:J24"/>
    <mergeCell ref="K24:L24"/>
    <mergeCell ref="N24:O24"/>
    <mergeCell ref="K32:L32"/>
    <mergeCell ref="N32:O32"/>
    <mergeCell ref="I25:J25"/>
    <mergeCell ref="K25:L25"/>
    <mergeCell ref="F23:G23"/>
    <mergeCell ref="I23:J23"/>
    <mergeCell ref="N25:O25"/>
    <mergeCell ref="H28:O28"/>
    <mergeCell ref="K11:L11"/>
    <mergeCell ref="K12:L12"/>
    <mergeCell ref="N12:O12"/>
    <mergeCell ref="N11:O11"/>
    <mergeCell ref="K14:L14"/>
    <mergeCell ref="A15:B15"/>
    <mergeCell ref="D15:E15"/>
    <mergeCell ref="F15:G15"/>
    <mergeCell ref="I15:J15"/>
    <mergeCell ref="A17:B17"/>
    <mergeCell ref="D17:E17"/>
    <mergeCell ref="I17:J17"/>
    <mergeCell ref="A11:G11"/>
    <mergeCell ref="I11:J11"/>
    <mergeCell ref="A12:G12"/>
    <mergeCell ref="A14:B14"/>
    <mergeCell ref="D14:E14"/>
    <mergeCell ref="F14:G14"/>
    <mergeCell ref="I14:J14"/>
    <mergeCell ref="A16:B16"/>
    <mergeCell ref="D16:E16"/>
    <mergeCell ref="F16:G16"/>
    <mergeCell ref="I16:J16"/>
    <mergeCell ref="I12:J12"/>
    <mergeCell ref="S16:T16"/>
    <mergeCell ref="U16:V16"/>
    <mergeCell ref="W16:X16"/>
    <mergeCell ref="Y16:Z16"/>
    <mergeCell ref="AA16:AB16"/>
    <mergeCell ref="AC16:AD16"/>
    <mergeCell ref="AE16:AF16"/>
    <mergeCell ref="M15:N15"/>
    <mergeCell ref="Q15:R15"/>
    <mergeCell ref="S15:T15"/>
    <mergeCell ref="U15:V15"/>
    <mergeCell ref="W15:X15"/>
    <mergeCell ref="Y15:Z15"/>
    <mergeCell ref="AA15:AB15"/>
    <mergeCell ref="AC15:AD15"/>
    <mergeCell ref="AE15:AF15"/>
    <mergeCell ref="M16:N16"/>
    <mergeCell ref="Q16:R16"/>
    <mergeCell ref="AE17:AF17"/>
    <mergeCell ref="M18:N18"/>
    <mergeCell ref="Q18:R18"/>
    <mergeCell ref="S18:T18"/>
    <mergeCell ref="U18:V18"/>
    <mergeCell ref="W18:X18"/>
    <mergeCell ref="Y18:Z18"/>
    <mergeCell ref="AA18:AB18"/>
    <mergeCell ref="AC18:AD18"/>
    <mergeCell ref="AE18:AF18"/>
    <mergeCell ref="M17:N17"/>
    <mergeCell ref="Q17:R17"/>
    <mergeCell ref="S17:T17"/>
    <mergeCell ref="U17:V17"/>
    <mergeCell ref="W17:X17"/>
    <mergeCell ref="Y17:Z17"/>
    <mergeCell ref="AA17:AB17"/>
    <mergeCell ref="AC17:AD17"/>
    <mergeCell ref="AE19:AF19"/>
    <mergeCell ref="M20:N20"/>
    <mergeCell ref="Q20:R20"/>
    <mergeCell ref="S20:T20"/>
    <mergeCell ref="U20:V20"/>
    <mergeCell ref="W20:X20"/>
    <mergeCell ref="Y20:Z20"/>
    <mergeCell ref="AA20:AB20"/>
    <mergeCell ref="AC20:AD20"/>
    <mergeCell ref="AE20:AF20"/>
    <mergeCell ref="M19:N19"/>
    <mergeCell ref="Q19:R19"/>
    <mergeCell ref="S19:T19"/>
    <mergeCell ref="U19:V19"/>
    <mergeCell ref="W19:X19"/>
    <mergeCell ref="Y19:Z19"/>
    <mergeCell ref="AA19:AB19"/>
    <mergeCell ref="AC19:AD19"/>
    <mergeCell ref="G113:J113"/>
    <mergeCell ref="G112:J112"/>
    <mergeCell ref="N26:O26"/>
    <mergeCell ref="K26:L26"/>
    <mergeCell ref="AE22:AF22"/>
    <mergeCell ref="M22:N22"/>
    <mergeCell ref="Q22:R22"/>
    <mergeCell ref="S22:T22"/>
    <mergeCell ref="U22:V22"/>
    <mergeCell ref="W22:X22"/>
    <mergeCell ref="Y22:Z22"/>
    <mergeCell ref="AA22:AB22"/>
    <mergeCell ref="AC22:AD22"/>
    <mergeCell ref="K34:L34"/>
    <mergeCell ref="N34:O34"/>
    <mergeCell ref="F42:G42"/>
    <mergeCell ref="I42:J42"/>
    <mergeCell ref="F22:G22"/>
    <mergeCell ref="I22:J22"/>
    <mergeCell ref="A29:O31"/>
    <mergeCell ref="A25:G25"/>
    <mergeCell ref="A32:B32"/>
    <mergeCell ref="C53:E53"/>
    <mergeCell ref="C54:E54"/>
    <mergeCell ref="A5:J5"/>
    <mergeCell ref="A13:J13"/>
    <mergeCell ref="K13:O13"/>
    <mergeCell ref="A40:G40"/>
    <mergeCell ref="A33:E33"/>
    <mergeCell ref="A34:E34"/>
    <mergeCell ref="A37:E37"/>
    <mergeCell ref="A39:F39"/>
    <mergeCell ref="A22:B22"/>
    <mergeCell ref="D22:E22"/>
    <mergeCell ref="K15:L15"/>
    <mergeCell ref="K16:L16"/>
    <mergeCell ref="D32:E32"/>
    <mergeCell ref="I32:J32"/>
    <mergeCell ref="K17:L17"/>
    <mergeCell ref="F17:G17"/>
    <mergeCell ref="A18:B18"/>
    <mergeCell ref="D18:E18"/>
    <mergeCell ref="F18:G18"/>
    <mergeCell ref="I18:J18"/>
    <mergeCell ref="K18:L18"/>
    <mergeCell ref="K23:L23"/>
    <mergeCell ref="K22:L22"/>
    <mergeCell ref="A19:B19"/>
    <mergeCell ref="A63:E63"/>
    <mergeCell ref="F63:G63"/>
    <mergeCell ref="A64:B64"/>
    <mergeCell ref="C64:E64"/>
    <mergeCell ref="A65:B65"/>
    <mergeCell ref="C65:E65"/>
    <mergeCell ref="I70:L70"/>
    <mergeCell ref="A69:B69"/>
    <mergeCell ref="A70:B70"/>
    <mergeCell ref="C66:E66"/>
    <mergeCell ref="C67:E67"/>
    <mergeCell ref="C68:E68"/>
    <mergeCell ref="C69:E69"/>
    <mergeCell ref="C70:E70"/>
    <mergeCell ref="F64:G70"/>
    <mergeCell ref="A66:B66"/>
    <mergeCell ref="A67:B67"/>
    <mergeCell ref="A68:B68"/>
  </mergeCells>
  <hyperlinks>
    <hyperlink ref="N99:Y99" r:id="rId1" display="https://empresas.comuniquemonos.com/troncal-sip/?gclid=CjwKCAjwxZqSBhAHEiwASr9n9C88HOWs-ovoAADmEIi4bsLYXfZEfwZfdNZIQGEez7dEC9rpT2lzyBoCS-YQAvD_BwE" xr:uid="{5CDB8F4B-82B9-403F-924D-72721AD6EF69}"/>
    <hyperlink ref="N98:W98" r:id="rId2" display="https://blog.properati.com.co/costo-servicios-publicos-estrato-4/" xr:uid="{62942DC9-BDCF-4A01-8B3E-48D33D6F0820}"/>
    <hyperlink ref="N100:Z100" r:id="rId3" display="https://etbdigital.com/?tsource=Google&amp;Campaign=adf1c43c-4203-11ea-988f-005056968018&amp;gclid=CjwKCAjwxZqSBhAHEiwASr9n9FmxlMgJUkLwJSckeWdS2krdiISr876kdoYccQWAHm1cRc_vuOtBWRoCvu4QAvD_BwE" xr:uid="{3D1C69D2-520B-4C7D-B528-2863F9B477B2}"/>
    <hyperlink ref="N102:Z102" r:id="rId4" display="https://contodapropiedad.com/tarifa-del-servicio-de-vigilancia-para-el-20depende-del-estrato-y-el-uso-de-armas-y-caninos/" xr:uid="{FC4FB955-797C-4912-B5D2-918C72740334}"/>
  </hyperlinks>
  <pageMargins left="0.7" right="0.7" top="0.75" bottom="0.75" header="0.3" footer="0.3"/>
  <pageSetup orientation="portrait" horizontalDpi="4294967292" verticalDpi="0"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4364FBCB3529F34CB19A952D1F5C18DB" ma:contentTypeVersion="6" ma:contentTypeDescription="Crear nuevo documento." ma:contentTypeScope="" ma:versionID="f3881fd0f0211f717f85adfaa5cead9c">
  <xsd:schema xmlns:xsd="http://www.w3.org/2001/XMLSchema" xmlns:xs="http://www.w3.org/2001/XMLSchema" xmlns:p="http://schemas.microsoft.com/office/2006/metadata/properties" xmlns:ns2="7bfdaa35-5926-49b4-871f-d59073e3ecc5" xmlns:ns3="4fc199bf-9715-44c8-826a-f44da0ea3b1b" targetNamespace="http://schemas.microsoft.com/office/2006/metadata/properties" ma:root="true" ma:fieldsID="2a7ae45ef06bee942cf54c0e96d22b5d" ns2:_="" ns3:_="">
    <xsd:import namespace="7bfdaa35-5926-49b4-871f-d59073e3ecc5"/>
    <xsd:import namespace="4fc199bf-9715-44c8-826a-f44da0ea3b1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fdaa35-5926-49b4-871f-d59073e3ecc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fc199bf-9715-44c8-826a-f44da0ea3b1b"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822A913-8319-4555-BD61-6E7ABA96D121}"/>
</file>

<file path=customXml/itemProps2.xml><?xml version="1.0" encoding="utf-8"?>
<ds:datastoreItem xmlns:ds="http://schemas.openxmlformats.org/officeDocument/2006/customXml" ds:itemID="{72FE6FC0-F535-4A9C-9842-B2D49F28995C}"/>
</file>

<file path=customXml/itemProps3.xml><?xml version="1.0" encoding="utf-8"?>
<ds:datastoreItem xmlns:ds="http://schemas.openxmlformats.org/officeDocument/2006/customXml" ds:itemID="{9B3EEF4B-D49D-4806-886A-18D65DD77B5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DARIO MAURICIO REYES GIRALDO</dc:creator>
  <cp:keywords/>
  <dc:description/>
  <cp:lastModifiedBy>BREINNER JAVIER LLAMAS GRANADILLO</cp:lastModifiedBy>
  <cp:revision/>
  <dcterms:created xsi:type="dcterms:W3CDTF">2013-07-30T17:19:59Z</dcterms:created>
  <dcterms:modified xsi:type="dcterms:W3CDTF">2024-02-23T05:26:36Z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0x0101004364FBCB3529F34CB19A952D1F5C18DB</vt:lpwstr>
  </property>
</Properties>
</file>