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5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6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7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8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9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10.xml" ContentType="application/vnd.openxmlformats-officedocument.drawing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pcruz\Desktop\ICCU\ING. JUAN PABLO\PERSONAL JP\MAESTRIA\TESIS APROBADA\"/>
    </mc:Choice>
  </mc:AlternateContent>
  <bookViews>
    <workbookView xWindow="0" yWindow="0" windowWidth="28800" windowHeight="12435" tabRatio="871" activeTab="5"/>
  </bookViews>
  <sheets>
    <sheet name="Tabulación" sheetId="1" r:id="rId1"/>
    <sheet name="Procesamiento_Info" sheetId="4" r:id="rId2"/>
    <sheet name="P_14_Cual" sheetId="8" r:id="rId3"/>
    <sheet name="P_15B" sheetId="9" r:id="rId4"/>
    <sheet name="P_16A&amp;B" sheetId="13" r:id="rId5"/>
    <sheet name="P_17_Cual" sheetId="10" r:id="rId6"/>
    <sheet name="P_18_Cual" sheetId="11" r:id="rId7"/>
    <sheet name="P_19_Cual" sheetId="17" r:id="rId8"/>
    <sheet name="P_21_Cul" sheetId="15" r:id="rId9"/>
    <sheet name="P_22_Cual" sheetId="12" r:id="rId10"/>
    <sheet name="P_37_Cual" sheetId="16" r:id="rId11"/>
  </sheets>
  <externalReferences>
    <externalReference r:id="rId12"/>
  </externalReferences>
  <definedNames>
    <definedName name="_xlnm._FilterDatabase" localSheetId="7" hidden="1">P_19_Cual!$O$3:$P$33</definedName>
    <definedName name="_xlnm._FilterDatabase" localSheetId="8" hidden="1">P_21_Cul!$O$3:$P$3</definedName>
    <definedName name="_xlnm._FilterDatabase" localSheetId="0" hidden="1">Tabulación!$A$4:$BQ$192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5" l="1"/>
  <c r="J8" i="15"/>
  <c r="J5" i="15"/>
  <c r="J6" i="15"/>
  <c r="J4" i="15"/>
  <c r="J5" i="17"/>
  <c r="J6" i="17"/>
  <c r="J7" i="17"/>
  <c r="J8" i="17"/>
  <c r="J9" i="17"/>
  <c r="J4" i="17"/>
  <c r="AG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82" i="1"/>
  <c r="AG83" i="1"/>
  <c r="AG84" i="1"/>
  <c r="AG85" i="1"/>
  <c r="AG86" i="1"/>
  <c r="AG87" i="1"/>
  <c r="AG88" i="1"/>
  <c r="AG89" i="1"/>
  <c r="AG90" i="1"/>
  <c r="AG91" i="1"/>
  <c r="AG92" i="1"/>
  <c r="AG93" i="1"/>
  <c r="AG94" i="1"/>
  <c r="AG95" i="1"/>
  <c r="AG96" i="1"/>
  <c r="AG97" i="1"/>
  <c r="AG98" i="1"/>
  <c r="AG99" i="1"/>
  <c r="AG100" i="1"/>
  <c r="AG101" i="1"/>
  <c r="AG102" i="1"/>
  <c r="AG103" i="1"/>
  <c r="AG104" i="1"/>
  <c r="AG105" i="1"/>
  <c r="AG106" i="1"/>
  <c r="AG107" i="1"/>
  <c r="AG108" i="1"/>
  <c r="AG109" i="1"/>
  <c r="AG110" i="1"/>
  <c r="AG111" i="1"/>
  <c r="AG112" i="1"/>
  <c r="AG113" i="1"/>
  <c r="AG114" i="1"/>
  <c r="AG115" i="1"/>
  <c r="AG116" i="1"/>
  <c r="AG117" i="1"/>
  <c r="AG118" i="1"/>
  <c r="AG119" i="1"/>
  <c r="AG120" i="1"/>
  <c r="AG121" i="1"/>
  <c r="AG122" i="1"/>
  <c r="AG123" i="1"/>
  <c r="AG124" i="1"/>
  <c r="AG125" i="1"/>
  <c r="AG126" i="1"/>
  <c r="AG127" i="1"/>
  <c r="AG128" i="1"/>
  <c r="AG129" i="1"/>
  <c r="AG130" i="1"/>
  <c r="AG131" i="1"/>
  <c r="AG132" i="1"/>
  <c r="AG133" i="1"/>
  <c r="AG134" i="1"/>
  <c r="AG135" i="1"/>
  <c r="AG136" i="1"/>
  <c r="AG137" i="1"/>
  <c r="AG138" i="1"/>
  <c r="AG139" i="1"/>
  <c r="AG140" i="1"/>
  <c r="AG141" i="1"/>
  <c r="AG142" i="1"/>
  <c r="AG143" i="1"/>
  <c r="AG144" i="1"/>
  <c r="AG145" i="1"/>
  <c r="AG146" i="1"/>
  <c r="AG147" i="1"/>
  <c r="AG148" i="1"/>
  <c r="AG149" i="1"/>
  <c r="AG150" i="1"/>
  <c r="AG151" i="1"/>
  <c r="AG152" i="1"/>
  <c r="AG153" i="1"/>
  <c r="AG154" i="1"/>
  <c r="AG155" i="1"/>
  <c r="AG156" i="1"/>
  <c r="AG157" i="1"/>
  <c r="AG158" i="1"/>
  <c r="AG159" i="1"/>
  <c r="AG160" i="1"/>
  <c r="AG161" i="1"/>
  <c r="AG162" i="1"/>
  <c r="AG163" i="1"/>
  <c r="AG164" i="1"/>
  <c r="AG165" i="1"/>
  <c r="AG166" i="1"/>
  <c r="AG167" i="1"/>
  <c r="AG168" i="1"/>
  <c r="AG169" i="1"/>
  <c r="AG170" i="1"/>
  <c r="AG171" i="1"/>
  <c r="AG172" i="1"/>
  <c r="AG173" i="1"/>
  <c r="AG174" i="1"/>
  <c r="AG175" i="1"/>
  <c r="AG176" i="1"/>
  <c r="AG177" i="1"/>
  <c r="AG178" i="1"/>
  <c r="AG179" i="1"/>
  <c r="AG180" i="1"/>
  <c r="AG181" i="1"/>
  <c r="AG182" i="1"/>
  <c r="AG183" i="1"/>
  <c r="AG184" i="1"/>
  <c r="AG185" i="1"/>
  <c r="AG186" i="1"/>
  <c r="AG187" i="1"/>
  <c r="AG188" i="1"/>
  <c r="AG189" i="1"/>
  <c r="AG190" i="1"/>
  <c r="AG191" i="1"/>
  <c r="AG192" i="1"/>
  <c r="AG193" i="1"/>
  <c r="AG194" i="1"/>
  <c r="AG195" i="1"/>
  <c r="AG196" i="1"/>
  <c r="AG197" i="1"/>
  <c r="AG198" i="1"/>
  <c r="AG199" i="1"/>
  <c r="AG200" i="1"/>
  <c r="AG201" i="1"/>
  <c r="AG202" i="1"/>
  <c r="AG203" i="1"/>
  <c r="AG204" i="1"/>
  <c r="AG205" i="1"/>
  <c r="AG206" i="1"/>
  <c r="AG207" i="1"/>
  <c r="AG208" i="1"/>
  <c r="AG209" i="1"/>
  <c r="AG210" i="1"/>
  <c r="AG211" i="1"/>
  <c r="AG212" i="1"/>
  <c r="AG213" i="1"/>
  <c r="AG214" i="1"/>
  <c r="AG215" i="1"/>
  <c r="AG216" i="1"/>
  <c r="AG217" i="1"/>
  <c r="AG218" i="1"/>
  <c r="AG219" i="1"/>
  <c r="AG220" i="1"/>
  <c r="AG221" i="1"/>
  <c r="AG222" i="1"/>
  <c r="AG223" i="1"/>
  <c r="AG224" i="1"/>
  <c r="AG225" i="1"/>
  <c r="AG226" i="1"/>
  <c r="AG227" i="1"/>
  <c r="AG228" i="1"/>
  <c r="AG229" i="1"/>
  <c r="AG230" i="1"/>
  <c r="AG231" i="1"/>
  <c r="AG232" i="1"/>
  <c r="AG233" i="1"/>
  <c r="AG234" i="1"/>
  <c r="AG235" i="1"/>
  <c r="AG236" i="1"/>
  <c r="AG237" i="1"/>
  <c r="AG238" i="1"/>
  <c r="AG239" i="1"/>
  <c r="AG240" i="1"/>
  <c r="AG241" i="1"/>
  <c r="AG242" i="1"/>
  <c r="AG243" i="1"/>
  <c r="AG244" i="1"/>
  <c r="AG245" i="1"/>
  <c r="AG246" i="1"/>
  <c r="AG247" i="1"/>
  <c r="AG248" i="1"/>
  <c r="AG249" i="1"/>
  <c r="AG250" i="1"/>
  <c r="AG251" i="1"/>
  <c r="AG252" i="1"/>
  <c r="AG253" i="1"/>
  <c r="AG254" i="1"/>
  <c r="AG255" i="1"/>
  <c r="AG256" i="1"/>
  <c r="AG257" i="1"/>
  <c r="AG258" i="1"/>
  <c r="AG259" i="1"/>
  <c r="AG260" i="1"/>
  <c r="AG261" i="1"/>
  <c r="AG262" i="1"/>
  <c r="AG263" i="1"/>
  <c r="AG264" i="1"/>
  <c r="AG265" i="1"/>
  <c r="AG266" i="1"/>
  <c r="AG267" i="1"/>
  <c r="AG268" i="1"/>
  <c r="AG269" i="1"/>
  <c r="AG270" i="1"/>
  <c r="AG271" i="1"/>
  <c r="AG272" i="1"/>
  <c r="AG273" i="1"/>
  <c r="AG274" i="1"/>
  <c r="AG275" i="1"/>
  <c r="AG276" i="1"/>
  <c r="AG277" i="1"/>
  <c r="AG278" i="1"/>
  <c r="AG279" i="1"/>
  <c r="AG280" i="1"/>
  <c r="AG281" i="1"/>
  <c r="AG282" i="1"/>
  <c r="AG283" i="1"/>
  <c r="AG284" i="1"/>
  <c r="AG285" i="1"/>
  <c r="AG286" i="1"/>
  <c r="AG287" i="1"/>
  <c r="AG288" i="1"/>
  <c r="AG289" i="1"/>
  <c r="AG290" i="1"/>
  <c r="AG291" i="1"/>
  <c r="AG292" i="1"/>
  <c r="AG293" i="1"/>
  <c r="AG294" i="1"/>
  <c r="AG295" i="1"/>
  <c r="AG296" i="1"/>
  <c r="AG297" i="1"/>
  <c r="AG298" i="1"/>
  <c r="AG299" i="1"/>
  <c r="AG300" i="1"/>
  <c r="AG301" i="1"/>
  <c r="AG302" i="1"/>
  <c r="AG303" i="1"/>
  <c r="AG304" i="1"/>
  <c r="AG305" i="1"/>
  <c r="AG306" i="1"/>
  <c r="AG307" i="1"/>
  <c r="AG5" i="1"/>
  <c r="P8" i="17" s="1"/>
  <c r="F5" i="17"/>
  <c r="F6" i="17"/>
  <c r="F7" i="17"/>
  <c r="F8" i="17"/>
  <c r="F9" i="17"/>
  <c r="F10" i="17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F39" i="17"/>
  <c r="F40" i="17"/>
  <c r="F41" i="17"/>
  <c r="F42" i="17"/>
  <c r="F43" i="17"/>
  <c r="F44" i="17"/>
  <c r="F45" i="17"/>
  <c r="F46" i="17"/>
  <c r="F47" i="17"/>
  <c r="F48" i="17"/>
  <c r="F49" i="17"/>
  <c r="F50" i="17"/>
  <c r="F51" i="17"/>
  <c r="F52" i="17"/>
  <c r="F53" i="17"/>
  <c r="F54" i="17"/>
  <c r="F55" i="17"/>
  <c r="F56" i="17"/>
  <c r="F57" i="17"/>
  <c r="F58" i="17"/>
  <c r="F59" i="17"/>
  <c r="F60" i="17"/>
  <c r="F61" i="17"/>
  <c r="F62" i="17"/>
  <c r="F63" i="17"/>
  <c r="F64" i="17"/>
  <c r="F65" i="17"/>
  <c r="F66" i="17"/>
  <c r="F67" i="17"/>
  <c r="F68" i="17"/>
  <c r="F69" i="17"/>
  <c r="F70" i="17"/>
  <c r="F71" i="17"/>
  <c r="F72" i="17"/>
  <c r="F73" i="17"/>
  <c r="F74" i="17"/>
  <c r="F75" i="17"/>
  <c r="F76" i="17"/>
  <c r="F77" i="17"/>
  <c r="F78" i="17"/>
  <c r="F79" i="17"/>
  <c r="F80" i="17"/>
  <c r="F81" i="17"/>
  <c r="F82" i="17"/>
  <c r="F83" i="17"/>
  <c r="F84" i="17"/>
  <c r="F85" i="17"/>
  <c r="F86" i="17"/>
  <c r="F87" i="17"/>
  <c r="F88" i="17"/>
  <c r="F89" i="17"/>
  <c r="F90" i="17"/>
  <c r="F91" i="17"/>
  <c r="F92" i="17"/>
  <c r="F93" i="17"/>
  <c r="F94" i="17"/>
  <c r="F95" i="17"/>
  <c r="F96" i="17"/>
  <c r="F97" i="17"/>
  <c r="F98" i="17"/>
  <c r="F99" i="17"/>
  <c r="F100" i="17"/>
  <c r="F101" i="17"/>
  <c r="F102" i="17"/>
  <c r="F103" i="17"/>
  <c r="F104" i="17"/>
  <c r="F105" i="17"/>
  <c r="F106" i="17"/>
  <c r="F107" i="17"/>
  <c r="F108" i="17"/>
  <c r="F109" i="17"/>
  <c r="F110" i="17"/>
  <c r="F111" i="17"/>
  <c r="F112" i="17"/>
  <c r="F113" i="17"/>
  <c r="F114" i="17"/>
  <c r="F115" i="17"/>
  <c r="F116" i="17"/>
  <c r="F117" i="17"/>
  <c r="F118" i="17"/>
  <c r="F119" i="17"/>
  <c r="F120" i="17"/>
  <c r="F121" i="17"/>
  <c r="F122" i="17"/>
  <c r="F123" i="17"/>
  <c r="F124" i="17"/>
  <c r="F125" i="17"/>
  <c r="F126" i="17"/>
  <c r="F127" i="17"/>
  <c r="F128" i="17"/>
  <c r="F129" i="17"/>
  <c r="F130" i="17"/>
  <c r="F131" i="17"/>
  <c r="F132" i="17"/>
  <c r="F133" i="17"/>
  <c r="F134" i="17"/>
  <c r="F135" i="17"/>
  <c r="F136" i="17"/>
  <c r="F137" i="17"/>
  <c r="F138" i="17"/>
  <c r="F139" i="17"/>
  <c r="F140" i="17"/>
  <c r="F141" i="17"/>
  <c r="F142" i="17"/>
  <c r="F143" i="17"/>
  <c r="F144" i="17"/>
  <c r="F145" i="17"/>
  <c r="F146" i="17"/>
  <c r="F147" i="17"/>
  <c r="F148" i="17"/>
  <c r="F149" i="17"/>
  <c r="F150" i="17"/>
  <c r="F151" i="17"/>
  <c r="F152" i="17"/>
  <c r="F153" i="17"/>
  <c r="F154" i="17"/>
  <c r="F155" i="17"/>
  <c r="F156" i="17"/>
  <c r="F157" i="17"/>
  <c r="F158" i="17"/>
  <c r="F159" i="17"/>
  <c r="F160" i="17"/>
  <c r="F161" i="17"/>
  <c r="F162" i="17"/>
  <c r="F163" i="17"/>
  <c r="F164" i="17"/>
  <c r="F165" i="17"/>
  <c r="F166" i="17"/>
  <c r="F167" i="17"/>
  <c r="F168" i="17"/>
  <c r="F169" i="17"/>
  <c r="F170" i="17"/>
  <c r="F171" i="17"/>
  <c r="F172" i="17"/>
  <c r="F173" i="17"/>
  <c r="F174" i="17"/>
  <c r="F175" i="17"/>
  <c r="F176" i="17"/>
  <c r="F177" i="17"/>
  <c r="F178" i="17"/>
  <c r="F179" i="17"/>
  <c r="F180" i="17"/>
  <c r="F181" i="17"/>
  <c r="F182" i="17"/>
  <c r="F183" i="17"/>
  <c r="F184" i="17"/>
  <c r="F185" i="17"/>
  <c r="F186" i="17"/>
  <c r="F187" i="17"/>
  <c r="F188" i="17"/>
  <c r="F189" i="17"/>
  <c r="F190" i="17"/>
  <c r="F191" i="17"/>
  <c r="F192" i="17"/>
  <c r="F193" i="17"/>
  <c r="F194" i="17"/>
  <c r="F195" i="17"/>
  <c r="F196" i="17"/>
  <c r="F197" i="17"/>
  <c r="F198" i="17"/>
  <c r="F199" i="17"/>
  <c r="F200" i="17"/>
  <c r="F201" i="17"/>
  <c r="F202" i="17"/>
  <c r="F203" i="17"/>
  <c r="F204" i="17"/>
  <c r="F205" i="17"/>
  <c r="F206" i="17"/>
  <c r="F207" i="17"/>
  <c r="F208" i="17"/>
  <c r="F4" i="17"/>
  <c r="P31" i="17" l="1"/>
  <c r="P27" i="17"/>
  <c r="P23" i="17"/>
  <c r="P19" i="17"/>
  <c r="P15" i="17"/>
  <c r="P11" i="17"/>
  <c r="P7" i="17"/>
  <c r="P4" i="17"/>
  <c r="P30" i="17"/>
  <c r="P26" i="17"/>
  <c r="P22" i="17"/>
  <c r="P18" i="17"/>
  <c r="P14" i="17"/>
  <c r="P10" i="17"/>
  <c r="P6" i="17"/>
  <c r="P33" i="17"/>
  <c r="P29" i="17"/>
  <c r="P25" i="17"/>
  <c r="P21" i="17"/>
  <c r="P17" i="17"/>
  <c r="P13" i="17"/>
  <c r="P9" i="17"/>
  <c r="P5" i="17"/>
  <c r="P32" i="17"/>
  <c r="P28" i="17"/>
  <c r="P24" i="17"/>
  <c r="P20" i="17"/>
  <c r="P16" i="17"/>
  <c r="P12" i="17"/>
  <c r="G199" i="17"/>
  <c r="G198" i="17"/>
  <c r="G200" i="17"/>
  <c r="G201" i="17"/>
  <c r="G202" i="17"/>
  <c r="G207" i="17"/>
  <c r="G208" i="17"/>
  <c r="G7" i="17"/>
  <c r="G8" i="17"/>
  <c r="G9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5" i="17"/>
  <c r="G56" i="17"/>
  <c r="G57" i="17"/>
  <c r="G58" i="17"/>
  <c r="G59" i="17"/>
  <c r="G60" i="17"/>
  <c r="G61" i="17"/>
  <c r="G62" i="17"/>
  <c r="G63" i="17"/>
  <c r="G64" i="17"/>
  <c r="G65" i="17"/>
  <c r="G66" i="17"/>
  <c r="G67" i="17"/>
  <c r="G68" i="17"/>
  <c r="G69" i="17"/>
  <c r="G70" i="17"/>
  <c r="G71" i="17"/>
  <c r="G72" i="17"/>
  <c r="G73" i="17"/>
  <c r="G74" i="17"/>
  <c r="G75" i="17"/>
  <c r="G76" i="17"/>
  <c r="G77" i="17"/>
  <c r="G78" i="17"/>
  <c r="G79" i="17"/>
  <c r="G80" i="17"/>
  <c r="G81" i="17"/>
  <c r="G82" i="17"/>
  <c r="G83" i="17"/>
  <c r="G84" i="17"/>
  <c r="G85" i="17"/>
  <c r="G86" i="17"/>
  <c r="G87" i="17"/>
  <c r="G88" i="17"/>
  <c r="G89" i="17"/>
  <c r="G90" i="17"/>
  <c r="G91" i="17"/>
  <c r="G92" i="17"/>
  <c r="G93" i="17"/>
  <c r="G94" i="17"/>
  <c r="G95" i="17"/>
  <c r="G96" i="17"/>
  <c r="G97" i="17"/>
  <c r="G98" i="17"/>
  <c r="G99" i="17"/>
  <c r="G100" i="17"/>
  <c r="G101" i="17"/>
  <c r="G102" i="17"/>
  <c r="G103" i="17"/>
  <c r="G104" i="17"/>
  <c r="G105" i="17"/>
  <c r="G106" i="17"/>
  <c r="G107" i="17"/>
  <c r="G108" i="17"/>
  <c r="G109" i="17"/>
  <c r="G110" i="17"/>
  <c r="G111" i="17"/>
  <c r="G112" i="17"/>
  <c r="G113" i="17"/>
  <c r="G114" i="17"/>
  <c r="G115" i="17"/>
  <c r="G116" i="17"/>
  <c r="G117" i="17"/>
  <c r="G118" i="17"/>
  <c r="G119" i="17"/>
  <c r="G120" i="17"/>
  <c r="G121" i="17"/>
  <c r="G122" i="17"/>
  <c r="G123" i="17"/>
  <c r="G124" i="17"/>
  <c r="G125" i="17"/>
  <c r="G126" i="17"/>
  <c r="G127" i="17"/>
  <c r="G128" i="17"/>
  <c r="G129" i="17"/>
  <c r="G130" i="17"/>
  <c r="G131" i="17"/>
  <c r="G132" i="17"/>
  <c r="G133" i="17"/>
  <c r="G134" i="17"/>
  <c r="G135" i="17"/>
  <c r="G136" i="17"/>
  <c r="G137" i="17"/>
  <c r="G138" i="17"/>
  <c r="G139" i="17"/>
  <c r="G140" i="17"/>
  <c r="G141" i="17"/>
  <c r="G142" i="17"/>
  <c r="G143" i="17"/>
  <c r="G144" i="17"/>
  <c r="G145" i="17"/>
  <c r="G146" i="17"/>
  <c r="G147" i="17"/>
  <c r="G148" i="17"/>
  <c r="G149" i="17"/>
  <c r="G150" i="17"/>
  <c r="G151" i="17"/>
  <c r="G152" i="17"/>
  <c r="G153" i="17"/>
  <c r="G154" i="17"/>
  <c r="G155" i="17"/>
  <c r="G156" i="17"/>
  <c r="G157" i="17"/>
  <c r="G158" i="17"/>
  <c r="G159" i="17"/>
  <c r="G160" i="17"/>
  <c r="G161" i="17"/>
  <c r="G162" i="17"/>
  <c r="G163" i="17"/>
  <c r="G164" i="17"/>
  <c r="G165" i="17"/>
  <c r="G166" i="17"/>
  <c r="G167" i="17"/>
  <c r="G168" i="17"/>
  <c r="G169" i="17"/>
  <c r="G170" i="17"/>
  <c r="G171" i="17"/>
  <c r="G172" i="17"/>
  <c r="G173" i="17"/>
  <c r="G174" i="17"/>
  <c r="G175" i="17"/>
  <c r="G176" i="17"/>
  <c r="G177" i="17"/>
  <c r="G178" i="17"/>
  <c r="G179" i="17"/>
  <c r="G180" i="17"/>
  <c r="G181" i="17"/>
  <c r="G182" i="17"/>
  <c r="G183" i="17"/>
  <c r="G184" i="17"/>
  <c r="G185" i="17"/>
  <c r="G186" i="17"/>
  <c r="G187" i="17"/>
  <c r="G188" i="17"/>
  <c r="G189" i="17"/>
  <c r="G190" i="17"/>
  <c r="G191" i="17"/>
  <c r="G192" i="17"/>
  <c r="G193" i="17"/>
  <c r="G194" i="17"/>
  <c r="G195" i="17"/>
  <c r="G196" i="17"/>
  <c r="G197" i="17"/>
  <c r="G203" i="17"/>
  <c r="G204" i="17"/>
  <c r="G205" i="17"/>
  <c r="G206" i="17"/>
  <c r="G5" i="17"/>
  <c r="G6" i="17"/>
  <c r="G4" i="17"/>
  <c r="G36" i="16"/>
  <c r="G7" i="16"/>
  <c r="G8" i="16"/>
  <c r="G9" i="16"/>
  <c r="G10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6" i="16"/>
  <c r="G5" i="16"/>
  <c r="G4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F14" i="16"/>
  <c r="F13" i="16"/>
  <c r="F12" i="16"/>
  <c r="F11" i="16"/>
  <c r="F10" i="16"/>
  <c r="F9" i="16"/>
  <c r="F8" i="16"/>
  <c r="F7" i="16"/>
  <c r="F6" i="16"/>
  <c r="F5" i="16"/>
  <c r="F4" i="16"/>
  <c r="G25" i="15"/>
  <c r="G26" i="15"/>
  <c r="G27" i="15"/>
  <c r="G28" i="15"/>
  <c r="G29" i="15"/>
  <c r="G30" i="15"/>
  <c r="G31" i="15"/>
  <c r="G32" i="15"/>
  <c r="G33" i="15"/>
  <c r="G34" i="15"/>
  <c r="G35" i="15"/>
  <c r="G36" i="15"/>
  <c r="G37" i="15"/>
  <c r="G38" i="15"/>
  <c r="G39" i="15"/>
  <c r="G40" i="15"/>
  <c r="G41" i="15"/>
  <c r="G42" i="15"/>
  <c r="G43" i="15"/>
  <c r="G44" i="15"/>
  <c r="G45" i="15"/>
  <c r="G46" i="15"/>
  <c r="G47" i="15"/>
  <c r="G48" i="15"/>
  <c r="G49" i="15"/>
  <c r="G50" i="15"/>
  <c r="G51" i="15"/>
  <c r="G52" i="15"/>
  <c r="G53" i="15"/>
  <c r="G54" i="15"/>
  <c r="G55" i="15"/>
  <c r="G56" i="15"/>
  <c r="G57" i="15"/>
  <c r="G58" i="15"/>
  <c r="G59" i="15"/>
  <c r="G60" i="15"/>
  <c r="G61" i="15"/>
  <c r="G62" i="15"/>
  <c r="G63" i="15"/>
  <c r="G64" i="15"/>
  <c r="G65" i="15"/>
  <c r="G66" i="15"/>
  <c r="G67" i="15"/>
  <c r="G68" i="15"/>
  <c r="G69" i="15"/>
  <c r="G70" i="15"/>
  <c r="G71" i="15"/>
  <c r="G72" i="15"/>
  <c r="G73" i="15"/>
  <c r="G74" i="15"/>
  <c r="G75" i="15"/>
  <c r="G76" i="15"/>
  <c r="G77" i="15"/>
  <c r="G78" i="15"/>
  <c r="G79" i="15"/>
  <c r="G80" i="15"/>
  <c r="G81" i="15"/>
  <c r="G82" i="15"/>
  <c r="G83" i="15"/>
  <c r="G84" i="15"/>
  <c r="G85" i="15"/>
  <c r="G86" i="15"/>
  <c r="G87" i="15"/>
  <c r="G88" i="15"/>
  <c r="G89" i="15"/>
  <c r="G90" i="15"/>
  <c r="G91" i="15"/>
  <c r="G92" i="15"/>
  <c r="G93" i="15"/>
  <c r="G94" i="15"/>
  <c r="G95" i="15"/>
  <c r="G96" i="15"/>
  <c r="G97" i="15"/>
  <c r="G98" i="15"/>
  <c r="G99" i="15"/>
  <c r="G100" i="15"/>
  <c r="G101" i="15"/>
  <c r="G102" i="15"/>
  <c r="G103" i="15"/>
  <c r="G104" i="15"/>
  <c r="G105" i="15"/>
  <c r="G106" i="15"/>
  <c r="G107" i="15"/>
  <c r="G108" i="15"/>
  <c r="G109" i="15"/>
  <c r="G110" i="15"/>
  <c r="G111" i="15"/>
  <c r="G112" i="15"/>
  <c r="G113" i="15"/>
  <c r="G114" i="15"/>
  <c r="G115" i="15"/>
  <c r="G116" i="15"/>
  <c r="G117" i="15"/>
  <c r="G118" i="15"/>
  <c r="G119" i="15"/>
  <c r="G120" i="15"/>
  <c r="G121" i="15"/>
  <c r="G122" i="15"/>
  <c r="G123" i="15"/>
  <c r="G124" i="15"/>
  <c r="G125" i="15"/>
  <c r="G126" i="15"/>
  <c r="G127" i="15"/>
  <c r="G128" i="15"/>
  <c r="G129" i="15"/>
  <c r="G130" i="15"/>
  <c r="G131" i="15"/>
  <c r="G132" i="15"/>
  <c r="G133" i="15"/>
  <c r="G134" i="15"/>
  <c r="G135" i="15"/>
  <c r="G136" i="15"/>
  <c r="G137" i="15"/>
  <c r="G138" i="15"/>
  <c r="G139" i="15"/>
  <c r="G140" i="15"/>
  <c r="G141" i="15"/>
  <c r="G142" i="15"/>
  <c r="G143" i="15"/>
  <c r="G144" i="15"/>
  <c r="G145" i="15"/>
  <c r="G146" i="15"/>
  <c r="G147" i="15"/>
  <c r="G148" i="15"/>
  <c r="G149" i="15"/>
  <c r="G150" i="15"/>
  <c r="G151" i="15"/>
  <c r="G152" i="15"/>
  <c r="G153" i="15"/>
  <c r="G154" i="15"/>
  <c r="G155" i="15"/>
  <c r="G156" i="15"/>
  <c r="G157" i="15"/>
  <c r="G158" i="15"/>
  <c r="G159" i="15"/>
  <c r="G160" i="15"/>
  <c r="G161" i="15"/>
  <c r="G162" i="15"/>
  <c r="G163" i="15"/>
  <c r="G164" i="15"/>
  <c r="G165" i="15"/>
  <c r="G166" i="15"/>
  <c r="G167" i="15"/>
  <c r="G168" i="15"/>
  <c r="G169" i="15"/>
  <c r="G170" i="15"/>
  <c r="G171" i="15"/>
  <c r="G172" i="15"/>
  <c r="G173" i="15"/>
  <c r="G174" i="15"/>
  <c r="G175" i="15"/>
  <c r="G176" i="15"/>
  <c r="G177" i="15"/>
  <c r="G178" i="15"/>
  <c r="G179" i="15"/>
  <c r="G180" i="15"/>
  <c r="G181" i="15"/>
  <c r="G182" i="15"/>
  <c r="G183" i="15"/>
  <c r="G184" i="15"/>
  <c r="G185" i="15"/>
  <c r="G186" i="15"/>
  <c r="G187" i="15"/>
  <c r="G188" i="15"/>
  <c r="G189" i="15"/>
  <c r="G190" i="15"/>
  <c r="G191" i="15"/>
  <c r="G192" i="15"/>
  <c r="G193" i="15"/>
  <c r="G194" i="15"/>
  <c r="G195" i="15"/>
  <c r="G196" i="15"/>
  <c r="G197" i="15"/>
  <c r="G198" i="15"/>
  <c r="G199" i="15"/>
  <c r="G200" i="15"/>
  <c r="G201" i="15"/>
  <c r="G202" i="15"/>
  <c r="G203" i="15"/>
  <c r="G204" i="15"/>
  <c r="G205" i="15"/>
  <c r="G206" i="15"/>
  <c r="G207" i="15"/>
  <c r="G208" i="15"/>
  <c r="G209" i="15"/>
  <c r="G210" i="15"/>
  <c r="G211" i="15"/>
  <c r="G212" i="15"/>
  <c r="G213" i="15"/>
  <c r="G214" i="15"/>
  <c r="G215" i="15"/>
  <c r="G216" i="15"/>
  <c r="G217" i="15"/>
  <c r="G218" i="15"/>
  <c r="G219" i="15"/>
  <c r="G220" i="15"/>
  <c r="G221" i="15"/>
  <c r="G222" i="15"/>
  <c r="G223" i="15"/>
  <c r="G224" i="15"/>
  <c r="G225" i="15"/>
  <c r="G226" i="15"/>
  <c r="G227" i="15"/>
  <c r="G228" i="15"/>
  <c r="G229" i="15"/>
  <c r="G230" i="15"/>
  <c r="G231" i="15"/>
  <c r="G232" i="15"/>
  <c r="G233" i="15"/>
  <c r="G234" i="15"/>
  <c r="G235" i="15"/>
  <c r="G236" i="15"/>
  <c r="G237" i="15"/>
  <c r="G238" i="15"/>
  <c r="G239" i="15"/>
  <c r="G240" i="15"/>
  <c r="G241" i="15"/>
  <c r="G242" i="15"/>
  <c r="G243" i="15"/>
  <c r="G244" i="15"/>
  <c r="G245" i="15"/>
  <c r="G246" i="15"/>
  <c r="G247" i="15"/>
  <c r="G248" i="15"/>
  <c r="G249" i="15"/>
  <c r="G250" i="15"/>
  <c r="G251" i="15"/>
  <c r="G252" i="15"/>
  <c r="G253" i="15"/>
  <c r="G254" i="15"/>
  <c r="G255" i="15"/>
  <c r="G256" i="15"/>
  <c r="G257" i="15"/>
  <c r="G258" i="15"/>
  <c r="G259" i="15"/>
  <c r="G260" i="15"/>
  <c r="G261" i="15"/>
  <c r="G262" i="15"/>
  <c r="G263" i="15"/>
  <c r="G264" i="15"/>
  <c r="G5" i="15"/>
  <c r="G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4" i="15"/>
  <c r="E264" i="15"/>
  <c r="E263" i="15"/>
  <c r="E262" i="15"/>
  <c r="E261" i="15"/>
  <c r="E260" i="15"/>
  <c r="E259" i="15"/>
  <c r="E258" i="15"/>
  <c r="E257" i="15"/>
  <c r="E256" i="15"/>
  <c r="E255" i="15"/>
  <c r="E254" i="15"/>
  <c r="E253" i="15"/>
  <c r="E252" i="15"/>
  <c r="E251" i="15"/>
  <c r="E250" i="15"/>
  <c r="E249" i="15"/>
  <c r="E248" i="15"/>
  <c r="E247" i="15"/>
  <c r="E246" i="15"/>
  <c r="E245" i="15"/>
  <c r="E244" i="15"/>
  <c r="E243" i="15"/>
  <c r="E242" i="15"/>
  <c r="E241" i="15"/>
  <c r="E240" i="15"/>
  <c r="E239" i="15"/>
  <c r="E238" i="15"/>
  <c r="E237" i="15"/>
  <c r="E236" i="15"/>
  <c r="E235" i="15"/>
  <c r="E234" i="15"/>
  <c r="E233" i="15"/>
  <c r="E232" i="15"/>
  <c r="E231" i="15"/>
  <c r="E230" i="15"/>
  <c r="E229" i="15"/>
  <c r="E228" i="15"/>
  <c r="E227" i="15"/>
  <c r="E226" i="15"/>
  <c r="E225" i="15"/>
  <c r="E224" i="15"/>
  <c r="E223" i="15"/>
  <c r="E222" i="15"/>
  <c r="E221" i="15"/>
  <c r="E220" i="15"/>
  <c r="E219" i="15"/>
  <c r="E218" i="15"/>
  <c r="E217" i="15"/>
  <c r="E216" i="15"/>
  <c r="E215" i="15"/>
  <c r="E214" i="15"/>
  <c r="E213" i="15"/>
  <c r="E212" i="15"/>
  <c r="E211" i="15"/>
  <c r="E210" i="15"/>
  <c r="E209" i="15"/>
  <c r="E208" i="15"/>
  <c r="E207" i="15"/>
  <c r="E206" i="15"/>
  <c r="E205" i="15"/>
  <c r="E204" i="15"/>
  <c r="E203" i="15"/>
  <c r="E202" i="15"/>
  <c r="E201" i="15"/>
  <c r="E200" i="15"/>
  <c r="E199" i="15"/>
  <c r="E198" i="15"/>
  <c r="E197" i="15"/>
  <c r="E196" i="15"/>
  <c r="E195" i="15"/>
  <c r="E194" i="15"/>
  <c r="E193" i="15"/>
  <c r="E192" i="15"/>
  <c r="E191" i="15"/>
  <c r="E190" i="15"/>
  <c r="E189" i="15"/>
  <c r="E188" i="15"/>
  <c r="E187" i="15"/>
  <c r="E186" i="15"/>
  <c r="E185" i="15"/>
  <c r="E184" i="15"/>
  <c r="E183" i="15"/>
  <c r="E182" i="15"/>
  <c r="E181" i="15"/>
  <c r="E180" i="15"/>
  <c r="E179" i="15"/>
  <c r="E178" i="15"/>
  <c r="E177" i="15"/>
  <c r="E176" i="15"/>
  <c r="E175" i="15"/>
  <c r="E174" i="15"/>
  <c r="E173" i="15"/>
  <c r="E172" i="15"/>
  <c r="E171" i="15"/>
  <c r="E170" i="15"/>
  <c r="E169" i="15"/>
  <c r="E168" i="15"/>
  <c r="E167" i="15"/>
  <c r="E166" i="15"/>
  <c r="E165" i="15"/>
  <c r="E164" i="15"/>
  <c r="E163" i="15"/>
  <c r="E162" i="15"/>
  <c r="E161" i="15"/>
  <c r="E160" i="15"/>
  <c r="E159" i="15"/>
  <c r="E158" i="15"/>
  <c r="E157" i="15"/>
  <c r="E156" i="15"/>
  <c r="E155" i="15"/>
  <c r="E154" i="15"/>
  <c r="E153" i="15"/>
  <c r="E152" i="15"/>
  <c r="E151" i="15"/>
  <c r="E150" i="15"/>
  <c r="E149" i="15"/>
  <c r="E148" i="15"/>
  <c r="E147" i="15"/>
  <c r="E146" i="15"/>
  <c r="E145" i="15"/>
  <c r="E144" i="15"/>
  <c r="E143" i="15"/>
  <c r="E142" i="15"/>
  <c r="E141" i="15"/>
  <c r="E140" i="15"/>
  <c r="E139" i="15"/>
  <c r="E138" i="15"/>
  <c r="E137" i="15"/>
  <c r="E136" i="15"/>
  <c r="E135" i="15"/>
  <c r="E134" i="15"/>
  <c r="E133" i="15"/>
  <c r="E132" i="15"/>
  <c r="E131" i="15"/>
  <c r="E130" i="15"/>
  <c r="E129" i="15"/>
  <c r="E128" i="15"/>
  <c r="E127" i="15"/>
  <c r="E126" i="15"/>
  <c r="E125" i="15"/>
  <c r="E124" i="15"/>
  <c r="E123" i="15"/>
  <c r="E122" i="15"/>
  <c r="E121" i="15"/>
  <c r="E120" i="15"/>
  <c r="E119" i="15"/>
  <c r="E118" i="15"/>
  <c r="E117" i="15"/>
  <c r="E116" i="15"/>
  <c r="E114" i="15"/>
  <c r="E113" i="15"/>
  <c r="E112" i="15"/>
  <c r="E111" i="15"/>
  <c r="E110" i="15"/>
  <c r="E109" i="15"/>
  <c r="E108" i="15"/>
  <c r="E107" i="15"/>
  <c r="E106" i="15"/>
  <c r="E105" i="15"/>
  <c r="E104" i="15"/>
  <c r="E103" i="15"/>
  <c r="E102" i="15"/>
  <c r="E101" i="15"/>
  <c r="E100" i="15"/>
  <c r="E99" i="15"/>
  <c r="E98" i="15"/>
  <c r="E97" i="15"/>
  <c r="E96" i="15"/>
  <c r="E95" i="15"/>
  <c r="E94" i="15"/>
  <c r="E93" i="15"/>
  <c r="E92" i="15"/>
  <c r="E91" i="15"/>
  <c r="E90" i="15"/>
  <c r="E89" i="15"/>
  <c r="E88" i="15"/>
  <c r="E87" i="15"/>
  <c r="E86" i="15"/>
  <c r="E85" i="15"/>
  <c r="E84" i="15"/>
  <c r="E83" i="15"/>
  <c r="E82" i="15"/>
  <c r="E81" i="15"/>
  <c r="E80" i="15"/>
  <c r="E79" i="15"/>
  <c r="E78" i="15"/>
  <c r="E77" i="15"/>
  <c r="E76" i="15"/>
  <c r="E75" i="15"/>
  <c r="E74" i="15"/>
  <c r="E73" i="15"/>
  <c r="E72" i="15"/>
  <c r="E71" i="15"/>
  <c r="E70" i="15"/>
  <c r="E69" i="15"/>
  <c r="E68" i="15"/>
  <c r="E67" i="15"/>
  <c r="E66" i="15"/>
  <c r="E65" i="15"/>
  <c r="E64" i="15"/>
  <c r="E63" i="15"/>
  <c r="E62" i="15"/>
  <c r="E61" i="15"/>
  <c r="E60" i="15"/>
  <c r="E59" i="15"/>
  <c r="E58" i="15"/>
  <c r="E57" i="15"/>
  <c r="E56" i="15"/>
  <c r="E55" i="15"/>
  <c r="E54" i="15"/>
  <c r="E53" i="15"/>
  <c r="E52" i="15"/>
  <c r="E51" i="15"/>
  <c r="E50" i="15"/>
  <c r="E49" i="15"/>
  <c r="E48" i="15"/>
  <c r="E47" i="15"/>
  <c r="E46" i="15"/>
  <c r="E45" i="15"/>
  <c r="E44" i="15"/>
  <c r="E43" i="15"/>
  <c r="E42" i="15"/>
  <c r="E41" i="15"/>
  <c r="E40" i="15"/>
  <c r="E39" i="15"/>
  <c r="E38" i="15"/>
  <c r="E37" i="15"/>
  <c r="E36" i="15"/>
  <c r="E35" i="15"/>
  <c r="E34" i="15"/>
  <c r="E33" i="15"/>
  <c r="E32" i="15"/>
  <c r="E31" i="15"/>
  <c r="E30" i="15"/>
  <c r="E29" i="15"/>
  <c r="E28" i="15"/>
  <c r="E27" i="15"/>
  <c r="E26" i="15"/>
  <c r="E25" i="15"/>
  <c r="E24" i="15"/>
  <c r="E23" i="15"/>
  <c r="E22" i="15"/>
  <c r="E21" i="15"/>
  <c r="E20" i="15"/>
  <c r="E19" i="15"/>
  <c r="E18" i="15"/>
  <c r="E17" i="15"/>
  <c r="E16" i="15"/>
  <c r="E15" i="15"/>
  <c r="E14" i="15"/>
  <c r="E13" i="15"/>
  <c r="E12" i="15"/>
  <c r="E11" i="15"/>
  <c r="E10" i="15"/>
  <c r="E9" i="15"/>
  <c r="E8" i="15"/>
  <c r="E7" i="15"/>
  <c r="E6" i="15"/>
  <c r="E5" i="15"/>
  <c r="E4" i="15"/>
  <c r="AM62" i="1"/>
  <c r="AM63" i="1"/>
  <c r="AM64" i="1"/>
  <c r="AM65" i="1"/>
  <c r="AM66" i="1"/>
  <c r="AM67" i="1"/>
  <c r="AM68" i="1"/>
  <c r="AM69" i="1"/>
  <c r="AM72" i="1"/>
  <c r="AM73" i="1"/>
  <c r="AM74" i="1"/>
  <c r="AM75" i="1"/>
  <c r="AM76" i="1"/>
  <c r="AM79" i="1"/>
  <c r="AM80" i="1"/>
  <c r="AM81" i="1"/>
  <c r="AM82" i="1"/>
  <c r="AM83" i="1"/>
  <c r="AM84" i="1"/>
  <c r="AM85" i="1"/>
  <c r="AM87" i="1"/>
  <c r="AM88" i="1"/>
  <c r="AM89" i="1"/>
  <c r="AM90" i="1"/>
  <c r="AM91" i="1"/>
  <c r="AM92" i="1"/>
  <c r="AM93" i="1"/>
  <c r="AM94" i="1"/>
  <c r="AM95" i="1"/>
  <c r="AM96" i="1"/>
  <c r="AM97" i="1"/>
  <c r="AM98" i="1"/>
  <c r="AM99" i="1"/>
  <c r="AM100" i="1"/>
  <c r="AM101" i="1"/>
  <c r="AM102" i="1"/>
  <c r="AM103" i="1"/>
  <c r="AM104" i="1"/>
  <c r="AM105" i="1"/>
  <c r="AM106" i="1"/>
  <c r="AM107" i="1"/>
  <c r="AM108" i="1"/>
  <c r="AM109" i="1"/>
  <c r="AM110" i="1"/>
  <c r="AM111" i="1"/>
  <c r="AM112" i="1"/>
  <c r="AM113" i="1"/>
  <c r="AM114" i="1"/>
  <c r="AM115" i="1"/>
  <c r="AM116" i="1"/>
  <c r="AM117" i="1"/>
  <c r="AM118" i="1"/>
  <c r="AM119" i="1"/>
  <c r="AM120" i="1"/>
  <c r="AM121" i="1"/>
  <c r="AM122" i="1"/>
  <c r="AM123" i="1"/>
  <c r="AM124" i="1"/>
  <c r="AM126" i="1"/>
  <c r="AM127" i="1"/>
  <c r="AM128" i="1"/>
  <c r="AM129" i="1"/>
  <c r="AM130" i="1"/>
  <c r="AM131" i="1"/>
  <c r="AM132" i="1"/>
  <c r="AM135" i="1"/>
  <c r="AM138" i="1"/>
  <c r="AM139" i="1"/>
  <c r="AM140" i="1"/>
  <c r="AM141" i="1"/>
  <c r="AM142" i="1"/>
  <c r="AM143" i="1"/>
  <c r="AM144" i="1"/>
  <c r="AM145" i="1"/>
  <c r="AM146" i="1"/>
  <c r="AM147" i="1"/>
  <c r="AM148" i="1"/>
  <c r="AM149" i="1"/>
  <c r="AM150" i="1"/>
  <c r="AM151" i="1"/>
  <c r="AM152" i="1"/>
  <c r="AM153" i="1"/>
  <c r="AM154" i="1"/>
  <c r="AM155" i="1"/>
  <c r="AM156" i="1"/>
  <c r="AM157" i="1"/>
  <c r="AM158" i="1"/>
  <c r="AM159" i="1"/>
  <c r="AM160" i="1"/>
  <c r="AM161" i="1"/>
  <c r="AM162" i="1"/>
  <c r="AM163" i="1"/>
  <c r="AM164" i="1"/>
  <c r="AM165" i="1"/>
  <c r="AM166" i="1"/>
  <c r="AM167" i="1"/>
  <c r="AM168" i="1"/>
  <c r="AM169" i="1"/>
  <c r="AM170" i="1"/>
  <c r="AM171" i="1"/>
  <c r="AM172" i="1"/>
  <c r="AM173" i="1"/>
  <c r="AM175" i="1"/>
  <c r="AM176" i="1"/>
  <c r="AM177" i="1"/>
  <c r="AM178" i="1"/>
  <c r="AM179" i="1"/>
  <c r="AM180" i="1"/>
  <c r="AM181" i="1"/>
  <c r="AM184" i="1"/>
  <c r="AM185" i="1"/>
  <c r="AM186" i="1"/>
  <c r="AM190" i="1"/>
  <c r="AM192" i="1"/>
  <c r="AM195" i="1"/>
  <c r="AM197" i="1"/>
  <c r="AM198" i="1"/>
  <c r="AM199" i="1"/>
  <c r="AM200" i="1"/>
  <c r="AM201" i="1"/>
  <c r="AM202" i="1"/>
  <c r="AM203" i="1"/>
  <c r="AM204" i="1"/>
  <c r="AM205" i="1"/>
  <c r="AM206" i="1"/>
  <c r="AM207" i="1"/>
  <c r="AM208" i="1"/>
  <c r="AM209" i="1"/>
  <c r="AM210" i="1"/>
  <c r="AM211" i="1"/>
  <c r="AM212" i="1"/>
  <c r="AM213" i="1"/>
  <c r="AM216" i="1"/>
  <c r="AM217" i="1"/>
  <c r="AM219" i="1"/>
  <c r="AM220" i="1"/>
  <c r="AM221" i="1"/>
  <c r="AM222" i="1"/>
  <c r="AM223" i="1"/>
  <c r="AM224" i="1"/>
  <c r="AM225" i="1"/>
  <c r="AM226" i="1"/>
  <c r="AM227" i="1"/>
  <c r="AM228" i="1"/>
  <c r="AM229" i="1"/>
  <c r="AM230" i="1"/>
  <c r="AM231" i="1"/>
  <c r="AM232" i="1"/>
  <c r="AM233" i="1"/>
  <c r="AM234" i="1"/>
  <c r="AM235" i="1"/>
  <c r="AM236" i="1"/>
  <c r="AM237" i="1"/>
  <c r="AM239" i="1"/>
  <c r="AM240" i="1"/>
  <c r="AM241" i="1"/>
  <c r="AM242" i="1"/>
  <c r="AM243" i="1"/>
  <c r="AM244" i="1"/>
  <c r="AM245" i="1"/>
  <c r="AM246" i="1"/>
  <c r="AM247" i="1"/>
  <c r="AM248" i="1"/>
  <c r="AM253" i="1"/>
  <c r="AM254" i="1"/>
  <c r="AM255" i="1"/>
  <c r="AM256" i="1"/>
  <c r="AM257" i="1"/>
  <c r="AM258" i="1"/>
  <c r="AM259" i="1"/>
  <c r="AM260" i="1"/>
  <c r="AM261" i="1"/>
  <c r="AM262" i="1"/>
  <c r="AM263" i="1"/>
  <c r="AM264" i="1"/>
  <c r="AM265" i="1"/>
  <c r="AM266" i="1"/>
  <c r="AM271" i="1"/>
  <c r="AM272" i="1"/>
  <c r="AM273" i="1"/>
  <c r="AM274" i="1"/>
  <c r="AM275" i="1"/>
  <c r="AM276" i="1"/>
  <c r="AM277" i="1"/>
  <c r="AM278" i="1"/>
  <c r="AM279" i="1"/>
  <c r="AM280" i="1"/>
  <c r="AM281" i="1"/>
  <c r="AM282" i="1"/>
  <c r="AM283" i="1"/>
  <c r="AM284" i="1"/>
  <c r="AM286" i="1"/>
  <c r="AM287" i="1"/>
  <c r="AM288" i="1"/>
  <c r="AM289" i="1"/>
  <c r="AM290" i="1"/>
  <c r="AM291" i="1"/>
  <c r="AM295" i="1"/>
  <c r="AM296" i="1"/>
  <c r="AM297" i="1"/>
  <c r="AM298" i="1"/>
  <c r="AM299" i="1"/>
  <c r="AM300" i="1"/>
  <c r="AM301" i="1"/>
  <c r="AM302" i="1"/>
  <c r="AM303" i="1"/>
  <c r="AM306" i="1"/>
  <c r="AM58" i="1"/>
  <c r="AM59" i="1"/>
  <c r="AM60" i="1"/>
  <c r="AM61" i="1"/>
  <c r="AM46" i="1"/>
  <c r="AM47" i="1"/>
  <c r="AM48" i="1"/>
  <c r="AM49" i="1"/>
  <c r="AM50" i="1"/>
  <c r="AM51" i="1"/>
  <c r="AM52" i="1"/>
  <c r="AM53" i="1"/>
  <c r="AM54" i="1"/>
  <c r="AM55" i="1"/>
  <c r="AM56" i="1"/>
  <c r="AM57" i="1"/>
  <c r="AM39" i="1"/>
  <c r="AM40" i="1"/>
  <c r="AM41" i="1"/>
  <c r="AM42" i="1"/>
  <c r="AM43" i="1"/>
  <c r="AM35" i="1"/>
  <c r="AM36" i="1"/>
  <c r="AM37" i="1"/>
  <c r="AM38" i="1"/>
  <c r="AM31" i="1"/>
  <c r="AM32" i="1"/>
  <c r="AM33" i="1"/>
  <c r="AM34" i="1"/>
  <c r="AM27" i="1"/>
  <c r="AM28" i="1"/>
  <c r="AM29" i="1"/>
  <c r="AM23" i="1"/>
  <c r="AM24" i="1"/>
  <c r="AM25" i="1"/>
  <c r="AM26" i="1"/>
  <c r="AM20" i="1"/>
  <c r="AM21" i="1"/>
  <c r="AM22" i="1"/>
  <c r="AM13" i="1"/>
  <c r="AM14" i="1"/>
  <c r="AM15" i="1"/>
  <c r="AM16" i="1"/>
  <c r="AM17" i="1"/>
  <c r="AM18" i="1"/>
  <c r="AM9" i="1"/>
  <c r="AM10" i="1"/>
  <c r="AM11" i="1"/>
  <c r="AM12" i="1"/>
  <c r="AM6" i="1"/>
  <c r="AM7" i="1"/>
  <c r="AM8" i="1"/>
  <c r="AM5" i="1"/>
  <c r="F23" i="13"/>
  <c r="F24" i="13"/>
  <c r="F20" i="13"/>
  <c r="E11" i="13"/>
  <c r="E10" i="13"/>
  <c r="E8" i="13"/>
  <c r="E6" i="13"/>
  <c r="E5" i="13"/>
  <c r="E4" i="13"/>
  <c r="E3" i="13"/>
  <c r="F21" i="13"/>
  <c r="F22" i="13"/>
  <c r="P5" i="15" l="1"/>
  <c r="P9" i="15"/>
  <c r="P13" i="15"/>
  <c r="P17" i="15"/>
  <c r="P21" i="15"/>
  <c r="P6" i="15"/>
  <c r="P10" i="15"/>
  <c r="P14" i="15"/>
  <c r="P18" i="15"/>
  <c r="P22" i="15"/>
  <c r="P7" i="15"/>
  <c r="P11" i="15"/>
  <c r="P15" i="15"/>
  <c r="P19" i="15"/>
  <c r="P23" i="15"/>
  <c r="P8" i="15"/>
  <c r="P12" i="15"/>
  <c r="P16" i="15"/>
  <c r="P20" i="15"/>
  <c r="P4" i="15"/>
  <c r="AB306" i="1"/>
  <c r="AB303" i="1"/>
  <c r="AB302" i="1"/>
  <c r="AB301" i="1"/>
  <c r="AB300" i="1"/>
  <c r="AB299" i="1"/>
  <c r="AB297" i="1"/>
  <c r="AB296" i="1"/>
  <c r="AB295" i="1"/>
  <c r="AB291" i="1"/>
  <c r="AB292" i="1"/>
  <c r="AB293" i="1"/>
  <c r="AB294" i="1"/>
  <c r="AB286" i="1"/>
  <c r="AB287" i="1"/>
  <c r="AB288" i="1"/>
  <c r="AB283" i="1"/>
  <c r="AB282" i="1"/>
  <c r="AB281" i="1"/>
  <c r="AB280" i="1"/>
  <c r="AB276" i="1"/>
  <c r="AB277" i="1"/>
  <c r="AB278" i="1"/>
  <c r="AB279" i="1"/>
  <c r="AB272" i="1"/>
  <c r="AB273" i="1"/>
  <c r="AB271" i="1"/>
  <c r="AB264" i="1"/>
  <c r="AB263" i="1"/>
  <c r="AB262" i="1"/>
  <c r="AB261" i="1"/>
  <c r="AB260" i="1"/>
  <c r="AB259" i="1"/>
  <c r="AB258" i="1"/>
  <c r="AB257" i="1"/>
  <c r="AB253" i="1"/>
  <c r="AB254" i="1"/>
  <c r="AB255" i="1"/>
  <c r="AB256" i="1"/>
  <c r="AB247" i="1"/>
  <c r="AB244" i="1"/>
  <c r="AB243" i="1"/>
  <c r="AB239" i="1"/>
  <c r="AB240" i="1"/>
  <c r="AB241" i="1"/>
  <c r="AB242" i="1"/>
  <c r="AB237" i="1"/>
  <c r="AB236" i="1"/>
  <c r="AB235" i="1"/>
  <c r="AB234" i="1"/>
  <c r="AB233" i="1"/>
  <c r="AB232" i="1"/>
  <c r="AB231" i="1"/>
  <c r="AB230" i="1"/>
  <c r="AB229" i="1"/>
  <c r="AB228" i="1"/>
  <c r="AB227" i="1"/>
  <c r="AB226" i="1"/>
  <c r="AB225" i="1"/>
  <c r="AB224" i="1"/>
  <c r="AB223" i="1"/>
  <c r="AB219" i="1"/>
  <c r="AB220" i="1"/>
  <c r="AB221" i="1"/>
  <c r="AB222" i="1"/>
  <c r="AB216" i="1"/>
  <c r="AB217" i="1"/>
  <c r="AB211" i="1"/>
  <c r="AB212" i="1"/>
  <c r="AB213" i="1"/>
  <c r="AB205" i="1"/>
  <c r="AB206" i="1"/>
  <c r="AB207" i="1"/>
  <c r="AB208" i="1"/>
  <c r="AB201" i="1"/>
  <c r="AB202" i="1"/>
  <c r="AB203" i="1"/>
  <c r="AB198" i="1"/>
  <c r="AB199" i="1"/>
  <c r="AB197" i="1"/>
  <c r="AB190" i="1"/>
  <c r="AB185" i="1"/>
  <c r="AB186" i="1"/>
  <c r="AB184" i="1"/>
  <c r="AB181" i="1"/>
  <c r="AB180" i="1"/>
  <c r="AB179" i="1"/>
  <c r="AB175" i="1"/>
  <c r="AB176" i="1"/>
  <c r="AB177" i="1"/>
  <c r="AB178" i="1"/>
  <c r="AB172" i="1"/>
  <c r="AB173" i="1"/>
  <c r="AB174" i="1"/>
  <c r="AB171" i="1"/>
  <c r="AB169" i="1"/>
  <c r="AB168" i="1"/>
  <c r="AB167" i="1"/>
  <c r="AB166" i="1"/>
  <c r="AB165" i="1"/>
  <c r="AB164" i="1"/>
  <c r="AB163" i="1"/>
  <c r="AB160" i="1"/>
  <c r="AB161" i="1"/>
  <c r="AB162" i="1"/>
  <c r="AB159" i="1"/>
  <c r="AB153" i="1"/>
  <c r="AB152" i="1"/>
  <c r="AB151" i="1"/>
  <c r="AB150" i="1"/>
  <c r="AB149" i="1"/>
  <c r="AB148" i="1"/>
  <c r="AB147" i="1"/>
  <c r="AB146" i="1"/>
  <c r="AB142" i="1"/>
  <c r="AB143" i="1"/>
  <c r="AB144" i="1"/>
  <c r="AB145" i="1"/>
  <c r="AB139" i="1"/>
  <c r="AB140" i="1"/>
  <c r="AB141" i="1"/>
  <c r="AB138" i="1"/>
  <c r="AB135" i="1"/>
  <c r="AB134" i="1"/>
  <c r="AB133" i="1"/>
  <c r="AB132" i="1"/>
  <c r="AB131" i="1"/>
  <c r="AB127" i="1"/>
  <c r="AB128" i="1"/>
  <c r="AB129" i="1"/>
  <c r="AB130" i="1"/>
  <c r="AB126" i="1"/>
  <c r="AB124" i="1"/>
  <c r="AB123" i="1"/>
  <c r="AB122" i="1"/>
  <c r="AB121" i="1"/>
  <c r="AB120" i="1"/>
  <c r="AB119" i="1"/>
  <c r="AB118" i="1"/>
  <c r="AB117" i="1"/>
  <c r="AB116" i="1"/>
  <c r="AB115" i="1"/>
  <c r="AB114" i="1"/>
  <c r="AB113" i="1"/>
  <c r="AB112" i="1"/>
  <c r="AB111" i="1"/>
  <c r="AB110" i="1"/>
  <c r="AB109" i="1"/>
  <c r="AB108" i="1"/>
  <c r="AB107" i="1"/>
  <c r="AB106" i="1"/>
  <c r="AB105" i="1"/>
  <c r="AB104" i="1"/>
  <c r="AB103" i="1"/>
  <c r="AB102" i="1"/>
  <c r="I50" i="8"/>
  <c r="I49" i="8"/>
  <c r="I48" i="8"/>
  <c r="I47" i="8"/>
  <c r="I46" i="8"/>
  <c r="I45" i="8"/>
  <c r="I44" i="8"/>
  <c r="I43" i="8"/>
  <c r="I42" i="8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I10" i="8"/>
  <c r="I9" i="8"/>
  <c r="I8" i="8"/>
  <c r="I7" i="8"/>
  <c r="I6" i="8"/>
  <c r="I5" i="8"/>
  <c r="I4" i="8"/>
  <c r="I51" i="8" s="1"/>
  <c r="J7" i="8" l="1"/>
  <c r="J15" i="8"/>
  <c r="J23" i="8"/>
  <c r="J31" i="8"/>
  <c r="J39" i="8"/>
  <c r="J47" i="8"/>
  <c r="J11" i="8"/>
  <c r="J19" i="8"/>
  <c r="J27" i="8"/>
  <c r="J35" i="8"/>
  <c r="J43" i="8"/>
  <c r="J8" i="8"/>
  <c r="J12" i="8"/>
  <c r="J16" i="8"/>
  <c r="J20" i="8"/>
  <c r="J24" i="8"/>
  <c r="J28" i="8"/>
  <c r="J32" i="8"/>
  <c r="J36" i="8"/>
  <c r="J40" i="8"/>
  <c r="J44" i="8"/>
  <c r="J48" i="8"/>
  <c r="J5" i="8"/>
  <c r="J9" i="8"/>
  <c r="J13" i="8"/>
  <c r="J17" i="8"/>
  <c r="J21" i="8"/>
  <c r="J25" i="8"/>
  <c r="J29" i="8"/>
  <c r="J33" i="8"/>
  <c r="J37" i="8"/>
  <c r="J41" i="8"/>
  <c r="J45" i="8"/>
  <c r="J49" i="8"/>
  <c r="J6" i="8"/>
  <c r="J10" i="8"/>
  <c r="J14" i="8"/>
  <c r="J18" i="8"/>
  <c r="J22" i="8"/>
  <c r="J26" i="8"/>
  <c r="J30" i="8"/>
  <c r="J34" i="8"/>
  <c r="J38" i="8"/>
  <c r="J42" i="8"/>
  <c r="J46" i="8"/>
  <c r="J50" i="8"/>
  <c r="J4" i="8"/>
  <c r="J51" i="8" s="1"/>
  <c r="F13" i="12"/>
  <c r="F12" i="12"/>
  <c r="F11" i="12"/>
  <c r="F10" i="12"/>
  <c r="F9" i="12"/>
  <c r="F8" i="12"/>
  <c r="F7" i="12"/>
  <c r="F6" i="12"/>
  <c r="F5" i="12"/>
  <c r="F21" i="11"/>
  <c r="F20" i="11"/>
  <c r="F19" i="11"/>
  <c r="F18" i="11"/>
  <c r="F17" i="11"/>
  <c r="F16" i="11"/>
  <c r="F15" i="11"/>
  <c r="F14" i="11"/>
  <c r="F13" i="11"/>
  <c r="F12" i="11"/>
  <c r="F11" i="11"/>
  <c r="F10" i="11"/>
  <c r="F9" i="11"/>
  <c r="F8" i="11"/>
  <c r="F7" i="11"/>
  <c r="F6" i="11"/>
  <c r="F5" i="11"/>
  <c r="F4" i="11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F6" i="10"/>
  <c r="F5" i="10"/>
  <c r="F4" i="10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10" i="9"/>
  <c r="I9" i="9"/>
  <c r="I8" i="9"/>
  <c r="I7" i="9"/>
  <c r="I6" i="9"/>
  <c r="I5" i="9"/>
  <c r="AB101" i="1"/>
  <c r="AB100" i="1"/>
  <c r="AB99" i="1"/>
  <c r="AB96" i="1"/>
  <c r="AB97" i="1"/>
  <c r="AB98" i="1"/>
  <c r="AB95" i="1"/>
  <c r="AB93" i="1"/>
  <c r="AB92" i="1"/>
  <c r="AB91" i="1"/>
  <c r="AB88" i="1"/>
  <c r="AB89" i="1"/>
  <c r="AB90" i="1"/>
  <c r="AB87" i="1"/>
  <c r="AB85" i="1"/>
  <c r="AB84" i="1"/>
  <c r="AB83" i="1"/>
  <c r="AB80" i="1"/>
  <c r="AB81" i="1"/>
  <c r="AB82" i="1"/>
  <c r="AB79" i="1"/>
  <c r="AB73" i="1"/>
  <c r="AB74" i="1"/>
  <c r="AB72" i="1"/>
  <c r="AB69" i="1"/>
  <c r="AB68" i="1"/>
  <c r="AB67" i="1"/>
  <c r="AB66" i="1"/>
  <c r="AB65" i="1"/>
  <c r="AB64" i="1"/>
  <c r="AB63" i="1"/>
  <c r="AB62" i="1"/>
  <c r="AB61" i="1"/>
  <c r="AB60" i="1"/>
  <c r="AB59" i="1"/>
  <c r="AB58" i="1"/>
  <c r="AB57" i="1"/>
  <c r="AB56" i="1"/>
  <c r="AB55" i="1"/>
  <c r="AB54" i="1"/>
  <c r="AB53" i="1"/>
  <c r="AB52" i="1"/>
  <c r="AB51" i="1"/>
  <c r="AB50" i="1"/>
  <c r="AB47" i="1"/>
  <c r="AB48" i="1"/>
  <c r="AB49" i="1"/>
  <c r="AB46" i="1"/>
  <c r="AB43" i="1"/>
  <c r="AB39" i="1"/>
  <c r="AB40" i="1"/>
  <c r="AB41" i="1"/>
  <c r="AB42" i="1"/>
  <c r="AB36" i="1"/>
  <c r="AB37" i="1"/>
  <c r="AB38" i="1"/>
  <c r="AB35" i="1"/>
  <c r="AB33" i="1"/>
  <c r="AB32" i="1"/>
  <c r="AB31" i="1"/>
  <c r="AB30" i="1"/>
  <c r="AB29" i="1"/>
  <c r="AB28" i="1"/>
  <c r="AB27" i="1"/>
  <c r="AB26" i="1"/>
  <c r="AB25" i="1"/>
  <c r="AB24" i="1"/>
  <c r="AB23" i="1"/>
  <c r="AB22" i="1"/>
  <c r="AB21" i="1"/>
  <c r="AB20" i="1"/>
  <c r="AB19" i="1"/>
  <c r="AB17" i="1"/>
  <c r="AB18" i="1"/>
  <c r="AB16" i="1"/>
  <c r="AB14" i="1"/>
  <c r="AB13" i="1"/>
  <c r="F22" i="11" l="1"/>
  <c r="G15" i="11" s="1"/>
  <c r="J11" i="9"/>
  <c r="J12" i="9"/>
  <c r="J20" i="9"/>
  <c r="G11" i="12"/>
  <c r="J5" i="9"/>
  <c r="J21" i="9"/>
  <c r="J6" i="9"/>
  <c r="J14" i="9"/>
  <c r="G5" i="12"/>
  <c r="J19" i="9"/>
  <c r="J7" i="9"/>
  <c r="J23" i="9"/>
  <c r="J8" i="9"/>
  <c r="J16" i="9"/>
  <c r="J9" i="9"/>
  <c r="J17" i="9"/>
  <c r="J25" i="9"/>
  <c r="G8" i="12"/>
  <c r="J10" i="9"/>
  <c r="J18" i="9"/>
  <c r="J26" i="9"/>
  <c r="F27" i="10"/>
  <c r="G21" i="10" s="1"/>
  <c r="I27" i="9"/>
  <c r="J22" i="9" s="1"/>
  <c r="F14" i="12"/>
  <c r="G12" i="12" s="1"/>
  <c r="C296" i="4"/>
  <c r="C294" i="4"/>
  <c r="C295" i="4"/>
  <c r="C293" i="4"/>
  <c r="C292" i="4"/>
  <c r="C291" i="4"/>
  <c r="C326" i="4"/>
  <c r="C322" i="4"/>
  <c r="C323" i="4"/>
  <c r="C324" i="4"/>
  <c r="C325" i="4"/>
  <c r="C327" i="4"/>
  <c r="C321" i="4"/>
  <c r="C320" i="4"/>
  <c r="C319" i="4"/>
  <c r="C318" i="4"/>
  <c r="C304" i="4"/>
  <c r="C307" i="4"/>
  <c r="C305" i="4"/>
  <c r="C306" i="4"/>
  <c r="C303" i="4"/>
  <c r="G14" i="11" l="1"/>
  <c r="G4" i="11"/>
  <c r="G11" i="11"/>
  <c r="G21" i="11"/>
  <c r="G6" i="11"/>
  <c r="G20" i="11"/>
  <c r="G9" i="11"/>
  <c r="G8" i="11"/>
  <c r="G7" i="11"/>
  <c r="G16" i="11"/>
  <c r="G18" i="11"/>
  <c r="G13" i="11"/>
  <c r="G10" i="11"/>
  <c r="G5" i="11"/>
  <c r="G19" i="11"/>
  <c r="G17" i="11"/>
  <c r="G12" i="11"/>
  <c r="G7" i="12"/>
  <c r="G24" i="10"/>
  <c r="G13" i="12"/>
  <c r="G22" i="10"/>
  <c r="G13" i="10"/>
  <c r="G25" i="10"/>
  <c r="G16" i="10"/>
  <c r="G14" i="10"/>
  <c r="G5" i="10"/>
  <c r="G26" i="10"/>
  <c r="G17" i="10"/>
  <c r="G8" i="10"/>
  <c r="G23" i="10"/>
  <c r="G6" i="10"/>
  <c r="G18" i="10"/>
  <c r="G9" i="10"/>
  <c r="G15" i="10"/>
  <c r="G19" i="10"/>
  <c r="G10" i="10"/>
  <c r="J24" i="9"/>
  <c r="J15" i="9"/>
  <c r="G7" i="10"/>
  <c r="J13" i="9"/>
  <c r="G10" i="12"/>
  <c r="G11" i="10"/>
  <c r="J27" i="9"/>
  <c r="G20" i="10"/>
  <c r="G12" i="10"/>
  <c r="G4" i="10"/>
  <c r="G27" i="10" s="1"/>
  <c r="G9" i="12"/>
  <c r="G6" i="12"/>
  <c r="G14" i="12" s="1"/>
  <c r="C328" i="4"/>
  <c r="C308" i="4"/>
  <c r="C297" i="4"/>
  <c r="C284" i="4"/>
  <c r="C280" i="4"/>
  <c r="C281" i="4"/>
  <c r="C282" i="4"/>
  <c r="C283" i="4"/>
  <c r="C279" i="4"/>
  <c r="C278" i="4"/>
  <c r="C266" i="4"/>
  <c r="C267" i="4"/>
  <c r="C268" i="4"/>
  <c r="C269" i="4"/>
  <c r="C265" i="4"/>
  <c r="C264" i="4"/>
  <c r="C251" i="4"/>
  <c r="C252" i="4"/>
  <c r="C240" i="4"/>
  <c r="C241" i="4"/>
  <c r="C242" i="4"/>
  <c r="C243" i="4"/>
  <c r="C239" i="4"/>
  <c r="C238" i="4"/>
  <c r="C228" i="4"/>
  <c r="C231" i="4"/>
  <c r="C227" i="4"/>
  <c r="C229" i="4"/>
  <c r="C230" i="4"/>
  <c r="C226" i="4"/>
  <c r="C214" i="4"/>
  <c r="C210" i="4"/>
  <c r="C211" i="4"/>
  <c r="C212" i="4"/>
  <c r="C213" i="4"/>
  <c r="C215" i="4"/>
  <c r="C209" i="4"/>
  <c r="C197" i="4"/>
  <c r="C196" i="4"/>
  <c r="G22" i="11" l="1"/>
  <c r="C285" i="4"/>
  <c r="C270" i="4"/>
  <c r="C253" i="4"/>
  <c r="C244" i="4"/>
  <c r="C232" i="4"/>
  <c r="C216" i="4"/>
  <c r="C198" i="4"/>
  <c r="C184" i="4"/>
  <c r="C183" i="4"/>
  <c r="C174" i="4"/>
  <c r="C173" i="4"/>
  <c r="C172" i="4"/>
  <c r="C171" i="4"/>
  <c r="C158" i="4"/>
  <c r="C159" i="4"/>
  <c r="C149" i="4"/>
  <c r="C148" i="4"/>
  <c r="C147" i="4"/>
  <c r="C135" i="4"/>
  <c r="C134" i="4"/>
  <c r="C133" i="4"/>
  <c r="C125" i="4"/>
  <c r="C124" i="4"/>
  <c r="C123" i="4"/>
  <c r="C114" i="4"/>
  <c r="C113" i="4"/>
  <c r="C112" i="4"/>
  <c r="C101" i="4"/>
  <c r="C100" i="4"/>
  <c r="C102" i="4"/>
  <c r="C90" i="4"/>
  <c r="C89" i="4"/>
  <c r="C88" i="4"/>
  <c r="C77" i="4"/>
  <c r="C76" i="4"/>
  <c r="C75" i="4"/>
  <c r="C64" i="4"/>
  <c r="C63" i="4"/>
  <c r="C62" i="4"/>
  <c r="C56" i="4"/>
  <c r="C55" i="4"/>
  <c r="C54" i="4"/>
  <c r="C53" i="4"/>
  <c r="C185" i="4" l="1"/>
  <c r="C175" i="4"/>
  <c r="C160" i="4"/>
  <c r="C150" i="4"/>
  <c r="C136" i="4"/>
  <c r="C126" i="4"/>
  <c r="C115" i="4"/>
  <c r="C103" i="4"/>
  <c r="C91" i="4"/>
  <c r="C78" i="4"/>
  <c r="C65" i="4"/>
  <c r="C57" i="4"/>
  <c r="AB6" i="1"/>
  <c r="AB7" i="1"/>
  <c r="AB8" i="1"/>
  <c r="AB9" i="1"/>
  <c r="AB10" i="1"/>
  <c r="AB11" i="1"/>
  <c r="AB12" i="1"/>
  <c r="AB5" i="1"/>
  <c r="F4" i="13" l="1"/>
  <c r="F5" i="13"/>
  <c r="F6" i="13"/>
  <c r="F8" i="13"/>
  <c r="F3" i="13"/>
  <c r="F10" i="13"/>
  <c r="F11" i="13"/>
  <c r="D324" i="4"/>
  <c r="D325" i="4"/>
  <c r="D323" i="4"/>
  <c r="D326" i="4"/>
  <c r="D327" i="4"/>
  <c r="D322" i="4"/>
  <c r="D321" i="4"/>
  <c r="D320" i="4"/>
  <c r="D319" i="4"/>
  <c r="D318" i="4"/>
  <c r="D304" i="4"/>
  <c r="D307" i="4"/>
  <c r="D303" i="4"/>
  <c r="D305" i="4"/>
  <c r="D306" i="4"/>
  <c r="D296" i="4"/>
  <c r="D292" i="4"/>
  <c r="D293" i="4"/>
  <c r="D295" i="4"/>
  <c r="D294" i="4"/>
  <c r="D283" i="4"/>
  <c r="D291" i="4"/>
  <c r="D284" i="4"/>
  <c r="D279" i="4"/>
  <c r="D282" i="4"/>
  <c r="D278" i="4"/>
  <c r="D280" i="4"/>
  <c r="D281" i="4"/>
  <c r="D267" i="4"/>
  <c r="D269" i="4"/>
  <c r="D264" i="4"/>
  <c r="D268" i="4"/>
  <c r="D266" i="4"/>
  <c r="D265" i="4"/>
  <c r="D242" i="4"/>
  <c r="D239" i="4"/>
  <c r="D241" i="4"/>
  <c r="D240" i="4"/>
  <c r="D252" i="4"/>
  <c r="D243" i="4"/>
  <c r="D238" i="4"/>
  <c r="D251" i="4"/>
  <c r="D158" i="4"/>
  <c r="D231" i="4"/>
  <c r="D227" i="4"/>
  <c r="D215" i="4"/>
  <c r="D230" i="4"/>
  <c r="D226" i="4"/>
  <c r="D211" i="4"/>
  <c r="D229" i="4"/>
  <c r="D212" i="4"/>
  <c r="D228" i="4"/>
  <c r="D210" i="4"/>
  <c r="D213" i="4"/>
  <c r="D214" i="4"/>
  <c r="D135" i="4"/>
  <c r="D133" i="4"/>
  <c r="D173" i="4"/>
  <c r="D209" i="4"/>
  <c r="D197" i="4"/>
  <c r="D196" i="4"/>
  <c r="D184" i="4"/>
  <c r="D183" i="4"/>
  <c r="D174" i="4"/>
  <c r="D172" i="4"/>
  <c r="D171" i="4"/>
  <c r="D149" i="4"/>
  <c r="D134" i="4"/>
  <c r="D63" i="4"/>
  <c r="D159" i="4"/>
  <c r="D147" i="4"/>
  <c r="D148" i="4"/>
  <c r="D88" i="4"/>
  <c r="D113" i="4"/>
  <c r="D112" i="4"/>
  <c r="D101" i="4"/>
  <c r="D100" i="4"/>
  <c r="D125" i="4"/>
  <c r="D124" i="4"/>
  <c r="D89" i="4"/>
  <c r="D123" i="4"/>
  <c r="D102" i="4"/>
  <c r="D90" i="4"/>
  <c r="D75" i="4"/>
  <c r="D77" i="4"/>
  <c r="D76" i="4"/>
  <c r="D114" i="4"/>
  <c r="D62" i="4"/>
  <c r="D64" i="4"/>
  <c r="D54" i="4"/>
  <c r="D55" i="4"/>
  <c r="D56" i="4"/>
  <c r="D53" i="4"/>
  <c r="C43" i="4"/>
  <c r="C44" i="4"/>
  <c r="C45" i="4"/>
  <c r="C46" i="4"/>
  <c r="C47" i="4"/>
  <c r="C42" i="4"/>
  <c r="C41" i="4"/>
  <c r="C40" i="4"/>
  <c r="C39" i="4"/>
  <c r="C38" i="4"/>
  <c r="C37" i="4"/>
  <c r="C36" i="4"/>
  <c r="C27" i="4"/>
  <c r="C26" i="4"/>
  <c r="C17" i="4"/>
  <c r="C16" i="4"/>
  <c r="C15" i="4"/>
  <c r="C5" i="4"/>
  <c r="C4" i="4"/>
  <c r="D328" i="4" l="1"/>
  <c r="D308" i="4"/>
  <c r="D160" i="4"/>
  <c r="D297" i="4"/>
  <c r="D285" i="4"/>
  <c r="D270" i="4"/>
  <c r="D253" i="4"/>
  <c r="D244" i="4"/>
  <c r="D136" i="4"/>
  <c r="D232" i="4"/>
  <c r="D185" i="4"/>
  <c r="D216" i="4"/>
  <c r="D175" i="4"/>
  <c r="D198" i="4"/>
  <c r="D150" i="4"/>
  <c r="D78" i="4"/>
  <c r="D126" i="4"/>
  <c r="D115" i="4"/>
  <c r="D103" i="4"/>
  <c r="D91" i="4"/>
  <c r="D65" i="4"/>
  <c r="D57" i="4"/>
  <c r="C48" i="4"/>
  <c r="C28" i="4"/>
  <c r="C18" i="4"/>
  <c r="C6" i="4"/>
  <c r="D47" i="4" s="1"/>
  <c r="D42" i="4" l="1"/>
  <c r="D41" i="4"/>
  <c r="D40" i="4"/>
  <c r="D39" i="4"/>
  <c r="D38" i="4"/>
  <c r="D37" i="4"/>
  <c r="D44" i="4"/>
  <c r="D5" i="4"/>
  <c r="D43" i="4"/>
  <c r="D46" i="4"/>
  <c r="D45" i="4"/>
  <c r="D36" i="4"/>
  <c r="D27" i="4"/>
  <c r="D26" i="4"/>
  <c r="D16" i="4"/>
  <c r="D17" i="4"/>
  <c r="D4" i="4"/>
  <c r="D15" i="4"/>
  <c r="D6" i="4" l="1"/>
  <c r="D28" i="4"/>
  <c r="D48" i="4"/>
  <c r="D18" i="4"/>
</calcChain>
</file>

<file path=xl/sharedStrings.xml><?xml version="1.0" encoding="utf-8"?>
<sst xmlns="http://schemas.openxmlformats.org/spreadsheetml/2006/main" count="5045" uniqueCount="666">
  <si>
    <t xml:space="preserve"> </t>
  </si>
  <si>
    <t>RESPUESTAS</t>
  </si>
  <si>
    <t>FRECUENCIA</t>
  </si>
  <si>
    <t>%</t>
  </si>
  <si>
    <t>Masculino</t>
  </si>
  <si>
    <t>Femenino</t>
  </si>
  <si>
    <t>TOTAL</t>
  </si>
  <si>
    <t>FECHA</t>
  </si>
  <si>
    <t>P2_SEXO</t>
  </si>
  <si>
    <t>P1_NOMBRE ENCUESTADO</t>
  </si>
  <si>
    <t>P3_EDAD</t>
  </si>
  <si>
    <t>P4_RESIDENCIA</t>
  </si>
  <si>
    <t>P5_VEREDAS</t>
  </si>
  <si>
    <t>P6_EN QUE CALIDAD SE ENCUENTRA</t>
  </si>
  <si>
    <t>P7_# NEGOCIOS</t>
  </si>
  <si>
    <t>P8_TIEMPO EN EL MERCADO</t>
  </si>
  <si>
    <t>P12_FRECUENCIA DE FUNCIONAMIENTO</t>
  </si>
  <si>
    <t>P16B_FRECUENCIA ABASTECIMIENTO</t>
  </si>
  <si>
    <t>P17_PRODUCTO QUE MAS COMERCIALIZA</t>
  </si>
  <si>
    <t>P18_PRODUCTO QUE NO COMERCIALIZA</t>
  </si>
  <si>
    <t>P16A_IDENTIFICACION DE PRODUCTOS</t>
  </si>
  <si>
    <t>P20B_CUALITATIVO</t>
  </si>
  <si>
    <t>P20A_MAYORISTA LOCAL</t>
  </si>
  <si>
    <t>P21A_TIEMPO DE ROTACION</t>
  </si>
  <si>
    <t>P22_MEJOR SERVICIO QUE BRINDA</t>
  </si>
  <si>
    <t>P23_CALIFICACION DEL SERVICIO</t>
  </si>
  <si>
    <t>P24A_MANEJA INVENTARIO</t>
  </si>
  <si>
    <t>P24B_CUALITATIVO</t>
  </si>
  <si>
    <t>P25A_PROGRAMA 
INFORMATICO</t>
  </si>
  <si>
    <t>P25B_CUALITATIVO</t>
  </si>
  <si>
    <t>P26A_TIPO 
TRANSPORTE</t>
  </si>
  <si>
    <t>P26B_CUALITATIVO</t>
  </si>
  <si>
    <t xml:space="preserve">P27A_FUENTES 
FINANCIACION </t>
  </si>
  <si>
    <t>P27B_CUALITATIVO</t>
  </si>
  <si>
    <t>P28B_CUALITATIVO</t>
  </si>
  <si>
    <t>P29B_CUALITATIVO</t>
  </si>
  <si>
    <t>P30B_CUALITATIVO</t>
  </si>
  <si>
    <t>P30A_PROMOCION 
Y PUBLICIDAD</t>
  </si>
  <si>
    <t>P31B_CUALITATIVO</t>
  </si>
  <si>
    <t>P31A_PROCESOS 
INNOVACION</t>
  </si>
  <si>
    <t>P32A_HERRAMIENTAS
 ONLINE</t>
  </si>
  <si>
    <t>P32B_CUALITATIVO</t>
  </si>
  <si>
    <t>P33_POSECIONAMIENTO DEL NEGOCIO</t>
  </si>
  <si>
    <t>P35_VENTAJA 
DEL NEGOCIO</t>
  </si>
  <si>
    <t>P34_DESVENTAJA 
DEL NEGOCIO</t>
  </si>
  <si>
    <t>P36A_LIMITANTE PARA AMPLIAR EL NEGOCIO</t>
  </si>
  <si>
    <t>P36B_CUALITATIVO</t>
  </si>
  <si>
    <t>P37_PERCEPCION ECONOMICA</t>
  </si>
  <si>
    <t>CELULAR</t>
  </si>
  <si>
    <t>CORREO ELECTRONICO</t>
  </si>
  <si>
    <t>WHATSAPP</t>
  </si>
  <si>
    <t>I PERFIL DE COMERCIANTE</t>
  </si>
  <si>
    <t>P10_# EMPLEADOS</t>
  </si>
  <si>
    <t>P11_# CLIENTES</t>
  </si>
  <si>
    <t>P15_ GARANTIAS DE LOS PROVEEDORES</t>
  </si>
  <si>
    <t># ENCUESTA</t>
  </si>
  <si>
    <t xml:space="preserve">P9_CLASIFICACION </t>
  </si>
  <si>
    <t>II BIENES</t>
  </si>
  <si>
    <t>III SERVICIOS</t>
  </si>
  <si>
    <t>P28A_FORMA DE PAGO</t>
  </si>
  <si>
    <t>IV FUENTES DE FINANCIACIÓN</t>
  </si>
  <si>
    <t>P29A_ALIANZAS ESTRATEGICAS</t>
  </si>
  <si>
    <t>V ESTRATEGIAS DE MARKETING</t>
  </si>
  <si>
    <t>VI ANALISIS DEL SECTOR</t>
  </si>
  <si>
    <t>P13A_DE DONDE ES SU PROVEEDOR</t>
  </si>
  <si>
    <t>P13B_CUALITATIVO</t>
  </si>
  <si>
    <t>P14A_# PROVEEDORES</t>
  </si>
  <si>
    <t>P14B_CUALES PROVEEDORES</t>
  </si>
  <si>
    <t xml:space="preserve">P19C_ELABORACION </t>
  </si>
  <si>
    <t>P19B_FRECUENCIA</t>
  </si>
  <si>
    <t>P21B_FRECUENCIA</t>
  </si>
  <si>
    <t>María Angelica Monsalve de Ramos</t>
  </si>
  <si>
    <t>-</t>
  </si>
  <si>
    <t>Nutresa</t>
  </si>
  <si>
    <t>Credito</t>
  </si>
  <si>
    <t>Buenos productos</t>
  </si>
  <si>
    <t>Cumplimiento</t>
  </si>
  <si>
    <t>Limpieza</t>
  </si>
  <si>
    <t>Ninguno</t>
  </si>
  <si>
    <t>Buen servicio</t>
  </si>
  <si>
    <t>Competencia</t>
  </si>
  <si>
    <t>Horario</t>
  </si>
  <si>
    <t>Pesima se viene cosas dificiles en la economia</t>
  </si>
  <si>
    <t>No</t>
  </si>
  <si>
    <t>Si</t>
  </si>
  <si>
    <t>Rosa Linda Tatiana Ordonez</t>
  </si>
  <si>
    <t>Coca Cola</t>
  </si>
  <si>
    <t>Copidrogas</t>
  </si>
  <si>
    <t>Postobon</t>
  </si>
  <si>
    <t>Aseo personal</t>
  </si>
  <si>
    <t>Precios bajos</t>
  </si>
  <si>
    <t>Malo</t>
  </si>
  <si>
    <t>Jenny Nohemy Bustos Aguirre</t>
  </si>
  <si>
    <t>Unimarcas</t>
  </si>
  <si>
    <t>Villetano</t>
  </si>
  <si>
    <t xml:space="preserve">Cumplimiento </t>
  </si>
  <si>
    <t>Buenos precios</t>
  </si>
  <si>
    <t>Dulces</t>
  </si>
  <si>
    <t>Arroz</t>
  </si>
  <si>
    <t>Rangos de precios son los mismos</t>
  </si>
  <si>
    <t>Calidad de producto</t>
  </si>
  <si>
    <t>Siigo</t>
  </si>
  <si>
    <t>Luz Mary Beltran Martinez</t>
  </si>
  <si>
    <t>Todo aseo</t>
  </si>
  <si>
    <t>Atencion al cliente</t>
  </si>
  <si>
    <t>Maria Leonor Aguirre de Bustos</t>
  </si>
  <si>
    <t>Tal vez traigan nuevas ofertas</t>
  </si>
  <si>
    <t>Clientes</t>
  </si>
  <si>
    <t>Complicado</t>
  </si>
  <si>
    <t>Maria Elsi Myriam Monsalve Quevedo</t>
  </si>
  <si>
    <t>Bimbo</t>
  </si>
  <si>
    <t>Ceneca</t>
  </si>
  <si>
    <t>Marly Johana Espitia Castillo</t>
  </si>
  <si>
    <t>Luz Betty Melo Jimenez</t>
  </si>
  <si>
    <t>Alpina</t>
  </si>
  <si>
    <t>Entrega puerta a puerta</t>
  </si>
  <si>
    <t>Falta de conocimiento</t>
  </si>
  <si>
    <t>Pequeño</t>
  </si>
  <si>
    <t>Pesado con lo que se viene</t>
  </si>
  <si>
    <t>Estefania Barragan Velasquez</t>
  </si>
  <si>
    <t xml:space="preserve">Nutresa </t>
  </si>
  <si>
    <t>Coca cola</t>
  </si>
  <si>
    <t>Luz Maria Hernandez Bustos</t>
  </si>
  <si>
    <t>Winny</t>
  </si>
  <si>
    <t>Cumpliento</t>
  </si>
  <si>
    <t>Calidad</t>
  </si>
  <si>
    <t>Leche, pan, huevos, pañales</t>
  </si>
  <si>
    <t>Liliana Velasquez Saavedra</t>
  </si>
  <si>
    <t>No tiene suficiente capital</t>
  </si>
  <si>
    <t>Mario Rodriguez Sanchez</t>
  </si>
  <si>
    <t>Mala administracion</t>
  </si>
  <si>
    <t>Mi propio emprendimiento</t>
  </si>
  <si>
    <t>Gloria Alvarez Bohorquez</t>
  </si>
  <si>
    <t>Familia</t>
  </si>
  <si>
    <t>Kotex</t>
  </si>
  <si>
    <t>Servioccidente</t>
  </si>
  <si>
    <t>Espacio</t>
  </si>
  <si>
    <t>Blanca Lucero Jimenez Bohorquez</t>
  </si>
  <si>
    <t xml:space="preserve">Ceneca </t>
  </si>
  <si>
    <t>Bueno</t>
  </si>
  <si>
    <t>Ingrid Lorena Barragan Beltran</t>
  </si>
  <si>
    <t>Maria Vicenta Jimenez Alvarez</t>
  </si>
  <si>
    <t>Willian Angel Bustos Chitiva</t>
  </si>
  <si>
    <t>Coca colca</t>
  </si>
  <si>
    <t>Altipal</t>
  </si>
  <si>
    <t xml:space="preserve">Credito </t>
  </si>
  <si>
    <t>Jabon y Clorox</t>
  </si>
  <si>
    <t>Frutas y verduras</t>
  </si>
  <si>
    <t>Merlin</t>
  </si>
  <si>
    <t>Éxito y Alkosto</t>
  </si>
  <si>
    <t>Zona parqueo</t>
  </si>
  <si>
    <t>Excelente</t>
  </si>
  <si>
    <t>Maria Luz Hormiga Leon</t>
  </si>
  <si>
    <t>Satisfaccion por el producto</t>
  </si>
  <si>
    <t>Unico en el sector</t>
  </si>
  <si>
    <t>Gloria Clemencia Bohorquez Gil</t>
  </si>
  <si>
    <t>Unimacivo</t>
  </si>
  <si>
    <t>Medicamentos</t>
  </si>
  <si>
    <t>Calidad en los productos</t>
  </si>
  <si>
    <t>Doris Emilce Hernandez</t>
  </si>
  <si>
    <t>Viveres</t>
  </si>
  <si>
    <t>Todo el rango de precios es igual</t>
  </si>
  <si>
    <t>Poca competencia</t>
  </si>
  <si>
    <t>Que va haber mucha mejoria en la economia</t>
  </si>
  <si>
    <t>Maria Alejandra Rodriguez Diaz</t>
  </si>
  <si>
    <t xml:space="preserve">Calidad </t>
  </si>
  <si>
    <t>Satifaccion por el servicio</t>
  </si>
  <si>
    <t>Maria Gladys Nausan Cristancho</t>
  </si>
  <si>
    <t>Todomarcas</t>
  </si>
  <si>
    <t>Zuluaga</t>
  </si>
  <si>
    <t>Aseo personal,pañales, viveres</t>
  </si>
  <si>
    <t>Muy costoso</t>
  </si>
  <si>
    <t>Polvo</t>
  </si>
  <si>
    <t>Central</t>
  </si>
  <si>
    <t>Bueno a la expectativa</t>
  </si>
  <si>
    <t>Amparo Camelo Sandoval</t>
  </si>
  <si>
    <t>Unimarca</t>
  </si>
  <si>
    <t xml:space="preserve">Buenos precios </t>
  </si>
  <si>
    <t>Promociones</t>
  </si>
  <si>
    <t>Maiz</t>
  </si>
  <si>
    <t xml:space="preserve">No pagaria flete </t>
  </si>
  <si>
    <t>Años de servicio</t>
  </si>
  <si>
    <t>Con temor de lo que pueda pasar</t>
  </si>
  <si>
    <t>Maria Claudia Gomez Sabogal</t>
  </si>
  <si>
    <t xml:space="preserve">Ubicación </t>
  </si>
  <si>
    <t>Clara Lady Calderon Hilanon</t>
  </si>
  <si>
    <t xml:space="preserve">Postobon </t>
  </si>
  <si>
    <t xml:space="preserve">Bimbo </t>
  </si>
  <si>
    <t>Dulces y paquetes</t>
  </si>
  <si>
    <t>Parqueadero</t>
  </si>
  <si>
    <t>Sildana Vera Olaya</t>
  </si>
  <si>
    <t xml:space="preserve">Coca cola </t>
  </si>
  <si>
    <t xml:space="preserve">Rubiela Marin </t>
  </si>
  <si>
    <t>Provesa</t>
  </si>
  <si>
    <t xml:space="preserve">Cumpliento </t>
  </si>
  <si>
    <t>Ofertas</t>
  </si>
  <si>
    <t xml:space="preserve">Todo es igual </t>
  </si>
  <si>
    <t>rubimarin2028@hotmail.com</t>
  </si>
  <si>
    <t>Arisbel Vargas</t>
  </si>
  <si>
    <t xml:space="preserve">Unimarcas </t>
  </si>
  <si>
    <t xml:space="preserve">Descuento </t>
  </si>
  <si>
    <t>arisbelgaraba@gmail.com</t>
  </si>
  <si>
    <t>Estefanny Perez Quintero</t>
  </si>
  <si>
    <t>Buen precio</t>
  </si>
  <si>
    <t>Todo esta muy caro</t>
  </si>
  <si>
    <t>No me gusta</t>
  </si>
  <si>
    <t>Cambios favorables</t>
  </si>
  <si>
    <t>estefanny14112@gmail.com</t>
  </si>
  <si>
    <t xml:space="preserve">Nancy Orley </t>
  </si>
  <si>
    <t>Helados</t>
  </si>
  <si>
    <t>No es una garantia para los precios</t>
  </si>
  <si>
    <t>Ofelia Mojica</t>
  </si>
  <si>
    <t xml:space="preserve">Loreal </t>
  </si>
  <si>
    <t>Merci</t>
  </si>
  <si>
    <t xml:space="preserve">Reconocimiento </t>
  </si>
  <si>
    <t>Nancy Ovando</t>
  </si>
  <si>
    <t>Margarita</t>
  </si>
  <si>
    <t>Pedialyte</t>
  </si>
  <si>
    <t>Heidy Jhoana Parada Garcia</t>
  </si>
  <si>
    <t xml:space="preserve">Lacteos </t>
  </si>
  <si>
    <t>Se ahorra pagar el transporte del producto</t>
  </si>
  <si>
    <t>Sobre costo</t>
  </si>
  <si>
    <t>Desventaja para las ventas por que son productos importantes que por su costo puede dificultar las compras</t>
  </si>
  <si>
    <t>helenporodar2345@gmail.com</t>
  </si>
  <si>
    <t>Paola Andrea Infante Vivas</t>
  </si>
  <si>
    <t>Transporte propio</t>
  </si>
  <si>
    <t>Tatiana Rodriguez</t>
  </si>
  <si>
    <t>Winner</t>
  </si>
  <si>
    <t>Daysor</t>
  </si>
  <si>
    <t>Responsabilidad</t>
  </si>
  <si>
    <t>Viveres y aseo</t>
  </si>
  <si>
    <t>Embutidos</t>
  </si>
  <si>
    <t>Falta de recursos</t>
  </si>
  <si>
    <t>tatianarodriguez073@gmail.com</t>
  </si>
  <si>
    <t>Jeimy Conztansa Hernandez</t>
  </si>
  <si>
    <t>Huggies</t>
  </si>
  <si>
    <t>Carnicos</t>
  </si>
  <si>
    <t>Carnicos y frutas</t>
  </si>
  <si>
    <t>Areliz Ballesteros Beltran</t>
  </si>
  <si>
    <t xml:space="preserve">Atencion </t>
  </si>
  <si>
    <t>Servicio</t>
  </si>
  <si>
    <t>Verduras</t>
  </si>
  <si>
    <t>Hernan Silva</t>
  </si>
  <si>
    <t>Pequeñin</t>
  </si>
  <si>
    <t>Scoth</t>
  </si>
  <si>
    <t>Arroz y cerveza</t>
  </si>
  <si>
    <t>Todos buscan competencia</t>
  </si>
  <si>
    <t xml:space="preserve">Andres Felipe Bedoya </t>
  </si>
  <si>
    <t>Vendedor</t>
  </si>
  <si>
    <t>Cambio productos por vencimiento</t>
  </si>
  <si>
    <t xml:space="preserve">Arroz </t>
  </si>
  <si>
    <t>Costos de transporte</t>
  </si>
  <si>
    <t>Tener producto a la mano</t>
  </si>
  <si>
    <t>Reservado</t>
  </si>
  <si>
    <t>andresfelipelopez@gmail.com</t>
  </si>
  <si>
    <t>Jean Carlo Gonzalez</t>
  </si>
  <si>
    <t xml:space="preserve">Polar </t>
  </si>
  <si>
    <t>Sabor</t>
  </si>
  <si>
    <t>Ya hay varios</t>
  </si>
  <si>
    <t>La expectativa es que no incremente los costos</t>
  </si>
  <si>
    <t>carlogonzalez04@gmail.com</t>
  </si>
  <si>
    <t xml:space="preserve">Maria Fernanda Rojas </t>
  </si>
  <si>
    <t xml:space="preserve">Margarita </t>
  </si>
  <si>
    <t>Super Ricas</t>
  </si>
  <si>
    <t xml:space="preserve">Bavaria </t>
  </si>
  <si>
    <t>Cambio de producto</t>
  </si>
  <si>
    <t>Viveres  y pañales</t>
  </si>
  <si>
    <t>Cerveza</t>
  </si>
  <si>
    <t>Llega con mejores precios</t>
  </si>
  <si>
    <t>mafe2000@hotmail.com</t>
  </si>
  <si>
    <t xml:space="preserve">Alba Cecilia Avila Tinoco </t>
  </si>
  <si>
    <t>Todo muy costoso</t>
  </si>
  <si>
    <t xml:space="preserve">Bien </t>
  </si>
  <si>
    <t>Ricardo Tinjaco</t>
  </si>
  <si>
    <t>Paquetes y carnicos</t>
  </si>
  <si>
    <t xml:space="preserve">Yamit Penagos Romero </t>
  </si>
  <si>
    <t>Garantia</t>
  </si>
  <si>
    <t>Aseo y canasta familiar</t>
  </si>
  <si>
    <t xml:space="preserve">Comercial </t>
  </si>
  <si>
    <t>yamithoo@hotmail.com</t>
  </si>
  <si>
    <t>Jhon Jairo Patiño Espitia</t>
  </si>
  <si>
    <t>Respaldo</t>
  </si>
  <si>
    <t>Se elimina intermediarios</t>
  </si>
  <si>
    <t>Decadencia</t>
  </si>
  <si>
    <t>jhonace263@hotmail.com</t>
  </si>
  <si>
    <t>No se entiende</t>
  </si>
  <si>
    <t xml:space="preserve">Xiomara Quinche Espitia </t>
  </si>
  <si>
    <t>Colanta</t>
  </si>
  <si>
    <t xml:space="preserve">Huggies </t>
  </si>
  <si>
    <t>Colombiana</t>
  </si>
  <si>
    <t>Mejora la calidad y ahorro en el envio</t>
  </si>
  <si>
    <t>Economia</t>
  </si>
  <si>
    <t>Compleja</t>
  </si>
  <si>
    <t>Maria Fernanda Canizales Arias</t>
  </si>
  <si>
    <t>Bavaria</t>
  </si>
  <si>
    <t>Mas alimento</t>
  </si>
  <si>
    <t>No hay competencia</t>
  </si>
  <si>
    <t>Mal por que todo esta subiendo</t>
  </si>
  <si>
    <t>Luis Alberto Calderon Reina</t>
  </si>
  <si>
    <t>Frutas</t>
  </si>
  <si>
    <t>Ahorro de transporte</t>
  </si>
  <si>
    <t>luis.calderon101010@gmail.com</t>
  </si>
  <si>
    <t>Eliana Linarez</t>
  </si>
  <si>
    <t xml:space="preserve">Ofertas </t>
  </si>
  <si>
    <t xml:space="preserve">Seria mas economico </t>
  </si>
  <si>
    <t>Mayor surtido</t>
  </si>
  <si>
    <t>Que podrian haber cambios malos por el incremento</t>
  </si>
  <si>
    <t>Eduardo Castañeda</t>
  </si>
  <si>
    <t>Dulces y aseo personal</t>
  </si>
  <si>
    <t>Servilletas</t>
  </si>
  <si>
    <t>Muy buena en espera a la expectativa</t>
  </si>
  <si>
    <t>Elmer Saldaña</t>
  </si>
  <si>
    <t>Leon Marroquin</t>
  </si>
  <si>
    <t>Fonseca</t>
  </si>
  <si>
    <t>Darnell</t>
  </si>
  <si>
    <t>Aseo personal y pañales</t>
  </si>
  <si>
    <t>Disminuye los costos</t>
  </si>
  <si>
    <t>Leidi Viviana Alarcon Moreno</t>
  </si>
  <si>
    <t>vivanaalarcon.856@gmail.com</t>
  </si>
  <si>
    <t>Miguel Lobo</t>
  </si>
  <si>
    <t>Zenu</t>
  </si>
  <si>
    <t>Lacteos</t>
  </si>
  <si>
    <t>Descuentos</t>
  </si>
  <si>
    <t>Creo que no va a mejorar</t>
  </si>
  <si>
    <t xml:space="preserve">Leonardo Pulido </t>
  </si>
  <si>
    <t xml:space="preserve">Familia </t>
  </si>
  <si>
    <t xml:space="preserve">Entrega de productos a tiempo </t>
  </si>
  <si>
    <t>Buena calidad</t>
  </si>
  <si>
    <t>Granos</t>
  </si>
  <si>
    <t>Bajos precios</t>
  </si>
  <si>
    <t>leonardopulidomahecha@gmail.com</t>
  </si>
  <si>
    <t>Yaneth Perez Hernandez</t>
  </si>
  <si>
    <t>Mercancia en buen estado</t>
  </si>
  <si>
    <t>Maiz y panela</t>
  </si>
  <si>
    <t>Sin parqueadero</t>
  </si>
  <si>
    <t>Con bastantes expectativas</t>
  </si>
  <si>
    <t>Marisol Triana</t>
  </si>
  <si>
    <t>Farmasanchez</t>
  </si>
  <si>
    <t>Entrega segura de los productos</t>
  </si>
  <si>
    <t>De todo cada vez más costoso todo</t>
  </si>
  <si>
    <t>marisoltriana@yahoo.es</t>
  </si>
  <si>
    <t>Emperatriz Camargo</t>
  </si>
  <si>
    <t>Nacional de Chocolates</t>
  </si>
  <si>
    <t>Dersa</t>
  </si>
  <si>
    <t>Colgate</t>
  </si>
  <si>
    <t>Malo por el incremento de todo</t>
  </si>
  <si>
    <t>Berenice nuñez</t>
  </si>
  <si>
    <t>Atención al cliente</t>
  </si>
  <si>
    <t>Muy pesada por que todo esta costoso</t>
  </si>
  <si>
    <t>Lixon Gaviria Garcia</t>
  </si>
  <si>
    <t>Creditos</t>
  </si>
  <si>
    <t>lixon.gaviria@misena.edu.co</t>
  </si>
  <si>
    <t>Faber Silva</t>
  </si>
  <si>
    <t>A la expectativa</t>
  </si>
  <si>
    <t>Maria Claudia Sanchez</t>
  </si>
  <si>
    <t>Pañales Tennei</t>
  </si>
  <si>
    <t>Los precios de los productos</t>
  </si>
  <si>
    <t>Positivamente</t>
  </si>
  <si>
    <t>Flor Mireya Urquijo Triana</t>
  </si>
  <si>
    <t>Pañales</t>
  </si>
  <si>
    <t>Muy mal</t>
  </si>
  <si>
    <t>mireyaurquijo190@gmail.com</t>
  </si>
  <si>
    <t>Sandra Johana Quintero</t>
  </si>
  <si>
    <t>Será un buena administración y trae avances favorables</t>
  </si>
  <si>
    <t>Establo</t>
  </si>
  <si>
    <t>Constancia</t>
  </si>
  <si>
    <t>Crsitian Linares</t>
  </si>
  <si>
    <t>Falta de inversión</t>
  </si>
  <si>
    <t>Fredy Eduardo Celin Zamora</t>
  </si>
  <si>
    <t xml:space="preserve">Confianza por los productos </t>
  </si>
  <si>
    <t>Astrid Cortes</t>
  </si>
  <si>
    <t>Puede salir mas economico el flete</t>
  </si>
  <si>
    <t>Horarios de atención</t>
  </si>
  <si>
    <t>Excel</t>
  </si>
  <si>
    <t>Es la oportunidad del campo que se desarrolle al maximo y mejore el valor de los precios</t>
  </si>
  <si>
    <t>astrid.tour@hotmail.com</t>
  </si>
  <si>
    <t>Marisol Navas Ramirez</t>
  </si>
  <si>
    <t>Crem Helado</t>
  </si>
  <si>
    <t>Ayudaria al alcance de los precios</t>
  </si>
  <si>
    <t>Formatizate calidad</t>
  </si>
  <si>
    <t>Paguinas virtuales</t>
  </si>
  <si>
    <t>Horarios de atencion</t>
  </si>
  <si>
    <t>en ves de ir mejorando todo hace un alce muy grande y una dificil situación para manejar la vida diaria</t>
  </si>
  <si>
    <t>marisolnavasramirez@gmail.com</t>
  </si>
  <si>
    <t>Juan Sebastian Roa</t>
  </si>
  <si>
    <t>Frito Lay</t>
  </si>
  <si>
    <t>El provedor debe tener un margen de ganancia</t>
  </si>
  <si>
    <t>Brindar interes al consumidor</t>
  </si>
  <si>
    <t>Por el momento esta estable</t>
  </si>
  <si>
    <t>supert.da@gmail.com</t>
  </si>
  <si>
    <t>Marisol Murcia</t>
  </si>
  <si>
    <t>Laura Quinche</t>
  </si>
  <si>
    <t>Por temas de arriendos</t>
  </si>
  <si>
    <t>laura.oyode26@hotmail.com</t>
  </si>
  <si>
    <t>Brilly Vargas Calderón</t>
  </si>
  <si>
    <t>Milena Espitia</t>
  </si>
  <si>
    <t>Fabrica el propio producto</t>
  </si>
  <si>
    <t>Normal</t>
  </si>
  <si>
    <t>lenoleins@hotmail.com</t>
  </si>
  <si>
    <t>Leidy Lorena Ospina Martinez</t>
  </si>
  <si>
    <t>Locatel</t>
  </si>
  <si>
    <t>Canasta familiar</t>
  </si>
  <si>
    <t>leidy_ospina93@hotmail.com</t>
  </si>
  <si>
    <t>Luis Carlos Mendez Beltran</t>
  </si>
  <si>
    <t>Katherine Rodriguez</t>
  </si>
  <si>
    <t>Clorox</t>
  </si>
  <si>
    <t>Manejar solo un producto especial</t>
  </si>
  <si>
    <t>katherinerodriguez@hotmail.com</t>
  </si>
  <si>
    <t>Yelsia Allende Tobar Vergara</t>
  </si>
  <si>
    <t>Rica</t>
  </si>
  <si>
    <t>Frecuencia</t>
  </si>
  <si>
    <t>ESTUDIO DE MERCADO EN EL MUNICIPIO DE VILLETA PROVINCIA DE GUALIVA</t>
  </si>
  <si>
    <t>Pregunta_2</t>
  </si>
  <si>
    <t>Pregunta_3</t>
  </si>
  <si>
    <t>De 18 a 28</t>
  </si>
  <si>
    <t>29 a 59</t>
  </si>
  <si>
    <t>Mayor de 60</t>
  </si>
  <si>
    <t>Pregunta_4</t>
  </si>
  <si>
    <t>Urbana</t>
  </si>
  <si>
    <t>Rural</t>
  </si>
  <si>
    <t>Pregunta_5</t>
  </si>
  <si>
    <t>Alban</t>
  </si>
  <si>
    <t>La Peña</t>
  </si>
  <si>
    <t>La Vega</t>
  </si>
  <si>
    <t>Nimaima</t>
  </si>
  <si>
    <t>Nocaima</t>
  </si>
  <si>
    <t>Quebrada Negra</t>
  </si>
  <si>
    <t>San Francisco</t>
  </si>
  <si>
    <t>Sasaima</t>
  </si>
  <si>
    <t>Supatá</t>
  </si>
  <si>
    <t>Útica</t>
  </si>
  <si>
    <t>Vergara</t>
  </si>
  <si>
    <t>Villeta</t>
  </si>
  <si>
    <t>Droguería</t>
  </si>
  <si>
    <t>Aseo Personal</t>
  </si>
  <si>
    <t>Dulces y Paquetes</t>
  </si>
  <si>
    <t>Semanal</t>
  </si>
  <si>
    <t>Diario</t>
  </si>
  <si>
    <t>P19A_ACTIVIDADES</t>
  </si>
  <si>
    <t>Descuento</t>
  </si>
  <si>
    <t>Domicilios</t>
  </si>
  <si>
    <t>Atención al Cliente</t>
  </si>
  <si>
    <t>Mensual</t>
  </si>
  <si>
    <t>Tengo una distibución</t>
  </si>
  <si>
    <t>Dos por Uno</t>
  </si>
  <si>
    <t>Puenta a Puerta</t>
  </si>
  <si>
    <t>Atención en el Establecimiento</t>
  </si>
  <si>
    <t>Quincenales</t>
  </si>
  <si>
    <t>Asesoramiento</t>
  </si>
  <si>
    <t>Depende de la Provisión</t>
  </si>
  <si>
    <t>Droguería-Semanal</t>
  </si>
  <si>
    <t>Dulces y Paquetes-Diario</t>
  </si>
  <si>
    <t>Pregunta_6</t>
  </si>
  <si>
    <t>Propietario</t>
  </si>
  <si>
    <t>Administrador</t>
  </si>
  <si>
    <t>Encargado</t>
  </si>
  <si>
    <t>Empleado</t>
  </si>
  <si>
    <t>Entre 2 a 3</t>
  </si>
  <si>
    <t>Más de 4</t>
  </si>
  <si>
    <t>Pregunta_7</t>
  </si>
  <si>
    <t>Pregunta_8</t>
  </si>
  <si>
    <t>Menor a 1 año</t>
  </si>
  <si>
    <t>Entre 1 a 4 años</t>
  </si>
  <si>
    <t>Más de 4 años</t>
  </si>
  <si>
    <t>Pregunta_9</t>
  </si>
  <si>
    <t>Mayorista</t>
  </si>
  <si>
    <t>Minorista Tradicional</t>
  </si>
  <si>
    <t>Minorista libre de servicios</t>
  </si>
  <si>
    <t>Pregunta_10</t>
  </si>
  <si>
    <t>De 1 a 5</t>
  </si>
  <si>
    <t>De 6 a 10</t>
  </si>
  <si>
    <t>Más de 10</t>
  </si>
  <si>
    <t>Pregunta_11</t>
  </si>
  <si>
    <t>Entre 10 a 20</t>
  </si>
  <si>
    <t>Entre 20 a 40</t>
  </si>
  <si>
    <t>Más de 50</t>
  </si>
  <si>
    <t>Pregunta_12</t>
  </si>
  <si>
    <t>1 vez a la semana</t>
  </si>
  <si>
    <t>3 veces a la semana</t>
  </si>
  <si>
    <t>Todos los días</t>
  </si>
  <si>
    <t>Pregunta_13</t>
  </si>
  <si>
    <t>Local</t>
  </si>
  <si>
    <t>Bogotá</t>
  </si>
  <si>
    <t>Local &amp; Bogotá</t>
  </si>
  <si>
    <t>Pregunta_14</t>
  </si>
  <si>
    <t>1 Provedor</t>
  </si>
  <si>
    <t>Más de 3</t>
  </si>
  <si>
    <t>Pregunta_20</t>
  </si>
  <si>
    <t>Sí</t>
  </si>
  <si>
    <t>Pregunta_23</t>
  </si>
  <si>
    <t>Regular</t>
  </si>
  <si>
    <t>Pregunta_24</t>
  </si>
  <si>
    <t>Pregunta_25</t>
  </si>
  <si>
    <t>Pregunta_26</t>
  </si>
  <si>
    <t>Convenio con transportadora</t>
  </si>
  <si>
    <t>Proveedor brinda servicio</t>
  </si>
  <si>
    <t>1 y 2</t>
  </si>
  <si>
    <t>1 y 3</t>
  </si>
  <si>
    <t>2 y 3</t>
  </si>
  <si>
    <t>otro</t>
  </si>
  <si>
    <t>Pregunta_27</t>
  </si>
  <si>
    <t>Recursos propios</t>
  </si>
  <si>
    <t>Inversiones</t>
  </si>
  <si>
    <t>Pregunta_28</t>
  </si>
  <si>
    <t>Contado</t>
  </si>
  <si>
    <t>Pago por semana</t>
  </si>
  <si>
    <t>Pago mensual</t>
  </si>
  <si>
    <t>Pregunta_29</t>
  </si>
  <si>
    <t>Pregunta_30</t>
  </si>
  <si>
    <t>Quincenal</t>
  </si>
  <si>
    <t>Semestral</t>
  </si>
  <si>
    <t>Anual</t>
  </si>
  <si>
    <t>Otro</t>
  </si>
  <si>
    <t>Pregunta_31</t>
  </si>
  <si>
    <t>tecnologicos</t>
  </si>
  <si>
    <t>diseño</t>
  </si>
  <si>
    <t>software</t>
  </si>
  <si>
    <t>cambio de provedores</t>
  </si>
  <si>
    <t>cambio de personal</t>
  </si>
  <si>
    <t>Pregunta_32</t>
  </si>
  <si>
    <t>Aplicaciones</t>
  </si>
  <si>
    <t>Paginas WEB</t>
  </si>
  <si>
    <t>Whatsapp</t>
  </si>
  <si>
    <t>Pregunta_33</t>
  </si>
  <si>
    <t>Muy Alto</t>
  </si>
  <si>
    <t>Alto</t>
  </si>
  <si>
    <t>Medio</t>
  </si>
  <si>
    <t>Bajo</t>
  </si>
  <si>
    <t>Muy Bajo</t>
  </si>
  <si>
    <t>Pregunta_36</t>
  </si>
  <si>
    <t>1 y 4</t>
  </si>
  <si>
    <t>2 y 4</t>
  </si>
  <si>
    <t>3 y 4</t>
  </si>
  <si>
    <t>Presupuesto</t>
  </si>
  <si>
    <t>Demanda Producto</t>
  </si>
  <si>
    <t>Instalaciones</t>
  </si>
  <si>
    <t>Telefonia Movil</t>
  </si>
  <si>
    <t>CONCATENADOS</t>
  </si>
  <si>
    <t>Promocionando los productos</t>
  </si>
  <si>
    <t>Depende la calidad</t>
  </si>
  <si>
    <t>Dependiendo el provedor</t>
  </si>
  <si>
    <t>Al final del mes</t>
  </si>
  <si>
    <t>Atención del local</t>
  </si>
  <si>
    <t>Depende de la provisión</t>
  </si>
  <si>
    <t>Clientes frecuentes</t>
  </si>
  <si>
    <t>A clientes seleccionados</t>
  </si>
  <si>
    <t>Servicio en el establecimiento</t>
  </si>
  <si>
    <t>Depende de la provisón</t>
  </si>
  <si>
    <t>A fin de mes</t>
  </si>
  <si>
    <t>Depende del cliente</t>
  </si>
  <si>
    <t>En el negocio</t>
  </si>
  <si>
    <t>Farmacia</t>
  </si>
  <si>
    <t>Depende del provedor</t>
  </si>
  <si>
    <t>Puerta a Puerta</t>
  </si>
  <si>
    <t>Ofertas del vendedor</t>
  </si>
  <si>
    <t>Atención del establecimiento</t>
  </si>
  <si>
    <t>Depende del vendedor</t>
  </si>
  <si>
    <t>Personal y telefono</t>
  </si>
  <si>
    <t>Pregunta_14B</t>
  </si>
  <si>
    <t>Crem helado</t>
  </si>
  <si>
    <t xml:space="preserve">Crem helado </t>
  </si>
  <si>
    <t>Polar</t>
  </si>
  <si>
    <t>Loreal</t>
  </si>
  <si>
    <t>Total</t>
  </si>
  <si>
    <t>Pregunta_15B</t>
  </si>
  <si>
    <t>Atencion</t>
  </si>
  <si>
    <t>Entrega de productos a tiempo</t>
  </si>
  <si>
    <t>Pregunta_17</t>
  </si>
  <si>
    <t>Cigarrillos y limpieza</t>
  </si>
  <si>
    <t>Pregunta_18</t>
  </si>
  <si>
    <t>Confianza por los productos</t>
  </si>
  <si>
    <t>Pregunta_22</t>
  </si>
  <si>
    <t>Depende la provisión</t>
  </si>
  <si>
    <t>Personal</t>
  </si>
  <si>
    <t>Comercialiación de los productos</t>
  </si>
  <si>
    <t>Busco productos de buena calidad</t>
  </si>
  <si>
    <t>No genero cosnto adicional</t>
  </si>
  <si>
    <t>Presentación personal</t>
  </si>
  <si>
    <t>A final de mes</t>
  </si>
  <si>
    <t>Supliendo las necesidades</t>
  </si>
  <si>
    <t>Con venta de los productos</t>
  </si>
  <si>
    <t>En moto del almacen</t>
  </si>
  <si>
    <t>Depende del la provisión</t>
  </si>
  <si>
    <t>Fines de semana</t>
  </si>
  <si>
    <t>Se le rebaja a la cuenta</t>
  </si>
  <si>
    <t>Personal todo el tiempo</t>
  </si>
  <si>
    <t>Aclarando preguntas</t>
  </si>
  <si>
    <t>Entrego el domicilio personal</t>
  </si>
  <si>
    <t>Según la compra</t>
  </si>
  <si>
    <t>Con la venta de productos</t>
  </si>
  <si>
    <t>Ventas mayores a 50 mil</t>
  </si>
  <si>
    <t>Todas las compras</t>
  </si>
  <si>
    <t>Se garantiza los productos</t>
  </si>
  <si>
    <t>Depende del Cliente</t>
  </si>
  <si>
    <t>Según las promosiones de la marca</t>
  </si>
  <si>
    <t>Proyección del mejoramiento</t>
  </si>
  <si>
    <t>Proyección de ventas</t>
  </si>
  <si>
    <t>Mejoramietno de mercado</t>
  </si>
  <si>
    <t>Proyección de mejoramiento y calidad</t>
  </si>
  <si>
    <t>Ejecucción de planes de venta</t>
  </si>
  <si>
    <t>Mejoramietno y calidad de ventas</t>
  </si>
  <si>
    <t>Catalogos de promociones</t>
  </si>
  <si>
    <t>Por medio de catalogos</t>
  </si>
  <si>
    <t>Dependiendo los domicilios que salgan</t>
  </si>
  <si>
    <t>Se encargan los productos de baja rotación</t>
  </si>
  <si>
    <t>Se bajan los precios en diferentes espocas</t>
  </si>
  <si>
    <t>Empresas de camara y comercio</t>
  </si>
  <si>
    <t>Personas muy allegadas al negocio</t>
  </si>
  <si>
    <t>Personal y Telefono</t>
  </si>
  <si>
    <t>CONCATENAR</t>
  </si>
  <si>
    <t>Pregunta_37</t>
  </si>
  <si>
    <t>Bien</t>
  </si>
  <si>
    <t>Descuento-Mensual</t>
  </si>
  <si>
    <t>Domicilios-Diario</t>
  </si>
  <si>
    <t>Atención al Cliente-Diario</t>
  </si>
  <si>
    <t>Asesoramiento-Diario</t>
  </si>
  <si>
    <t>Promociones-Semanal</t>
  </si>
  <si>
    <t>Descuento-Quincenal</t>
  </si>
  <si>
    <t>Ofertas-Mensual</t>
  </si>
  <si>
    <t>Domicilios-Semanal</t>
  </si>
  <si>
    <t>Promociones-Mensual</t>
  </si>
  <si>
    <t>Promociones-Diario</t>
  </si>
  <si>
    <t>Promociones-Quincenal</t>
  </si>
  <si>
    <t>Ofertas-Diario</t>
  </si>
  <si>
    <t>Asesoramiento-</t>
  </si>
  <si>
    <t>Atención al Cliente-</t>
  </si>
  <si>
    <t>Domicilios-</t>
  </si>
  <si>
    <t>Asesoramiento-Semanal</t>
  </si>
  <si>
    <t>Atención al Cliente-Semanal</t>
  </si>
  <si>
    <t>Promociones-</t>
  </si>
  <si>
    <t>Promociones-Anual</t>
  </si>
  <si>
    <t>Ofertas-Semanal</t>
  </si>
  <si>
    <t>Descuento-Diario</t>
  </si>
  <si>
    <t>Ofertas-Quincenal</t>
  </si>
  <si>
    <t>Descuento-Semanal</t>
  </si>
  <si>
    <t>Descuento-Anual</t>
  </si>
  <si>
    <t>Asesoramiento-Anual</t>
  </si>
  <si>
    <t>Ocasional</t>
  </si>
  <si>
    <t>Domicilios-Ocasional</t>
  </si>
  <si>
    <t>Ofertas-Ocasional</t>
  </si>
  <si>
    <t>Descuento-Ocasional</t>
  </si>
  <si>
    <t>Promociones-Ocasional</t>
  </si>
  <si>
    <t>Actividad</t>
  </si>
  <si>
    <t>Actividad y Frecuencia</t>
  </si>
  <si>
    <t>Dulces y Paquetes-Semanal</t>
  </si>
  <si>
    <t>Aseo Personal-Semanal</t>
  </si>
  <si>
    <t>Limpieza-Semanal</t>
  </si>
  <si>
    <t>Droguería-Depende de la Provisión</t>
  </si>
  <si>
    <t>Limpieza-Mensual</t>
  </si>
  <si>
    <t>Droguería-Mensual</t>
  </si>
  <si>
    <t>Aseo Personal-Mensual</t>
  </si>
  <si>
    <t>Limpieza-Depende de la Provisión</t>
  </si>
  <si>
    <t>Dulces y Paquetes-Quincenal</t>
  </si>
  <si>
    <t>Aseo Personal-Quincenal</t>
  </si>
  <si>
    <t>Limpieza-Quincenal</t>
  </si>
  <si>
    <t>Droguería-Quincenal</t>
  </si>
  <si>
    <t>Farmacia-Semanal</t>
  </si>
  <si>
    <t>Dulces y Paquetes-Mensual</t>
  </si>
  <si>
    <t>Farmacia-Quincenal</t>
  </si>
  <si>
    <t>Farmacia-Mensual</t>
  </si>
  <si>
    <t>Dulces y Paquetes-Depende de la Provisión</t>
  </si>
  <si>
    <t>Aseo Personal-Depende de la Provisión</t>
  </si>
  <si>
    <t>Tipo de Rotación y Frecuencia</t>
  </si>
  <si>
    <t>P16A&amp;B_CONCATENADOS</t>
  </si>
  <si>
    <t>P19A&amp;B_CONCATENADOS</t>
  </si>
  <si>
    <t>P21A&amp;B_CONCATENAR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</si>
</sst>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Black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b/>
      <sz val="10"/>
      <color rgb="FF0A5E1A"/>
      <name val="Arial"/>
      <family val="2"/>
    </font>
    <font>
      <sz val="11"/>
      <color rgb="FF0A5E1A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6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9" fontId="0" fillId="0" borderId="1" xfId="1" applyFont="1" applyBorder="1" applyAlignment="1">
      <alignment horizontal="center" vertical="center"/>
    </xf>
    <xf numFmtId="9" fontId="2" fillId="2" borderId="1" xfId="1" applyFont="1" applyFill="1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5" fillId="0" borderId="1" xfId="2" applyBorder="1"/>
    <xf numFmtId="14" fontId="0" fillId="0" borderId="1" xfId="0" applyNumberFormat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1" xfId="0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/>
    </xf>
    <xf numFmtId="0" fontId="7" fillId="11" borderId="4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/>
    </xf>
    <xf numFmtId="0" fontId="7" fillId="12" borderId="4" xfId="0" applyFont="1" applyFill="1" applyBorder="1" applyAlignment="1">
      <alignment horizontal="center" vertical="center" wrapText="1"/>
    </xf>
    <xf numFmtId="0" fontId="7" fillId="12" borderId="4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/>
    </xf>
    <xf numFmtId="0" fontId="7" fillId="9" borderId="8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/>
    <xf numFmtId="0" fontId="0" fillId="0" borderId="17" xfId="0" applyBorder="1" applyAlignment="1">
      <alignment horizontal="center" vertical="center"/>
    </xf>
    <xf numFmtId="14" fontId="0" fillId="0" borderId="18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/>
    <xf numFmtId="0" fontId="5" fillId="0" borderId="18" xfId="2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14" fontId="0" fillId="0" borderId="19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9" xfId="0" applyBorder="1"/>
    <xf numFmtId="0" fontId="5" fillId="0" borderId="19" xfId="2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5" fillId="0" borderId="2" xfId="2" applyBorder="1"/>
    <xf numFmtId="0" fontId="0" fillId="0" borderId="24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8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8" xfId="0" applyBorder="1" applyAlignment="1"/>
    <xf numFmtId="0" fontId="0" fillId="0" borderId="19" xfId="0" applyBorder="1" applyAlignment="1"/>
    <xf numFmtId="0" fontId="0" fillId="0" borderId="2" xfId="0" applyBorder="1" applyAlignment="1"/>
    <xf numFmtId="0" fontId="0" fillId="0" borderId="0" xfId="0" applyAlignment="1">
      <alignment horizontal="center"/>
    </xf>
    <xf numFmtId="9" fontId="0" fillId="0" borderId="1" xfId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1" xfId="1" applyFont="1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9" fontId="2" fillId="0" borderId="1" xfId="1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0" borderId="24" xfId="0" applyBorder="1"/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30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9" xfId="0" applyBorder="1"/>
    <xf numFmtId="0" fontId="11" fillId="6" borderId="4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1" fillId="5" borderId="4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horizontal="center"/>
    </xf>
    <xf numFmtId="9" fontId="2" fillId="15" borderId="1" xfId="0" applyNumberFormat="1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horizontal="center" vertical="center"/>
    </xf>
    <xf numFmtId="0" fontId="0" fillId="16" borderId="25" xfId="0" applyFill="1" applyBorder="1" applyAlignment="1">
      <alignment horizontal="center"/>
    </xf>
    <xf numFmtId="0" fontId="0" fillId="0" borderId="18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9" fontId="2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0" fontId="12" fillId="0" borderId="13" xfId="0" applyFont="1" applyBorder="1" applyAlignment="1">
      <alignment horizontal="center"/>
    </xf>
    <xf numFmtId="0" fontId="12" fillId="0" borderId="31" xfId="0" applyFont="1" applyBorder="1"/>
    <xf numFmtId="0" fontId="12" fillId="0" borderId="31" xfId="0" applyFont="1" applyBorder="1" applyAlignment="1">
      <alignment horizontal="center"/>
    </xf>
    <xf numFmtId="0" fontId="12" fillId="0" borderId="26" xfId="0" applyFont="1" applyBorder="1"/>
    <xf numFmtId="0" fontId="12" fillId="0" borderId="26" xfId="0" applyFont="1" applyBorder="1" applyAlignment="1">
      <alignment horizontal="center"/>
    </xf>
    <xf numFmtId="0" fontId="11" fillId="6" borderId="12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18" xfId="0" applyFont="1" applyBorder="1"/>
    <xf numFmtId="0" fontId="14" fillId="0" borderId="29" xfId="0" applyFont="1" applyBorder="1"/>
    <xf numFmtId="0" fontId="14" fillId="0" borderId="19" xfId="0" applyFont="1" applyBorder="1"/>
    <xf numFmtId="0" fontId="14" fillId="0" borderId="0" xfId="0" applyFont="1" applyBorder="1"/>
    <xf numFmtId="0" fontId="14" fillId="0" borderId="2" xfId="0" applyFont="1" applyBorder="1"/>
    <xf numFmtId="0" fontId="14" fillId="0" borderId="11" xfId="0" applyFont="1" applyBorder="1"/>
    <xf numFmtId="0" fontId="13" fillId="5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/>
    </xf>
    <xf numFmtId="0" fontId="0" fillId="0" borderId="25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8" fillId="15" borderId="14" xfId="0" applyFont="1" applyFill="1" applyBorder="1" applyAlignment="1">
      <alignment horizontal="center" vertical="center"/>
    </xf>
    <xf numFmtId="0" fontId="8" fillId="15" borderId="15" xfId="0" applyFont="1" applyFill="1" applyBorder="1" applyAlignment="1">
      <alignment horizontal="center" vertical="center"/>
    </xf>
    <xf numFmtId="0" fontId="8" fillId="15" borderId="16" xfId="0" applyFont="1" applyFill="1" applyBorder="1" applyAlignment="1">
      <alignment horizontal="center" vertical="center"/>
    </xf>
    <xf numFmtId="0" fontId="4" fillId="14" borderId="14" xfId="0" applyFont="1" applyFill="1" applyBorder="1" applyAlignment="1">
      <alignment horizontal="center" vertical="center"/>
    </xf>
    <xf numFmtId="0" fontId="4" fillId="14" borderId="15" xfId="0" applyFont="1" applyFill="1" applyBorder="1" applyAlignment="1">
      <alignment horizontal="center" vertical="center"/>
    </xf>
    <xf numFmtId="0" fontId="4" fillId="14" borderId="16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4" fillId="8" borderId="0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10" borderId="12" xfId="0" applyFont="1" applyFill="1" applyBorder="1" applyAlignment="1">
      <alignment horizontal="center" vertical="center"/>
    </xf>
    <xf numFmtId="0" fontId="4" fillId="10" borderId="0" xfId="0" applyFont="1" applyFill="1" applyBorder="1" applyAlignment="1">
      <alignment horizontal="center" vertical="center"/>
    </xf>
    <xf numFmtId="0" fontId="4" fillId="13" borderId="12" xfId="0" applyFont="1" applyFill="1" applyBorder="1" applyAlignment="1">
      <alignment horizontal="center" vertical="center"/>
    </xf>
    <xf numFmtId="0" fontId="4" fillId="13" borderId="0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A5E1A"/>
      <color rgb="FF0066FF"/>
      <color rgb="FFCC00CC"/>
      <color rgb="FFAB0D94"/>
      <color rgb="FFFF33CC"/>
      <color rgb="FFFFCCCC"/>
      <color rgb="FFFFFF66"/>
      <color rgb="FF660033"/>
      <color rgb="FF9966FF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P_2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4456036745406818E-2"/>
          <c:y val="0.17171296296296296"/>
          <c:w val="0.78776618547681543"/>
          <c:h val="0.6149843248760571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Procesamiento_Info!$D$3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EB5-4482-9D63-8DE501DC69A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Procesamiento_Info!$B$4:$B$6</c15:sqref>
                  </c15:fullRef>
                </c:ext>
              </c:extLst>
              <c:f>Procesamiento_Info!$B$4:$B$5</c:f>
              <c:strCache>
                <c:ptCount val="2"/>
                <c:pt idx="0">
                  <c:v>Masculino</c:v>
                </c:pt>
                <c:pt idx="1">
                  <c:v>Femenino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Procesamiento_Info!$D$4:$D$6</c15:sqref>
                  </c15:fullRef>
                </c:ext>
              </c:extLst>
              <c:f>Procesamiento_Info!$D$4:$D$5</c:f>
              <c:numCache>
                <c:formatCode>0%</c:formatCode>
                <c:ptCount val="2"/>
                <c:pt idx="0">
                  <c:v>0.25974025974025972</c:v>
                </c:pt>
                <c:pt idx="1">
                  <c:v>0.74025974025974028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EB5-4482-9D63-8DE501DC69A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48261320"/>
        <c:axId val="34825544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Procesamiento_Info!$C$3</c15:sqref>
                        </c15:formulaRef>
                      </c:ext>
                    </c:extLst>
                    <c:strCache>
                      <c:ptCount val="1"/>
                      <c:pt idx="0">
                        <c:v>FRECUENCIA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Procesamiento_Info!$B$4:$B$6</c15:sqref>
                        </c15:fullRef>
                        <c15:formulaRef>
                          <c15:sqref>Procesamiento_Info!$B$4:$B$5</c15:sqref>
                        </c15:formulaRef>
                      </c:ext>
                    </c:extLst>
                    <c:strCache>
                      <c:ptCount val="2"/>
                      <c:pt idx="0">
                        <c:v>Masculino</c:v>
                      </c:pt>
                      <c:pt idx="1">
                        <c:v>Femenino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Procesamiento_Info!$C$4:$C$6</c15:sqref>
                        </c15:fullRef>
                        <c15:formulaRef>
                          <c15:sqref>Procesamiento_Info!$C$4:$C$5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20</c:v>
                      </c:pt>
                      <c:pt idx="1">
                        <c:v>57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3-4EB5-4482-9D63-8DE501DC69A4}"/>
                  </c:ext>
                </c:extLst>
              </c15:ser>
            </c15:filteredBarSeries>
          </c:ext>
        </c:extLst>
      </c:barChart>
      <c:catAx>
        <c:axId val="348261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48255440"/>
        <c:crosses val="autoZero"/>
        <c:auto val="1"/>
        <c:lblAlgn val="ctr"/>
        <c:lblOffset val="100"/>
        <c:noMultiLvlLbl val="0"/>
      </c:catAx>
      <c:valAx>
        <c:axId val="34825544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48261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0" i="0" kern="1200" spc="0" baseline="0">
                <a:solidFill>
                  <a:srgbClr val="595959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P_11_Promedio de clientes</a:t>
            </a:r>
            <a:endParaRPr lang="es-CO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1"/>
          <c:order val="1"/>
          <c:tx>
            <c:strRef>
              <c:f>Procesamiento_Info!$D$110:$D$111</c:f>
              <c:strCache>
                <c:ptCount val="2"/>
                <c:pt idx="0">
                  <c:v>Pregunta_11</c:v>
                </c:pt>
                <c:pt idx="1">
                  <c:v>%</c:v>
                </c:pt>
              </c:strCache>
            </c:strRef>
          </c:tx>
          <c:spPr>
            <a:solidFill>
              <a:srgbClr val="FFCCCC"/>
            </a:solidFill>
          </c:spPr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85D-4B92-99CC-4F725A0D4F4F}"/>
              </c:ext>
            </c:extLst>
          </c:dPt>
          <c:dPt>
            <c:idx val="1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85D-4B92-99CC-4F725A0D4F4F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85D-4B92-99CC-4F725A0D4F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Procesamiento_Info!$B$112:$B$115</c15:sqref>
                  </c15:fullRef>
                </c:ext>
              </c:extLst>
              <c:f>Procesamiento_Info!$B$112:$B$114</c:f>
              <c:strCache>
                <c:ptCount val="3"/>
                <c:pt idx="0">
                  <c:v>Entre 10 a 20</c:v>
                </c:pt>
                <c:pt idx="1">
                  <c:v>Entre 20 a 40</c:v>
                </c:pt>
                <c:pt idx="2">
                  <c:v>Más de 50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Procesamiento_Info!$D$112:$D$115</c15:sqref>
                  </c15:fullRef>
                </c:ext>
              </c:extLst>
              <c:f>Procesamiento_Info!$D$112:$D$114</c:f>
              <c:numCache>
                <c:formatCode>0%</c:formatCode>
                <c:ptCount val="3"/>
                <c:pt idx="0">
                  <c:v>2.5974025974025976E-2</c:v>
                </c:pt>
                <c:pt idx="1">
                  <c:v>0.19480519480519481</c:v>
                </c:pt>
                <c:pt idx="2">
                  <c:v>0.77922077922077926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585D-4B92-99CC-4F725A0D4F4F}"/>
            </c:ext>
            <c:ext xmlns:c15="http://schemas.microsoft.com/office/drawing/2012/chart" uri="{02D57815-91ED-43cb-92C2-25804820EDAC}">
              <c15:categoryFilterExceptions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 xmlns:c16r2="http://schemas.microsoft.com/office/drawing/2015/06/chart"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Procesamiento_Info!$C$110:$C$111</c15:sqref>
                        </c15:formulaRef>
                      </c:ext>
                    </c:extLst>
                    <c:strCache>
                      <c:ptCount val="2"/>
                      <c:pt idx="0">
                        <c:v>Pregunta_11</c:v>
                      </c:pt>
                      <c:pt idx="1">
                        <c:v>FRECUENCIA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6r2="http://schemas.microsoft.com/office/drawing/2015/06/chart">
                    <c:ext xmlns:c16="http://schemas.microsoft.com/office/drawing/2014/chart" uri="{C3380CC4-5D6E-409C-BE32-E72D297353CC}">
                      <c16:uniqueId val="{00000008-585D-4B92-99CC-4F725A0D4F4F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6r2="http://schemas.microsoft.com/office/drawing/2015/06/chart">
                    <c:ext xmlns:c16="http://schemas.microsoft.com/office/drawing/2014/chart" uri="{C3380CC4-5D6E-409C-BE32-E72D297353CC}">
                      <c16:uniqueId val="{0000000A-585D-4B92-99CC-4F725A0D4F4F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6r2="http://schemas.microsoft.com/office/drawing/2015/06/chart">
                    <c:ext xmlns:c16="http://schemas.microsoft.com/office/drawing/2014/chart" uri="{C3380CC4-5D6E-409C-BE32-E72D297353CC}">
                      <c16:uniqueId val="{0000000C-585D-4B92-99CC-4F725A0D4F4F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 xmlns:c16r2="http://schemas.microsoft.com/office/drawing/2015/06/chart"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Procesamiento_Info!$B$112:$B$115</c15:sqref>
                        </c15:fullRef>
                        <c15:formulaRef>
                          <c15:sqref>Procesamiento_Info!$B$112:$B$114</c15:sqref>
                        </c15:formulaRef>
                      </c:ext>
                    </c:extLst>
                    <c:strCache>
                      <c:ptCount val="3"/>
                      <c:pt idx="0">
                        <c:v>Entre 10 a 20</c:v>
                      </c:pt>
                      <c:pt idx="1">
                        <c:v>Entre 20 a 40</c:v>
                      </c:pt>
                      <c:pt idx="2">
                        <c:v>Más de 50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Procesamiento_Info!$C$112:$C$115</c15:sqref>
                        </c15:fullRef>
                        <c15:formulaRef>
                          <c15:sqref>Procesamiento_Info!$C$112:$C$114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</c:v>
                      </c:pt>
                      <c:pt idx="1">
                        <c:v>15</c:v>
                      </c:pt>
                      <c:pt idx="2">
                        <c:v>60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D-585D-4B92-99CC-4F725A0D4F4F}"/>
                  </c:ext>
                  <c:ext uri="{02D57815-91ED-43cb-92C2-25804820EDAC}">
                    <c15:categoryFilterExceptions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0" i="0" kern="1200" spc="0" baseline="0">
                <a:solidFill>
                  <a:srgbClr val="595959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P_12_Frecuencia de funcionamiento</a:t>
            </a:r>
            <a:endParaRPr lang="es-CO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36043536"/>
        <c:axId val="436045496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Procesamiento_Info!$C$122</c15:sqref>
                        </c15:formulaRef>
                      </c:ext>
                    </c:extLst>
                    <c:strCache>
                      <c:ptCount val="1"/>
                      <c:pt idx="0">
                        <c:v>FRECUENCIA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Procesamiento_Info!$B$123:$B$126</c15:sqref>
                        </c15:fullRef>
                        <c15:formulaRef>
                          <c15:sqref>Procesamiento_Info!$B$123:$B$125</c15:sqref>
                        </c15:formulaRef>
                      </c:ext>
                    </c:extLst>
                    <c:strCache>
                      <c:ptCount val="3"/>
                      <c:pt idx="0">
                        <c:v>1 vez a la semana</c:v>
                      </c:pt>
                      <c:pt idx="1">
                        <c:v>3 veces a la semana</c:v>
                      </c:pt>
                      <c:pt idx="2">
                        <c:v>Todos los días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Procesamiento_Info!$C$123:$C$126</c15:sqref>
                        </c15:fullRef>
                        <c15:formulaRef>
                          <c15:sqref>Procesamiento_Info!$C$123:$C$125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5</c:v>
                      </c:pt>
                      <c:pt idx="1">
                        <c:v>0</c:v>
                      </c:pt>
                      <c:pt idx="2">
                        <c:v>72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1-B862-452D-A4F1-CC94CAB50271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1"/>
          <c:tx>
            <c:strRef>
              <c:f>Procesamiento_Info!$D$122</c:f>
              <c:strCache>
                <c:ptCount val="1"/>
                <c:pt idx="0">
                  <c:v>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Procesamiento_Info!$B$123:$B$126</c15:sqref>
                  </c15:fullRef>
                </c:ext>
              </c:extLst>
              <c:f>Procesamiento_Info!$B$123:$B$125</c:f>
              <c:strCache>
                <c:ptCount val="3"/>
                <c:pt idx="0">
                  <c:v>1 vez a la semana</c:v>
                </c:pt>
                <c:pt idx="1">
                  <c:v>3 veces a la semana</c:v>
                </c:pt>
                <c:pt idx="2">
                  <c:v>Todos los días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Procesamiento_Info!$D$123:$D$126</c15:sqref>
                  </c15:fullRef>
                </c:ext>
              </c:extLst>
              <c:f>Procesamiento_Info!$D$123:$D$125</c:f>
              <c:numCache>
                <c:formatCode>0%</c:formatCode>
                <c:ptCount val="3"/>
                <c:pt idx="0">
                  <c:v>6.4935064935064929E-2</c:v>
                </c:pt>
                <c:pt idx="1">
                  <c:v>0</c:v>
                </c:pt>
                <c:pt idx="2">
                  <c:v>0.93506493506493504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862-452D-A4F1-CC94CAB5027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34734592"/>
        <c:axId val="434733808"/>
      </c:lineChart>
      <c:catAx>
        <c:axId val="436043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6045496"/>
        <c:crosses val="autoZero"/>
        <c:auto val="1"/>
        <c:lblAlgn val="ctr"/>
        <c:lblOffset val="100"/>
        <c:noMultiLvlLbl val="0"/>
      </c:catAx>
      <c:valAx>
        <c:axId val="43604549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36043536"/>
        <c:crosses val="autoZero"/>
        <c:crossBetween val="between"/>
      </c:valAx>
      <c:valAx>
        <c:axId val="434733808"/>
        <c:scaling>
          <c:orientation val="minMax"/>
        </c:scaling>
        <c:delete val="0"/>
        <c:axPos val="r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4734592"/>
        <c:crosses val="max"/>
        <c:crossBetween val="between"/>
      </c:valAx>
      <c:catAx>
        <c:axId val="4347345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347338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0" i="0" kern="1200" spc="0" baseline="0">
                <a:solidFill>
                  <a:srgbClr val="595959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P_13_Provedor que abastece su negocio</a:t>
            </a:r>
            <a:endParaRPr lang="es-CO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34733024"/>
        <c:axId val="434731848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Procesamiento_Info!$C$132</c15:sqref>
                        </c15:formulaRef>
                      </c:ext>
                    </c:extLst>
                    <c:strCache>
                      <c:ptCount val="1"/>
                      <c:pt idx="0">
                        <c:v>FRECUENCIA</c:v>
                      </c:pt>
                    </c:strCache>
                  </c:strRef>
                </c:tx>
                <c:spPr>
                  <a:solidFill>
                    <a:schemeClr val="accent1">
                      <a:tint val="77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Procesamiento_Info!$B$133:$B$136</c15:sqref>
                        </c15:fullRef>
                        <c15:formulaRef>
                          <c15:sqref>Procesamiento_Info!$B$133:$B$135</c15:sqref>
                        </c15:formulaRef>
                      </c:ext>
                    </c:extLst>
                    <c:strCache>
                      <c:ptCount val="3"/>
                      <c:pt idx="0">
                        <c:v>Local</c:v>
                      </c:pt>
                      <c:pt idx="1">
                        <c:v>Bogotá</c:v>
                      </c:pt>
                      <c:pt idx="2">
                        <c:v>Local &amp; Bogotá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Procesamiento_Info!$C$133:$C$136</c15:sqref>
                        </c15:fullRef>
                        <c15:formulaRef>
                          <c15:sqref>Procesamiento_Info!$C$133:$C$135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11</c:v>
                      </c:pt>
                      <c:pt idx="1">
                        <c:v>48</c:v>
                      </c:pt>
                      <c:pt idx="2">
                        <c:v>15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1-442E-4A00-8C13-0F1AD4C7BFEE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1"/>
          <c:tx>
            <c:strRef>
              <c:f>Procesamiento_Info!$D$132</c:f>
              <c:strCache>
                <c:ptCount val="1"/>
                <c:pt idx="0">
                  <c:v>%</c:v>
                </c:pt>
              </c:strCache>
            </c:strRef>
          </c:tx>
          <c:spPr>
            <a:ln w="28575" cap="rnd">
              <a:solidFill>
                <a:schemeClr val="accent1">
                  <a:shade val="76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Procesamiento_Info!$B$133:$B$136</c15:sqref>
                  </c15:fullRef>
                </c:ext>
              </c:extLst>
              <c:f>Procesamiento_Info!$B$133:$B$135</c:f>
              <c:strCache>
                <c:ptCount val="3"/>
                <c:pt idx="0">
                  <c:v>Local</c:v>
                </c:pt>
                <c:pt idx="1">
                  <c:v>Bogotá</c:v>
                </c:pt>
                <c:pt idx="2">
                  <c:v>Local &amp; Bogotá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Procesamiento_Info!$D$133:$D$136</c15:sqref>
                  </c15:fullRef>
                </c:ext>
              </c:extLst>
              <c:f>Procesamiento_Info!$D$133:$D$135</c:f>
              <c:numCache>
                <c:formatCode>0%</c:formatCode>
                <c:ptCount val="3"/>
                <c:pt idx="0">
                  <c:v>0.14285714285714285</c:v>
                </c:pt>
                <c:pt idx="1">
                  <c:v>0.62337662337662336</c:v>
                </c:pt>
                <c:pt idx="2">
                  <c:v>0.19480519480519481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42E-4A00-8C13-0F1AD4C7BFE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37340448"/>
        <c:axId val="437336528"/>
      </c:lineChart>
      <c:catAx>
        <c:axId val="434733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4731848"/>
        <c:crosses val="autoZero"/>
        <c:auto val="1"/>
        <c:lblAlgn val="ctr"/>
        <c:lblOffset val="100"/>
        <c:noMultiLvlLbl val="0"/>
      </c:catAx>
      <c:valAx>
        <c:axId val="43473184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34733024"/>
        <c:crosses val="autoZero"/>
        <c:crossBetween val="between"/>
      </c:valAx>
      <c:valAx>
        <c:axId val="437336528"/>
        <c:scaling>
          <c:orientation val="minMax"/>
        </c:scaling>
        <c:delete val="0"/>
        <c:axPos val="r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7340448"/>
        <c:crosses val="max"/>
        <c:crossBetween val="between"/>
      </c:valAx>
      <c:catAx>
        <c:axId val="43734044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373365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0" i="0" kern="1200" spc="0" baseline="0">
                <a:solidFill>
                  <a:srgbClr val="595959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P_14_Cuántos provedores maneja</a:t>
            </a:r>
            <a:endParaRPr lang="es-CO" sz="1100">
              <a:effectLst/>
            </a:endParaRPr>
          </a:p>
          <a:p>
            <a:pPr>
              <a:defRPr/>
            </a:pP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1"/>
          <c:order val="1"/>
          <c:tx>
            <c:strRef>
              <c:f>Procesamiento_Info!$D$146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1D1-45C1-A062-E83D1938122B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01D1-45C1-A062-E83D1938122B}"/>
              </c:ext>
            </c:extLst>
          </c:dPt>
          <c:dLbls>
            <c:dLbl>
              <c:idx val="0"/>
              <c:layout>
                <c:manualLayout>
                  <c:x val="-2.8551034975018105E-3"/>
                  <c:y val="-0.3463916775946797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01D1-45C1-A062-E83D1938122B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-0.3463916775946797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1D1-45C1-A062-E83D1938122B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0468591890106376E-16"/>
                  <c:y val="-0.340893396997938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01D1-45C1-A062-E83D1938122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Procesamiento_Info!$B$147:$B$150</c15:sqref>
                  </c15:fullRef>
                </c:ext>
              </c:extLst>
              <c:f>Procesamiento_Info!$B$147:$B$149</c:f>
              <c:strCache>
                <c:ptCount val="3"/>
                <c:pt idx="0">
                  <c:v>1 Provedor</c:v>
                </c:pt>
                <c:pt idx="1">
                  <c:v>Entre 2 a 3</c:v>
                </c:pt>
                <c:pt idx="2">
                  <c:v>Más de 3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Procesamiento_Info!$D$147:$D$150</c15:sqref>
                  </c15:fullRef>
                </c:ext>
              </c:extLst>
              <c:f>Procesamiento_Info!$D$147:$D$149</c:f>
              <c:numCache>
                <c:formatCode>0%</c:formatCode>
                <c:ptCount val="3"/>
                <c:pt idx="0">
                  <c:v>2.5974025974025976E-2</c:v>
                </c:pt>
                <c:pt idx="1">
                  <c:v>0.29870129870129869</c:v>
                </c:pt>
                <c:pt idx="2">
                  <c:v>0.64935064935064934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01D1-45C1-A062-E83D1938122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437338488"/>
        <c:axId val="43734084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Procesamiento_Info!$C$146</c15:sqref>
                        </c15:formulaRef>
                      </c:ext>
                    </c:extLst>
                    <c:strCache>
                      <c:ptCount val="1"/>
                      <c:pt idx="0">
                        <c:v>FRECUENCIA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Procesamiento_Info!$B$147:$B$150</c15:sqref>
                        </c15:fullRef>
                        <c15:formulaRef>
                          <c15:sqref>Procesamiento_Info!$B$147:$B$149</c15:sqref>
                        </c15:formulaRef>
                      </c:ext>
                    </c:extLst>
                    <c:strCache>
                      <c:ptCount val="3"/>
                      <c:pt idx="0">
                        <c:v>1 Provedor</c:v>
                      </c:pt>
                      <c:pt idx="1">
                        <c:v>Entre 2 a 3</c:v>
                      </c:pt>
                      <c:pt idx="2">
                        <c:v>Más de 3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Procesamiento_Info!$C$147:$C$150</c15:sqref>
                        </c15:fullRef>
                        <c15:formulaRef>
                          <c15:sqref>Procesamiento_Info!$C$147:$C$149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</c:v>
                      </c:pt>
                      <c:pt idx="1">
                        <c:v>23</c:v>
                      </c:pt>
                      <c:pt idx="2">
                        <c:v>50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6-01D1-45C1-A062-E83D1938122B}"/>
                  </c:ext>
                </c:extLst>
              </c15:ser>
            </c15:filteredBarSeries>
          </c:ext>
        </c:extLst>
      </c:barChart>
      <c:catAx>
        <c:axId val="437338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7340840"/>
        <c:crosses val="autoZero"/>
        <c:auto val="1"/>
        <c:lblAlgn val="ctr"/>
        <c:lblOffset val="100"/>
        <c:noMultiLvlLbl val="0"/>
      </c:catAx>
      <c:valAx>
        <c:axId val="43734084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7338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0" i="0" kern="1200" spc="0" baseline="0">
                <a:solidFill>
                  <a:srgbClr val="595959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P_20_Mayorista Local</a:t>
            </a:r>
            <a:endParaRPr lang="es-CO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1"/>
          <c:order val="1"/>
          <c:tx>
            <c:strRef>
              <c:f>Procesamiento_Info!$D$157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B050"/>
            </a:solidFill>
          </c:spPr>
          <c:dPt>
            <c:idx val="0"/>
            <c:bubble3D val="0"/>
            <c:spPr>
              <a:solidFill>
                <a:srgbClr val="FFFF66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5F3-432D-BBE1-B2A2F0C7DF9D}"/>
              </c:ext>
            </c:extLst>
          </c:dPt>
          <c:dPt>
            <c:idx val="1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5F3-432D-BBE1-B2A2F0C7DF9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Procesamiento_Info!$B$158:$B$160</c15:sqref>
                  </c15:fullRef>
                </c:ext>
              </c:extLst>
              <c:f>Procesamiento_Info!$B$158:$B$159</c:f>
              <c:strCache>
                <c:ptCount val="2"/>
                <c:pt idx="0">
                  <c:v>Sí</c:v>
                </c:pt>
                <c:pt idx="1">
                  <c:v>No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Procesamiento_Info!$D$158:$D$160</c15:sqref>
                  </c15:fullRef>
                </c:ext>
              </c:extLst>
              <c:f>Procesamiento_Info!$D$158:$D$159</c:f>
              <c:numCache>
                <c:formatCode>0%</c:formatCode>
                <c:ptCount val="2"/>
                <c:pt idx="0">
                  <c:v>0.20779220779220781</c:v>
                </c:pt>
                <c:pt idx="1">
                  <c:v>0.75324675324675328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65F3-432D-BBE1-B2A2F0C7DF9D}"/>
            </c:ext>
            <c:ext xmlns:c15="http://schemas.microsoft.com/office/drawing/2012/chart" uri="{02D57815-91ED-43cb-92C2-25804820EDAC}">
              <c15:categoryFilterExceptions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 xmlns:c16r2="http://schemas.microsoft.com/office/drawing/2015/06/chart"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Procesamiento_Info!$C$157</c15:sqref>
                        </c15:formulaRef>
                      </c:ext>
                    </c:extLst>
                    <c:strCache>
                      <c:ptCount val="1"/>
                      <c:pt idx="0">
                        <c:v>FRECUENCIA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6r2="http://schemas.microsoft.com/office/drawing/2015/06/chart">
                    <c:ext xmlns:c16="http://schemas.microsoft.com/office/drawing/2014/chart" uri="{C3380CC4-5D6E-409C-BE32-E72D297353CC}">
                      <c16:uniqueId val="{00000006-65F3-432D-BBE1-B2A2F0C7DF9D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6r2="http://schemas.microsoft.com/office/drawing/2015/06/chart">
                    <c:ext xmlns:c16="http://schemas.microsoft.com/office/drawing/2014/chart" uri="{C3380CC4-5D6E-409C-BE32-E72D297353CC}">
                      <c16:uniqueId val="{00000008-65F3-432D-BBE1-B2A2F0C7DF9D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 xmlns:c16r2="http://schemas.microsoft.com/office/drawing/2015/06/chart"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Procesamiento_Info!$B$158:$B$160</c15:sqref>
                        </c15:fullRef>
                        <c15:formulaRef>
                          <c15:sqref>Procesamiento_Info!$B$158:$B$159</c15:sqref>
                        </c15:formulaRef>
                      </c:ext>
                    </c:extLst>
                    <c:strCache>
                      <c:ptCount val="2"/>
                      <c:pt idx="0">
                        <c:v>Sí</c:v>
                      </c:pt>
                      <c:pt idx="1">
                        <c:v>No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Procesamiento_Info!$C$158:$C$160</c15:sqref>
                        </c15:fullRef>
                        <c15:formulaRef>
                          <c15:sqref>Procesamiento_Info!$C$158:$C$159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16</c:v>
                      </c:pt>
                      <c:pt idx="1">
                        <c:v>58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9-65F3-432D-BBE1-B2A2F0C7DF9D}"/>
                  </c:ext>
                  <c:ext uri="{02D57815-91ED-43cb-92C2-25804820EDAC}">
                    <c15:categoryFilterExceptions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3219833019712445"/>
          <c:y val="0.80941960515805089"/>
          <c:w val="0.12958985757171695"/>
          <c:h val="9.82539627961352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0" i="0" kern="1200" spc="0" baseline="0">
                <a:solidFill>
                  <a:srgbClr val="595959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P_23_Califique el servicio que brinda</a:t>
            </a:r>
            <a:endParaRPr lang="es-CO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6.633499170812604E-2"/>
          <c:y val="0.19010056346465914"/>
          <c:w val="0.80111385330565021"/>
          <c:h val="0.6532353906672812"/>
        </c:manualLayout>
      </c:layout>
      <c:barChart>
        <c:barDir val="col"/>
        <c:grouping val="clustered"/>
        <c:varyColors val="0"/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37335744"/>
        <c:axId val="437341232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Procesamiento_Info!$C$170</c15:sqref>
                        </c15:formulaRef>
                      </c:ext>
                    </c:extLst>
                    <c:strCache>
                      <c:ptCount val="1"/>
                      <c:pt idx="0">
                        <c:v>FRECUENCIA</c:v>
                      </c:pt>
                    </c:strCache>
                  </c:strRef>
                </c:tx>
                <c:spPr>
                  <a:solidFill>
                    <a:schemeClr val="accent1">
                      <a:tint val="77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Procesamiento_Info!$B$171:$B$175</c15:sqref>
                        </c15:fullRef>
                        <c15:formulaRef>
                          <c15:sqref>Procesamiento_Info!$B$171:$B$174</c15:sqref>
                        </c15:formulaRef>
                      </c:ext>
                    </c:extLst>
                    <c:strCache>
                      <c:ptCount val="4"/>
                      <c:pt idx="0">
                        <c:v>Bueno</c:v>
                      </c:pt>
                      <c:pt idx="1">
                        <c:v>Malo</c:v>
                      </c:pt>
                      <c:pt idx="2">
                        <c:v>Regular</c:v>
                      </c:pt>
                      <c:pt idx="3">
                        <c:v>Excelente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Procesamiento_Info!$C$171:$C$175</c15:sqref>
                        </c15:fullRef>
                        <c15:formulaRef>
                          <c15:sqref>Procesamiento_Info!$C$171:$C$174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67</c:v>
                      </c:pt>
                      <c:pt idx="1">
                        <c:v>0</c:v>
                      </c:pt>
                      <c:pt idx="2">
                        <c:v>2</c:v>
                      </c:pt>
                      <c:pt idx="3">
                        <c:v>7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3-F618-432B-A1E9-2975B32E8025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1"/>
          <c:tx>
            <c:strRef>
              <c:f>Procesamiento_Info!$D$170</c:f>
              <c:strCache>
                <c:ptCount val="1"/>
                <c:pt idx="0">
                  <c:v>%</c:v>
                </c:pt>
              </c:strCache>
            </c:strRef>
          </c:tx>
          <c:spPr>
            <a:ln w="28575" cap="rnd">
              <a:solidFill>
                <a:schemeClr val="accent1">
                  <a:shade val="76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3.3167495854063626E-3"/>
                  <c:y val="-6.43863043064044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F618-432B-A1E9-2975B32E8025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2161274658407157E-16"/>
                  <c:y val="-7.5117355024138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618-432B-A1E9-2975B32E802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Procesamiento_Info!$B$171:$B$175</c15:sqref>
                  </c15:fullRef>
                </c:ext>
              </c:extLst>
              <c:f>Procesamiento_Info!$B$171:$B$174</c:f>
              <c:strCache>
                <c:ptCount val="4"/>
                <c:pt idx="0">
                  <c:v>Bueno</c:v>
                </c:pt>
                <c:pt idx="1">
                  <c:v>Malo</c:v>
                </c:pt>
                <c:pt idx="2">
                  <c:v>Regular</c:v>
                </c:pt>
                <c:pt idx="3">
                  <c:v>Excelente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Procesamiento_Info!$D$171:$D$175</c15:sqref>
                  </c15:fullRef>
                </c:ext>
              </c:extLst>
              <c:f>Procesamiento_Info!$D$171:$D$174</c:f>
              <c:numCache>
                <c:formatCode>0%</c:formatCode>
                <c:ptCount val="4"/>
                <c:pt idx="0">
                  <c:v>0.87012987012987009</c:v>
                </c:pt>
                <c:pt idx="1">
                  <c:v>0</c:v>
                </c:pt>
                <c:pt idx="2">
                  <c:v>2.5974025974025976E-2</c:v>
                </c:pt>
                <c:pt idx="3">
                  <c:v>9.0909090909090912E-2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618-432B-A1E9-2975B32E802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37338096"/>
        <c:axId val="437337704"/>
      </c:lineChart>
      <c:catAx>
        <c:axId val="437335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7341232"/>
        <c:crosses val="autoZero"/>
        <c:auto val="1"/>
        <c:lblAlgn val="ctr"/>
        <c:lblOffset val="100"/>
        <c:noMultiLvlLbl val="0"/>
      </c:catAx>
      <c:valAx>
        <c:axId val="43734123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37335744"/>
        <c:crosses val="autoZero"/>
        <c:crossBetween val="between"/>
      </c:valAx>
      <c:valAx>
        <c:axId val="437337704"/>
        <c:scaling>
          <c:orientation val="minMax"/>
        </c:scaling>
        <c:delete val="0"/>
        <c:axPos val="r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7338096"/>
        <c:crosses val="max"/>
        <c:crossBetween val="between"/>
      </c:valAx>
      <c:catAx>
        <c:axId val="4373380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373377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>
                <a:latin typeface="Arial" panose="020B0604020202020204" pitchFamily="34" charset="0"/>
                <a:cs typeface="Arial" panose="020B0604020202020204" pitchFamily="34" charset="0"/>
              </a:rPr>
              <a:t>P_24_Maneja</a:t>
            </a:r>
            <a:r>
              <a:rPr lang="es-CO" sz="1100" baseline="0">
                <a:latin typeface="Arial" panose="020B0604020202020204" pitchFamily="34" charset="0"/>
                <a:cs typeface="Arial" panose="020B0604020202020204" pitchFamily="34" charset="0"/>
              </a:rPr>
              <a:t> Inventario</a:t>
            </a:r>
            <a:endParaRPr lang="es-CO" sz="11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Procesamiento_Info!$B$183</c:f>
              <c:strCache>
                <c:ptCount val="1"/>
                <c:pt idx="0">
                  <c:v>Sí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Procesamiento_Info!$C$182:$D$182</c15:sqref>
                  </c15:fullRef>
                </c:ext>
              </c:extLst>
              <c:f>Procesamiento_Info!$C$182</c:f>
              <c:strCache>
                <c:ptCount val="1"/>
                <c:pt idx="0">
                  <c:v>FRECUENCIA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Procesamiento_Info!$C$183:$D$183</c15:sqref>
                  </c15:fullRef>
                </c:ext>
              </c:extLst>
              <c:f>Procesamiento_Info!$C$183</c:f>
              <c:numCache>
                <c:formatCode>0%</c:formatCode>
                <c:ptCount val="1"/>
                <c:pt idx="0" formatCode="General">
                  <c:v>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C80-44D8-B2EC-0602C0ECCCC8}"/>
            </c:ext>
          </c:extLst>
        </c:ser>
        <c:ser>
          <c:idx val="1"/>
          <c:order val="1"/>
          <c:tx>
            <c:strRef>
              <c:f>Procesamiento_Info!$B$184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Procesamiento_Info!$C$182:$D$182</c15:sqref>
                  </c15:fullRef>
                </c:ext>
              </c:extLst>
              <c:f>Procesamiento_Info!$C$182</c:f>
              <c:strCache>
                <c:ptCount val="1"/>
                <c:pt idx="0">
                  <c:v>FRECUENCIA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Procesamiento_Info!$C$184:$D$184</c15:sqref>
                  </c15:fullRef>
                </c:ext>
              </c:extLst>
              <c:f>Procesamiento_Info!$C$184</c:f>
              <c:numCache>
                <c:formatCode>0%</c:formatCode>
                <c:ptCount val="1"/>
                <c:pt idx="0" formatCode="General">
                  <c:v>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C80-44D8-B2EC-0602C0ECCCC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37336136"/>
        <c:axId val="437342800"/>
      </c:barChart>
      <c:lineChart>
        <c:grouping val="standard"/>
        <c:varyColors val="0"/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37336136"/>
        <c:axId val="437342800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2"/>
                <c:order val="2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Procesamiento_Info!$B$185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Procesamiento_Info!$C$182:$D$182</c15:sqref>
                        </c15:fullRef>
                        <c15:formulaRef>
                          <c15:sqref>Procesamiento_Info!$C$182</c15:sqref>
                        </c15:formulaRef>
                      </c:ext>
                    </c:extLst>
                    <c:strCache>
                      <c:ptCount val="1"/>
                      <c:pt idx="0">
                        <c:v>FRECUENCIA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Procesamiento_Info!$C$185:$D$185</c15:sqref>
                        </c15:fullRef>
                        <c15:formulaRef>
                          <c15:sqref>Procesamiento_Info!$C$185</c15:sqref>
                        </c15:formulaRef>
                      </c:ext>
                    </c:extLst>
                    <c:numCache>
                      <c:formatCode>0%</c:formatCode>
                      <c:ptCount val="1"/>
                      <c:pt idx="0" formatCode="General">
                        <c:v>77</c:v>
                      </c:pt>
                    </c:numCache>
                  </c:numRef>
                </c:val>
                <c:smooth val="0"/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2-1C80-44D8-B2EC-0602C0ECCCC8}"/>
                  </c:ext>
                </c:extLst>
              </c15:ser>
            </c15:filteredLineSeries>
          </c:ext>
        </c:extLst>
      </c:lineChart>
      <c:catAx>
        <c:axId val="437336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37342800"/>
        <c:crosses val="autoZero"/>
        <c:auto val="1"/>
        <c:lblAlgn val="ctr"/>
        <c:lblOffset val="100"/>
        <c:noMultiLvlLbl val="0"/>
      </c:catAx>
      <c:valAx>
        <c:axId val="43734280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37336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0" i="0" kern="1200" spc="0" baseline="0">
                <a:solidFill>
                  <a:srgbClr val="595959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P_24_Maneja Inventario</a:t>
            </a:r>
            <a:endParaRPr lang="es-CO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Procesamiento_Info!$B$196</c:f>
              <c:strCache>
                <c:ptCount val="1"/>
                <c:pt idx="0">
                  <c:v>Sí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Procesamiento_Info!$C$195:$D$195</c15:sqref>
                  </c15:fullRef>
                </c:ext>
              </c:extLst>
              <c:f>Procesamiento_Info!$D$195</c:f>
              <c:strCache>
                <c:ptCount val="1"/>
                <c:pt idx="0">
                  <c:v>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Procesamiento_Info!$C$196:$D$196</c15:sqref>
                  </c15:fullRef>
                </c:ext>
              </c:extLst>
              <c:f>Procesamiento_Info!$D$196</c:f>
              <c:numCache>
                <c:formatCode>0%</c:formatCode>
                <c:ptCount val="1"/>
                <c:pt idx="0">
                  <c:v>0.19480519480519481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805-491F-9723-68846B4BBC8F}"/>
            </c:ext>
          </c:extLst>
        </c:ser>
        <c:ser>
          <c:idx val="1"/>
          <c:order val="1"/>
          <c:tx>
            <c:strRef>
              <c:f>Procesamiento_Info!$B$197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Procesamiento_Info!$C$195:$D$195</c15:sqref>
                  </c15:fullRef>
                </c:ext>
              </c:extLst>
              <c:f>Procesamiento_Info!$D$195</c:f>
              <c:strCache>
                <c:ptCount val="1"/>
                <c:pt idx="0">
                  <c:v>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Procesamiento_Info!$C$197:$D$197</c15:sqref>
                  </c15:fullRef>
                </c:ext>
              </c:extLst>
              <c:f>Procesamiento_Info!$D$197</c:f>
              <c:numCache>
                <c:formatCode>0%</c:formatCode>
                <c:ptCount val="1"/>
                <c:pt idx="0">
                  <c:v>0.79220779220779225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805-491F-9723-68846B4BBC8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37338880"/>
        <c:axId val="437339272"/>
      </c:barChart>
      <c:lineChart>
        <c:grouping val="standard"/>
        <c:varyColors val="0"/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37338880"/>
        <c:axId val="437339272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2"/>
                <c:order val="2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Procesamiento_Info!$B$198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Procesamiento_Info!$C$195:$D$195</c15:sqref>
                        </c15:fullRef>
                        <c15:formulaRef>
                          <c15:sqref>Procesamiento_Info!$D$195</c15:sqref>
                        </c15:formulaRef>
                      </c:ext>
                    </c:extLst>
                    <c:strCache>
                      <c:ptCount val="1"/>
                      <c:pt idx="0">
                        <c:v>%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Procesamiento_Info!$C$198:$D$198</c15:sqref>
                        </c15:fullRef>
                        <c15:formulaRef>
                          <c15:sqref>Procesamiento_Info!$D$198</c15:sqref>
                        </c15:formulaRef>
                      </c:ext>
                    </c:extLst>
                    <c:numCache>
                      <c:formatCode>0%</c:formatCode>
                      <c:ptCount val="1"/>
                      <c:pt idx="0">
                        <c:v>0.98701298701298712</c:v>
                      </c:pt>
                    </c:numCache>
                  </c:numRef>
                </c:val>
                <c:smooth val="0"/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2-1805-491F-9723-68846B4BBC8F}"/>
                  </c:ext>
                </c:extLst>
              </c15:ser>
            </c15:filteredLineSeries>
          </c:ext>
        </c:extLst>
      </c:lineChart>
      <c:catAx>
        <c:axId val="437338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37339272"/>
        <c:crosses val="autoZero"/>
        <c:auto val="1"/>
        <c:lblAlgn val="ctr"/>
        <c:lblOffset val="100"/>
        <c:noMultiLvlLbl val="0"/>
      </c:catAx>
      <c:valAx>
        <c:axId val="43733927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37338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0" i="0" kern="1200" spc="0" baseline="0">
                <a:solidFill>
                  <a:srgbClr val="595959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P_26_Tipo de transporte que implementa</a:t>
            </a:r>
            <a:endParaRPr lang="es-CO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32538779527559053"/>
          <c:y val="0.17171296296296296"/>
          <c:w val="0.67461220472440941"/>
          <c:h val="0.77736111111111106"/>
        </c:manualLayout>
      </c:layout>
      <c:barChart>
        <c:barDir val="bar"/>
        <c:grouping val="clustered"/>
        <c:varyColors val="0"/>
        <c:ser>
          <c:idx val="1"/>
          <c:order val="1"/>
          <c:tx>
            <c:strRef>
              <c:f>Procesamiento_Info!$D$208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9FF3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8.3333333333333332E-3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98A1-4D3D-A775-0859A83D370B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-4.62962962962954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98A1-4D3D-A775-0859A83D370B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5.5555555555554534E-3"/>
                  <c:y val="-1.8518518518518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98A1-4D3D-A775-0859A83D370B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777777777777828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98A1-4D3D-A775-0859A83D370B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7777777777777779E-3"/>
                  <c:y val="9.25925925925925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98A1-4D3D-A775-0859A83D370B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8.3333333333332829E-3"/>
                  <c:y val="9.259259259259302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98A1-4D3D-A775-0859A83D370B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5555555555555558E-3"/>
                  <c:y val="9.25925925925925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98A1-4D3D-A775-0859A83D370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Procesamiento_Info!$B$209:$B$216</c15:sqref>
                  </c15:fullRef>
                </c:ext>
              </c:extLst>
              <c:f>Procesamiento_Info!$B$209:$B$215</c:f>
              <c:strCache>
                <c:ptCount val="7"/>
                <c:pt idx="0">
                  <c:v>Transporte propio</c:v>
                </c:pt>
                <c:pt idx="1">
                  <c:v>Convenio con transportadora</c:v>
                </c:pt>
                <c:pt idx="2">
                  <c:v>Proveedor brinda servicio</c:v>
                </c:pt>
                <c:pt idx="3">
                  <c:v>1 y 2</c:v>
                </c:pt>
                <c:pt idx="4">
                  <c:v>1 y 3</c:v>
                </c:pt>
                <c:pt idx="5">
                  <c:v>2 y 3</c:v>
                </c:pt>
                <c:pt idx="6">
                  <c:v>otro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Procesamiento_Info!$D$209:$D$216</c15:sqref>
                  </c15:fullRef>
                </c:ext>
              </c:extLst>
              <c:f>Procesamiento_Info!$D$209:$D$215</c:f>
              <c:numCache>
                <c:formatCode>0%</c:formatCode>
                <c:ptCount val="7"/>
                <c:pt idx="0">
                  <c:v>0.27272727272727271</c:v>
                </c:pt>
                <c:pt idx="1">
                  <c:v>9.0909090909090912E-2</c:v>
                </c:pt>
                <c:pt idx="2">
                  <c:v>0.48051948051948051</c:v>
                </c:pt>
                <c:pt idx="3">
                  <c:v>2.5974025974025976E-2</c:v>
                </c:pt>
                <c:pt idx="4">
                  <c:v>5.1948051948051951E-2</c:v>
                </c:pt>
                <c:pt idx="5">
                  <c:v>5.1948051948051951E-2</c:v>
                </c:pt>
                <c:pt idx="6">
                  <c:v>1.2987012987012988E-2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98A1-4D3D-A775-0859A83D370B}"/>
            </c:ext>
            <c:ext xmlns:c15="http://schemas.microsoft.com/office/drawing/2012/chart" uri="{02D57815-91ED-43cb-92C2-25804820EDAC}">
              <c15:categoryFilterExceptions>
                <c15:categoryFilterException>
                  <c15:sqref>Procesamiento_Info!$D$216</c15:sqref>
                  <c15:dLbl>
                    <c:idx val="6"/>
                    <c:layout>
                      <c:manualLayout>
                        <c:x val="-5.5555555555556572E-3"/>
                        <c:y val="-7.3694954797317216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6r2="http://schemas.microsoft.com/office/drawing/2015/06/chart" xmlns:c16="http://schemas.microsoft.com/office/drawing/2014/chart">
                      <c:ext xmlns:c16="http://schemas.microsoft.com/office/drawing/2014/chart" uri="{C3380CC4-5D6E-409C-BE32-E72D297353CC}">
                        <c16:uniqueId val="{00000000-05AD-4F55-8B0F-B7A1E23DC02E}"/>
                      </c:ext>
                      <c:ext uri="{CE6537A1-D6FC-4f65-9D91-7224C49458BB}"/>
                    </c:extLst>
                  </c15:dLbl>
                </c15:categoryFilterException>
              </c15:categoryFilterExceptions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37339664"/>
        <c:axId val="437340056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Procesamiento_Info!$C$208</c15:sqref>
                        </c15:formulaRef>
                      </c:ext>
                    </c:extLst>
                    <c:strCache>
                      <c:ptCount val="1"/>
                      <c:pt idx="0">
                        <c:v>FRECUENCIA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Procesamiento_Info!$B$209:$B$216</c15:sqref>
                        </c15:fullRef>
                        <c15:formulaRef>
                          <c15:sqref>Procesamiento_Info!$B$209:$B$215</c15:sqref>
                        </c15:formulaRef>
                      </c:ext>
                    </c:extLst>
                    <c:strCache>
                      <c:ptCount val="7"/>
                      <c:pt idx="0">
                        <c:v>Transporte propio</c:v>
                      </c:pt>
                      <c:pt idx="1">
                        <c:v>Convenio con transportadora</c:v>
                      </c:pt>
                      <c:pt idx="2">
                        <c:v>Proveedor brinda servicio</c:v>
                      </c:pt>
                      <c:pt idx="3">
                        <c:v>1 y 2</c:v>
                      </c:pt>
                      <c:pt idx="4">
                        <c:v>1 y 3</c:v>
                      </c:pt>
                      <c:pt idx="5">
                        <c:v>2 y 3</c:v>
                      </c:pt>
                      <c:pt idx="6">
                        <c:v>otro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Procesamiento_Info!$C$209:$C$216</c15:sqref>
                        </c15:fullRef>
                        <c15:formulaRef>
                          <c15:sqref>Procesamiento_Info!$C$209:$C$215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21</c:v>
                      </c:pt>
                      <c:pt idx="1">
                        <c:v>7</c:v>
                      </c:pt>
                      <c:pt idx="2">
                        <c:v>37</c:v>
                      </c:pt>
                      <c:pt idx="3">
                        <c:v>2</c:v>
                      </c:pt>
                      <c:pt idx="4">
                        <c:v>4</c:v>
                      </c:pt>
                      <c:pt idx="5">
                        <c:v>4</c:v>
                      </c:pt>
                      <c:pt idx="6">
                        <c:v>1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8-98A1-4D3D-A775-0859A83D370B}"/>
                  </c:ext>
                </c:extLst>
              </c15:ser>
            </c15:filteredBarSeries>
          </c:ext>
        </c:extLst>
      </c:barChart>
      <c:catAx>
        <c:axId val="43733966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7340056"/>
        <c:crosses val="autoZero"/>
        <c:auto val="1"/>
        <c:lblAlgn val="ctr"/>
        <c:lblOffset val="100"/>
        <c:noMultiLvlLbl val="0"/>
      </c:catAx>
      <c:valAx>
        <c:axId val="437340056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4373396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0" i="0" kern="1200" spc="0" baseline="0">
                <a:solidFill>
                  <a:srgbClr val="595959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P_27_Fuentes de Financiación</a:t>
            </a:r>
            <a:endParaRPr lang="es-CO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Procesamiento_Info!$B$226</c:f>
              <c:strCache>
                <c:ptCount val="1"/>
                <c:pt idx="0">
                  <c:v>Recursos propios</c:v>
                </c:pt>
              </c:strCache>
            </c:strRef>
          </c:tx>
          <c:spPr>
            <a:solidFill>
              <a:srgbClr val="0066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Procesamiento_Info!$C$225:$D$225</c15:sqref>
                  </c15:fullRef>
                </c:ext>
              </c:extLst>
              <c:f>Procesamiento_Info!$D$225</c:f>
              <c:strCache>
                <c:ptCount val="1"/>
                <c:pt idx="0">
                  <c:v>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Procesamiento_Info!$C$226:$D$226</c15:sqref>
                  </c15:fullRef>
                </c:ext>
              </c:extLst>
              <c:f>Procesamiento_Info!$D$226</c:f>
              <c:numCache>
                <c:formatCode>0%</c:formatCode>
                <c:ptCount val="1"/>
                <c:pt idx="0">
                  <c:v>0.68831168831168832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474-481B-8BF4-724AFBAD602D}"/>
            </c:ext>
          </c:extLst>
        </c:ser>
        <c:ser>
          <c:idx val="1"/>
          <c:order val="1"/>
          <c:tx>
            <c:strRef>
              <c:f>Procesamiento_Info!$B$227</c:f>
              <c:strCache>
                <c:ptCount val="1"/>
                <c:pt idx="0">
                  <c:v>Creditos</c:v>
                </c:pt>
              </c:strCache>
            </c:strRef>
          </c:tx>
          <c:spPr>
            <a:solidFill>
              <a:srgbClr val="3333C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Procesamiento_Info!$C$225:$D$225</c15:sqref>
                  </c15:fullRef>
                </c:ext>
              </c:extLst>
              <c:f>Procesamiento_Info!$D$225</c:f>
              <c:strCache>
                <c:ptCount val="1"/>
                <c:pt idx="0">
                  <c:v>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Procesamiento_Info!$C$227:$D$227</c15:sqref>
                  </c15:fullRef>
                </c:ext>
              </c:extLst>
              <c:f>Procesamiento_Info!$D$227</c:f>
              <c:numCache>
                <c:formatCode>0%</c:formatCode>
                <c:ptCount val="1"/>
                <c:pt idx="0">
                  <c:v>0.15584415584415584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474-481B-8BF4-724AFBAD602D}"/>
            </c:ext>
          </c:extLst>
        </c:ser>
        <c:ser>
          <c:idx val="2"/>
          <c:order val="2"/>
          <c:tx>
            <c:strRef>
              <c:f>Procesamiento_Info!$B$228</c:f>
              <c:strCache>
                <c:ptCount val="1"/>
                <c:pt idx="0">
                  <c:v>Inversiones</c:v>
                </c:pt>
              </c:strCache>
            </c:strRef>
          </c:tx>
          <c:spPr>
            <a:solidFill>
              <a:srgbClr val="9966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Procesamiento_Info!$C$225:$D$225</c15:sqref>
                  </c15:fullRef>
                </c:ext>
              </c:extLst>
              <c:f>Procesamiento_Info!$D$225</c:f>
              <c:strCache>
                <c:ptCount val="1"/>
                <c:pt idx="0">
                  <c:v>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Procesamiento_Info!$C$228:$D$228</c15:sqref>
                  </c15:fullRef>
                </c:ext>
              </c:extLst>
              <c:f>Procesamiento_Info!$D$228</c:f>
              <c:numCache>
                <c:formatCode>0%</c:formatCode>
                <c:ptCount val="1"/>
                <c:pt idx="0">
                  <c:v>1.2987012987012988E-2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474-481B-8BF4-724AFBAD602D}"/>
            </c:ext>
          </c:extLst>
        </c:ser>
        <c:ser>
          <c:idx val="3"/>
          <c:order val="3"/>
          <c:tx>
            <c:strRef>
              <c:f>Procesamiento_Info!$B$229</c:f>
              <c:strCache>
                <c:ptCount val="1"/>
                <c:pt idx="0">
                  <c:v>1 y 2</c:v>
                </c:pt>
              </c:strCache>
            </c:strRef>
          </c:tx>
          <c:spPr>
            <a:solidFill>
              <a:srgbClr val="CC00C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Procesamiento_Info!$C$225:$D$225</c15:sqref>
                  </c15:fullRef>
                </c:ext>
              </c:extLst>
              <c:f>Procesamiento_Info!$D$225</c:f>
              <c:strCache>
                <c:ptCount val="1"/>
                <c:pt idx="0">
                  <c:v>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Procesamiento_Info!$C$229:$D$229</c15:sqref>
                  </c15:fullRef>
                </c:ext>
              </c:extLst>
              <c:f>Procesamiento_Info!$D$229</c:f>
              <c:numCache>
                <c:formatCode>0%</c:formatCode>
                <c:ptCount val="1"/>
                <c:pt idx="0">
                  <c:v>0.11688311688311688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474-481B-8BF4-724AFBAD602D}"/>
            </c:ext>
          </c:extLst>
        </c:ser>
        <c:ser>
          <c:idx val="4"/>
          <c:order val="4"/>
          <c:tx>
            <c:strRef>
              <c:f>Procesamiento_Info!$B$230</c:f>
              <c:strCache>
                <c:ptCount val="1"/>
                <c:pt idx="0">
                  <c:v>1 y 3</c:v>
                </c:pt>
              </c:strCache>
            </c:strRef>
          </c:tx>
          <c:spPr>
            <a:solidFill>
              <a:srgbClr val="66003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Procesamiento_Info!$C$225:$D$225</c15:sqref>
                  </c15:fullRef>
                </c:ext>
              </c:extLst>
              <c:f>Procesamiento_Info!$D$225</c:f>
              <c:strCache>
                <c:ptCount val="1"/>
                <c:pt idx="0">
                  <c:v>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Procesamiento_Info!$C$230:$D$230</c15:sqref>
                  </c15:fullRef>
                </c:ext>
              </c:extLst>
              <c:f>Procesamiento_Info!$D$230</c:f>
              <c:numCache>
                <c:formatCode>0%</c:formatCode>
                <c:ptCount val="1"/>
                <c:pt idx="0">
                  <c:v>1.2987012987012988E-2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474-481B-8BF4-724AFBAD602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37643640"/>
        <c:axId val="437648344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Procesamiento_Info!$B$231</c15:sqref>
                        </c15:formulaRef>
                      </c:ext>
                    </c:extLst>
                    <c:strCache>
                      <c:ptCount val="1"/>
                      <c:pt idx="0">
                        <c:v>2 y 3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Procesamiento_Info!$C$225:$D$225</c15:sqref>
                        </c15:fullRef>
                        <c15:formulaRef>
                          <c15:sqref>Procesamiento_Info!$D$225</c15:sqref>
                        </c15:formulaRef>
                      </c:ext>
                    </c:extLst>
                    <c:strCache>
                      <c:ptCount val="1"/>
                      <c:pt idx="0">
                        <c:v>%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Procesamiento_Info!$C$231:$D$231</c15:sqref>
                        </c15:fullRef>
                        <c15:formulaRef>
                          <c15:sqref>Procesamiento_Info!$D$231</c15:sqref>
                        </c15:formulaRef>
                      </c:ext>
                    </c:extLst>
                    <c:numCache>
                      <c:formatCode>0%</c:formatCode>
                      <c:ptCount val="1"/>
                      <c:pt idx="0">
                        <c:v>0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5-F474-481B-8BF4-724AFBAD602D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Procesamiento_Info!$B$232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Procesamiento_Info!$C$225:$D$225</c15:sqref>
                        </c15:fullRef>
                        <c15:formulaRef>
                          <c15:sqref>Procesamiento_Info!$D$225</c15:sqref>
                        </c15:formulaRef>
                      </c:ext>
                    </c:extLst>
                    <c:strCache>
                      <c:ptCount val="1"/>
                      <c:pt idx="0">
                        <c:v>%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Procesamiento_Info!$C$232:$D$232</c15:sqref>
                        </c15:fullRef>
                        <c15:formulaRef>
                          <c15:sqref>Procesamiento_Info!$D$232</c15:sqref>
                        </c15:formulaRef>
                      </c:ext>
                    </c:extLst>
                    <c:numCache>
                      <c:formatCode>0%</c:formatCode>
                      <c:ptCount val="1"/>
                      <c:pt idx="0">
                        <c:v>0.98701298701298701</c:v>
                      </c:pt>
                    </c:numCache>
                  </c:numRef>
                </c:val>
                <c:extLst xmlns:c16r2="http://schemas.microsoft.com/office/drawing/2015/06/chart" xmlns:c15="http://schemas.microsoft.com/office/drawing/2012/chart">
                  <c:ext xmlns:c16="http://schemas.microsoft.com/office/drawing/2014/chart" uri="{C3380CC4-5D6E-409C-BE32-E72D297353CC}">
                    <c16:uniqueId val="{00000006-F474-481B-8BF4-724AFBAD602D}"/>
                  </c:ext>
                </c:extLst>
              </c15:ser>
            </c15:filteredBarSeries>
          </c:ext>
        </c:extLst>
      </c:barChart>
      <c:catAx>
        <c:axId val="4376436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37648344"/>
        <c:crosses val="autoZero"/>
        <c:auto val="1"/>
        <c:lblAlgn val="ctr"/>
        <c:lblOffset val="100"/>
        <c:noMultiLvlLbl val="0"/>
      </c:catAx>
      <c:valAx>
        <c:axId val="43764834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37643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CO" sz="1320" b="0" i="0" u="none" strike="noStrike" kern="1200" cap="all" spc="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900"/>
              <a:t>P3_Rango</a:t>
            </a:r>
            <a:r>
              <a:rPr lang="en-US" sz="900" baseline="0"/>
              <a:t> </a:t>
            </a:r>
            <a:r>
              <a:rPr lang="en-US" sz="900"/>
              <a:t>De edad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CO" sz="1320" b="0" i="0" u="none" strike="noStrike" kern="1200" cap="all" spc="0" normalizeH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stacked"/>
        <c:varyColors val="0"/>
        <c:ser>
          <c:idx val="1"/>
          <c:order val="1"/>
          <c:tx>
            <c:strRef>
              <c:f>Procesamiento_Info!$D$14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5F0-4428-BBEF-B5AE94611B2D}"/>
              </c:ext>
            </c:extLst>
          </c:dPt>
          <c:dLbls>
            <c:dLbl>
              <c:idx val="1"/>
              <c:layout>
                <c:manualLayout>
                  <c:x val="0.25157232704402516"/>
                  <c:y val="-5.25969647823976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45F0-4428-BBEF-B5AE94611B2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8050314465408744E-2"/>
                  <c:y val="-5.25969647823976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45F0-4428-BBEF-B5AE94611B2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CO" sz="1100" b="0" i="0" u="none" strike="noStrike" kern="1200" spc="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Procesamiento_Info!$B$15:$B$18</c15:sqref>
                  </c15:fullRef>
                </c:ext>
              </c:extLst>
              <c:f>Procesamiento_Info!$B$15:$B$17</c:f>
              <c:strCache>
                <c:ptCount val="3"/>
                <c:pt idx="0">
                  <c:v>De 18 a 28</c:v>
                </c:pt>
                <c:pt idx="1">
                  <c:v>29 a 59</c:v>
                </c:pt>
                <c:pt idx="2">
                  <c:v>Mayor de 60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Procesamiento_Info!$D$15:$D$18</c15:sqref>
                  </c15:fullRef>
                </c:ext>
              </c:extLst>
              <c:f>Procesamiento_Info!$D$15:$D$17</c:f>
              <c:numCache>
                <c:formatCode>0%</c:formatCode>
                <c:ptCount val="3"/>
                <c:pt idx="0">
                  <c:v>0.18181818181818182</c:v>
                </c:pt>
                <c:pt idx="1">
                  <c:v>0.79220779220779225</c:v>
                </c:pt>
                <c:pt idx="2">
                  <c:v>2.5974025974025976E-2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5F0-4428-BBEF-B5AE94611B2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9"/>
        <c:shape val="box"/>
        <c:axId val="348257008"/>
        <c:axId val="348087312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Procesamiento_Info!$C$14</c15:sqref>
                        </c15:formulaRef>
                      </c:ext>
                    </c:extLst>
                    <c:strCache>
                      <c:ptCount val="1"/>
                      <c:pt idx="0">
                        <c:v>FRECUENCIA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lang="es-CO" sz="1100" b="0" i="0" u="none" strike="noStrike" kern="1200" spc="0" baseline="0">
                          <a:solidFill>
                            <a:sysClr val="windowText" lastClr="000000">
                              <a:lumMod val="65000"/>
                              <a:lumOff val="35000"/>
                            </a:sysClr>
                          </a:solidFill>
                          <a:latin typeface="Arial" panose="020B0604020202020204" pitchFamily="34" charset="0"/>
                          <a:ea typeface="+mn-ea"/>
                          <a:cs typeface="Arial" panose="020B0604020202020204" pitchFamily="34" charset="0"/>
                        </a:defRPr>
                      </a:pPr>
                      <a:endParaRPr lang="es-CO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Procesamiento_Info!$B$15:$B$18</c15:sqref>
                        </c15:fullRef>
                        <c15:formulaRef>
                          <c15:sqref>Procesamiento_Info!$B$15:$B$17</c15:sqref>
                        </c15:formulaRef>
                      </c:ext>
                    </c:extLst>
                    <c:strCache>
                      <c:ptCount val="3"/>
                      <c:pt idx="0">
                        <c:v>De 18 a 28</c:v>
                      </c:pt>
                      <c:pt idx="1">
                        <c:v>29 a 59</c:v>
                      </c:pt>
                      <c:pt idx="2">
                        <c:v>Mayor de 60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Procesamiento_Info!$C$15:$C$18</c15:sqref>
                        </c15:fullRef>
                        <c15:formulaRef>
                          <c15:sqref>Procesamiento_Info!$C$15:$C$17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14</c:v>
                      </c:pt>
                      <c:pt idx="1">
                        <c:v>61</c:v>
                      </c:pt>
                      <c:pt idx="2">
                        <c:v>2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4-45F0-4428-BBEF-B5AE94611B2D}"/>
                  </c:ext>
                </c:extLst>
              </c15:ser>
            </c15:filteredBarSeries>
          </c:ext>
        </c:extLst>
      </c:bar3DChart>
      <c:catAx>
        <c:axId val="3482570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CO" sz="800" b="0" i="0" u="none" strike="noStrike" kern="1200" cap="all" spc="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348087312"/>
        <c:crosses val="autoZero"/>
        <c:auto val="1"/>
        <c:lblAlgn val="ctr"/>
        <c:lblOffset val="100"/>
        <c:noMultiLvlLbl val="0"/>
      </c:catAx>
      <c:valAx>
        <c:axId val="348087312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348257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 algn="ctr" rtl="0">
        <a:defRPr lang="es-CO" sz="1100" b="0" i="0" u="none" strike="noStrike" kern="1200" spc="0" baseline="0">
          <a:solidFill>
            <a:sysClr val="windowText" lastClr="000000">
              <a:lumMod val="65000"/>
              <a:lumOff val="35000"/>
            </a:sysClr>
          </a:solidFill>
          <a:latin typeface="Arial" panose="020B0604020202020204" pitchFamily="34" charset="0"/>
          <a:ea typeface="+mn-ea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0" i="0" kern="1200" spc="0" baseline="0">
                <a:solidFill>
                  <a:srgbClr val="595959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P_28_Forma de pago</a:t>
            </a:r>
            <a:endParaRPr lang="es-CO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Procesamiento_Info!$B$238</c:f>
              <c:strCache>
                <c:ptCount val="1"/>
                <c:pt idx="0">
                  <c:v>Contado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Procesamiento_Info!$C$237:$D$237</c15:sqref>
                  </c15:fullRef>
                </c:ext>
              </c:extLst>
              <c:f>Procesamiento_Info!$D$237</c:f>
              <c:strCache>
                <c:ptCount val="1"/>
                <c:pt idx="0">
                  <c:v>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Procesamiento_Info!$C$238:$D$238</c15:sqref>
                  </c15:fullRef>
                </c:ext>
              </c:extLst>
              <c:f>Procesamiento_Info!$D$238</c:f>
              <c:numCache>
                <c:formatCode>0%</c:formatCode>
                <c:ptCount val="1"/>
                <c:pt idx="0">
                  <c:v>0.55844155844155841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D24-4F2B-8184-3F25CCAE0678}"/>
            </c:ext>
          </c:extLst>
        </c:ser>
        <c:ser>
          <c:idx val="1"/>
          <c:order val="1"/>
          <c:tx>
            <c:strRef>
              <c:f>Procesamiento_Info!$B$239</c:f>
              <c:strCache>
                <c:ptCount val="1"/>
                <c:pt idx="0">
                  <c:v>Pago por semana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Procesamiento_Info!$C$237:$D$237</c15:sqref>
                  </c15:fullRef>
                </c:ext>
              </c:extLst>
              <c:f>Procesamiento_Info!$D$237</c:f>
              <c:strCache>
                <c:ptCount val="1"/>
                <c:pt idx="0">
                  <c:v>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Procesamiento_Info!$C$239:$D$239</c15:sqref>
                  </c15:fullRef>
                </c:ext>
              </c:extLst>
              <c:f>Procesamiento_Info!$D$239</c:f>
              <c:numCache>
                <c:formatCode>0%</c:formatCode>
                <c:ptCount val="1"/>
                <c:pt idx="0">
                  <c:v>0.18181818181818182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D24-4F2B-8184-3F25CCAE0678}"/>
            </c:ext>
          </c:extLst>
        </c:ser>
        <c:ser>
          <c:idx val="2"/>
          <c:order val="2"/>
          <c:tx>
            <c:strRef>
              <c:f>Procesamiento_Info!$B$240</c:f>
              <c:strCache>
                <c:ptCount val="1"/>
                <c:pt idx="0">
                  <c:v>Pago mensual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Procesamiento_Info!$C$237:$D$237</c15:sqref>
                  </c15:fullRef>
                </c:ext>
              </c:extLst>
              <c:f>Procesamiento_Info!$D$237</c:f>
              <c:strCache>
                <c:ptCount val="1"/>
                <c:pt idx="0">
                  <c:v>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Procesamiento_Info!$C$240:$D$240</c15:sqref>
                  </c15:fullRef>
                </c:ext>
              </c:extLst>
              <c:f>Procesamiento_Info!$D$240</c:f>
              <c:numCache>
                <c:formatCode>0%</c:formatCode>
                <c:ptCount val="1"/>
                <c:pt idx="0">
                  <c:v>0.14285714285714285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D24-4F2B-8184-3F25CCAE0678}"/>
            </c:ext>
          </c:extLst>
        </c:ser>
        <c:ser>
          <c:idx val="3"/>
          <c:order val="3"/>
          <c:tx>
            <c:strRef>
              <c:f>Procesamiento_Info!$B$241</c:f>
              <c:strCache>
                <c:ptCount val="1"/>
                <c:pt idx="0">
                  <c:v>1 y 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Procesamiento_Info!$C$237:$D$237</c15:sqref>
                  </c15:fullRef>
                </c:ext>
              </c:extLst>
              <c:f>Procesamiento_Info!$D$237</c:f>
              <c:strCache>
                <c:ptCount val="1"/>
                <c:pt idx="0">
                  <c:v>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Procesamiento_Info!$C$241:$D$241</c15:sqref>
                  </c15:fullRef>
                </c:ext>
              </c:extLst>
              <c:f>Procesamiento_Info!$D$241</c:f>
              <c:numCache>
                <c:formatCode>0%</c:formatCode>
                <c:ptCount val="1"/>
                <c:pt idx="0">
                  <c:v>6.4935064935064929E-2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D24-4F2B-8184-3F25CCAE0678}"/>
            </c:ext>
          </c:extLst>
        </c:ser>
        <c:ser>
          <c:idx val="4"/>
          <c:order val="4"/>
          <c:tx>
            <c:strRef>
              <c:f>Procesamiento_Info!$B$242</c:f>
              <c:strCache>
                <c:ptCount val="1"/>
                <c:pt idx="0">
                  <c:v>1 y 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Procesamiento_Info!$C$237:$D$237</c15:sqref>
                  </c15:fullRef>
                </c:ext>
              </c:extLst>
              <c:f>Procesamiento_Info!$D$237</c:f>
              <c:strCache>
                <c:ptCount val="1"/>
                <c:pt idx="0">
                  <c:v>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Procesamiento_Info!$C$242:$D$242</c15:sqref>
                  </c15:fullRef>
                </c:ext>
              </c:extLst>
              <c:f>Procesamiento_Info!$D$242</c:f>
              <c:numCache>
                <c:formatCode>0%</c:formatCode>
                <c:ptCount val="1"/>
                <c:pt idx="0">
                  <c:v>5.1948051948051951E-2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D24-4F2B-8184-3F25CCAE0678}"/>
            </c:ext>
          </c:extLst>
        </c:ser>
        <c:ser>
          <c:idx val="5"/>
          <c:order val="5"/>
          <c:tx>
            <c:strRef>
              <c:f>Procesamiento_Info!$B$243</c:f>
              <c:strCache>
                <c:ptCount val="1"/>
                <c:pt idx="0">
                  <c:v>2 y 3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Procesamiento_Info!$C$237:$D$237</c15:sqref>
                  </c15:fullRef>
                </c:ext>
              </c:extLst>
              <c:f>Procesamiento_Info!$D$237</c:f>
              <c:strCache>
                <c:ptCount val="1"/>
                <c:pt idx="0">
                  <c:v>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Procesamiento_Info!$C$243:$D$243</c15:sqref>
                  </c15:fullRef>
                </c:ext>
              </c:extLst>
              <c:f>Procesamiento_Info!$D$243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D24-4F2B-8184-3F25CCAE067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37646776"/>
        <c:axId val="437642072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6"/>
                <c:order val="6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Procesamiento_Info!$B$244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Procesamiento_Info!$C$237:$D$237</c15:sqref>
                        </c15:fullRef>
                        <c15:formulaRef>
                          <c15:sqref>Procesamiento_Info!$D$237</c15:sqref>
                        </c15:formulaRef>
                      </c:ext>
                    </c:extLst>
                    <c:strCache>
                      <c:ptCount val="1"/>
                      <c:pt idx="0">
                        <c:v>%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Procesamiento_Info!$C$244:$D$244</c15:sqref>
                        </c15:fullRef>
                        <c15:formulaRef>
                          <c15:sqref>Procesamiento_Info!$D$244</c15:sqref>
                        </c15:formulaRef>
                      </c:ext>
                    </c:extLst>
                    <c:numCache>
                      <c:formatCode>0%</c:formatCode>
                      <c:ptCount val="1"/>
                      <c:pt idx="0">
                        <c:v>0.99999999999999989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6-9D24-4F2B-8184-3F25CCAE0678}"/>
                  </c:ext>
                </c:extLst>
              </c15:ser>
            </c15:filteredBarSeries>
          </c:ext>
        </c:extLst>
      </c:barChart>
      <c:catAx>
        <c:axId val="4376467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37642072"/>
        <c:crosses val="autoZero"/>
        <c:auto val="1"/>
        <c:lblAlgn val="ctr"/>
        <c:lblOffset val="100"/>
        <c:noMultiLvlLbl val="0"/>
      </c:catAx>
      <c:valAx>
        <c:axId val="43764207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37646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0" i="0" kern="1200" spc="0" baseline="0">
                <a:solidFill>
                  <a:srgbClr val="595959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P_29_Alianzas Estrategicas</a:t>
            </a:r>
            <a:endParaRPr lang="es-CO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1"/>
          <c:order val="1"/>
          <c:tx>
            <c:strRef>
              <c:f>Procesamiento_Info!$D$250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66FF"/>
            </a:solidFill>
          </c:spPr>
          <c:dPt>
            <c:idx val="0"/>
            <c:bubble3D val="0"/>
            <c:spPr>
              <a:solidFill>
                <a:srgbClr val="FFFF66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792-44EF-B14C-DB7B2AFF39FF}"/>
              </c:ext>
            </c:extLst>
          </c:dPt>
          <c:dPt>
            <c:idx val="1"/>
            <c:bubble3D val="0"/>
            <c:spPr>
              <a:solidFill>
                <a:srgbClr val="0066FF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792-44EF-B14C-DB7B2AFF39F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Procesamiento_Info!$B$251:$B$253</c15:sqref>
                  </c15:fullRef>
                </c:ext>
              </c:extLst>
              <c:f>Procesamiento_Info!$B$251:$B$252</c:f>
              <c:strCache>
                <c:ptCount val="2"/>
                <c:pt idx="0">
                  <c:v>Sí</c:v>
                </c:pt>
                <c:pt idx="1">
                  <c:v>No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Procesamiento_Info!$D$251:$D$253</c15:sqref>
                  </c15:fullRef>
                </c:ext>
              </c:extLst>
              <c:f>Procesamiento_Info!$D$251:$D$252</c:f>
              <c:numCache>
                <c:formatCode>0%</c:formatCode>
                <c:ptCount val="2"/>
                <c:pt idx="0">
                  <c:v>0.12987012987012986</c:v>
                </c:pt>
                <c:pt idx="1">
                  <c:v>0.8571428571428571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792-44EF-B14C-DB7B2AFF39FF}"/>
            </c:ext>
            <c:ext xmlns:c15="http://schemas.microsoft.com/office/drawing/2012/chart" uri="{02D57815-91ED-43cb-92C2-25804820EDAC}">
              <c15:categoryFilterExceptions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 xmlns:c16r2="http://schemas.microsoft.com/office/drawing/2015/06/chart"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Procesamiento_Info!$C$250</c15:sqref>
                        </c15:formulaRef>
                      </c:ext>
                    </c:extLst>
                    <c:strCache>
                      <c:ptCount val="1"/>
                      <c:pt idx="0">
                        <c:v>FRECUENCIA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6r2="http://schemas.microsoft.com/office/drawing/2015/06/chart">
                    <c:ext xmlns:c16="http://schemas.microsoft.com/office/drawing/2014/chart" uri="{C3380CC4-5D6E-409C-BE32-E72D297353CC}">
                      <c16:uniqueId val="{00000006-A792-44EF-B14C-DB7B2AFF39FF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6r2="http://schemas.microsoft.com/office/drawing/2015/06/chart">
                    <c:ext xmlns:c16="http://schemas.microsoft.com/office/drawing/2014/chart" uri="{C3380CC4-5D6E-409C-BE32-E72D297353CC}">
                      <c16:uniqueId val="{00000008-A792-44EF-B14C-DB7B2AFF39FF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 xmlns:c16r2="http://schemas.microsoft.com/office/drawing/2015/06/chart"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Procesamiento_Info!$B$251:$B$253</c15:sqref>
                        </c15:fullRef>
                        <c15:formulaRef>
                          <c15:sqref>Procesamiento_Info!$B$251:$B$252</c15:sqref>
                        </c15:formulaRef>
                      </c:ext>
                    </c:extLst>
                    <c:strCache>
                      <c:ptCount val="2"/>
                      <c:pt idx="0">
                        <c:v>Sí</c:v>
                      </c:pt>
                      <c:pt idx="1">
                        <c:v>No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Procesamiento_Info!$C$251:$C$253</c15:sqref>
                        </c15:fullRef>
                        <c15:formulaRef>
                          <c15:sqref>Procesamiento_Info!$C$251:$C$252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10</c:v>
                      </c:pt>
                      <c:pt idx="1">
                        <c:v>66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9-A792-44EF-B14C-DB7B2AFF39FF}"/>
                  </c:ext>
                  <c:ext uri="{02D57815-91ED-43cb-92C2-25804820EDAC}">
                    <c15:categoryFilterExceptions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0" i="0" kern="1200" spc="0" baseline="0">
                <a:solidFill>
                  <a:srgbClr val="595959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P_30_Promoción y Publicidad</a:t>
            </a:r>
            <a:endParaRPr lang="es-CO" sz="1100">
              <a:effectLst/>
            </a:endParaRPr>
          </a:p>
          <a:p>
            <a:pPr>
              <a:defRPr/>
            </a:pPr>
            <a:endParaRPr lang="en-US"/>
          </a:p>
        </c:rich>
      </c:tx>
      <c:layout>
        <c:manualLayout>
          <c:xMode val="edge"/>
          <c:yMode val="edge"/>
          <c:x val="0.25789566929133856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3.3333333333333333E-2"/>
          <c:y val="0.16444444444444448"/>
          <c:w val="0.87232174103237092"/>
          <c:h val="0.6587117235345582"/>
        </c:manualLayout>
      </c:layout>
      <c:barChart>
        <c:barDir val="col"/>
        <c:grouping val="clustered"/>
        <c:varyColors val="0"/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37648736"/>
        <c:axId val="437641288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Procesamiento_Info!$C$263</c15:sqref>
                        </c15:formulaRef>
                      </c:ext>
                    </c:extLst>
                    <c:strCache>
                      <c:ptCount val="1"/>
                      <c:pt idx="0">
                        <c:v>FRECUENCIA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Procesamiento_Info!$B$264:$B$270</c15:sqref>
                        </c15:fullRef>
                        <c15:formulaRef>
                          <c15:sqref>(Procesamiento_Info!$B$264:$B$267,Procesamiento_Info!$B$269)</c15:sqref>
                        </c15:formulaRef>
                      </c:ext>
                    </c:extLst>
                    <c:strCache>
                      <c:ptCount val="5"/>
                      <c:pt idx="0">
                        <c:v>Semanal</c:v>
                      </c:pt>
                      <c:pt idx="1">
                        <c:v>Quincenal</c:v>
                      </c:pt>
                      <c:pt idx="2">
                        <c:v>Semestral</c:v>
                      </c:pt>
                      <c:pt idx="3">
                        <c:v>Anual</c:v>
                      </c:pt>
                      <c:pt idx="4">
                        <c:v>No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Procesamiento_Info!$C$264:$C$270</c15:sqref>
                        </c15:fullRef>
                        <c15:formulaRef>
                          <c15:sqref>(Procesamiento_Info!$C$264:$C$267,Procesamiento_Info!$C$269)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10</c:v>
                      </c:pt>
                      <c:pt idx="1">
                        <c:v>8</c:v>
                      </c:pt>
                      <c:pt idx="2">
                        <c:v>18</c:v>
                      </c:pt>
                      <c:pt idx="3">
                        <c:v>14</c:v>
                      </c:pt>
                      <c:pt idx="4">
                        <c:v>26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5-8BF2-4740-9196-BAA90FFF3EC8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1"/>
          <c:tx>
            <c:strRef>
              <c:f>Procesamiento_Info!$D$263</c:f>
              <c:strCache>
                <c:ptCount val="1"/>
                <c:pt idx="0">
                  <c:v>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1111111111111112E-2"/>
                  <c:y val="-4.6296296296296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8BF2-4740-9196-BAA90FFF3EC8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666666666666664E-2"/>
                  <c:y val="-6.9444444444444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8BF2-4740-9196-BAA90FFF3EC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4444444444444495E-2"/>
                  <c:y val="6.0185185185185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8BF2-4740-9196-BAA90FFF3EC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2777777777777778E-2"/>
                  <c:y val="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8BF2-4740-9196-BAA90FFF3EC8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Procesamiento_Info!$B$264:$B$270</c15:sqref>
                  </c15:fullRef>
                </c:ext>
              </c:extLst>
              <c:f>(Procesamiento_Info!$B$264:$B$267,Procesamiento_Info!$B$269)</c:f>
              <c:strCache>
                <c:ptCount val="5"/>
                <c:pt idx="0">
                  <c:v>Semanal</c:v>
                </c:pt>
                <c:pt idx="1">
                  <c:v>Quincenal</c:v>
                </c:pt>
                <c:pt idx="2">
                  <c:v>Semestral</c:v>
                </c:pt>
                <c:pt idx="3">
                  <c:v>Anual</c:v>
                </c:pt>
                <c:pt idx="4">
                  <c:v>No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Procesamiento_Info!$D$264:$D$270</c15:sqref>
                  </c15:fullRef>
                </c:ext>
              </c:extLst>
              <c:f>(Procesamiento_Info!$D$264:$D$267,Procesamiento_Info!$D$269)</c:f>
              <c:numCache>
                <c:formatCode>0%</c:formatCode>
                <c:ptCount val="5"/>
                <c:pt idx="0">
                  <c:v>0.12987012987012986</c:v>
                </c:pt>
                <c:pt idx="1">
                  <c:v>0.1038961038961039</c:v>
                </c:pt>
                <c:pt idx="2">
                  <c:v>0.23376623376623376</c:v>
                </c:pt>
                <c:pt idx="3">
                  <c:v>0.18181818181818182</c:v>
                </c:pt>
                <c:pt idx="4">
                  <c:v>0.33766233766233766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8BF2-4740-9196-BAA90FFF3EC8}"/>
            </c:ext>
            <c:ext xmlns:c15="http://schemas.microsoft.com/office/drawing/2012/chart" uri="{02D57815-91ED-43cb-92C2-25804820EDAC}">
              <c15:categoryFilterExceptions>
                <c15:categoryFilterException>
                  <c15:sqref>Procesamiento_Info!$D$268</c15:sqref>
                  <c15:dLbl>
                    <c:idx val="3"/>
                    <c:delete val="1"/>
                    <c:extLst xmlns:c16r2="http://schemas.microsoft.com/office/drawing/2015/06/chart" xmlns:c16="http://schemas.microsoft.com/office/drawing/2014/chart">
                      <c:ext xmlns:c16="http://schemas.microsoft.com/office/drawing/2014/chart" uri="{C3380CC4-5D6E-409C-BE32-E72D297353CC}">
                        <c16:uniqueId val="{00000000-77D9-451C-8C76-FD2BA50D4E2A}"/>
                      </c:ext>
                      <c:ext uri="{CE6537A1-D6FC-4f65-9D91-7224C49458BB}"/>
                    </c:extLst>
                  </c15:dLbl>
                </c15:categoryFilterException>
              </c15:categoryFilterExceptions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37642464"/>
        <c:axId val="437641680"/>
      </c:lineChart>
      <c:catAx>
        <c:axId val="437648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7641288"/>
        <c:crosses val="autoZero"/>
        <c:auto val="1"/>
        <c:lblAlgn val="ctr"/>
        <c:lblOffset val="100"/>
        <c:noMultiLvlLbl val="0"/>
      </c:catAx>
      <c:valAx>
        <c:axId val="43764128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37648736"/>
        <c:crosses val="autoZero"/>
        <c:crossBetween val="between"/>
      </c:valAx>
      <c:valAx>
        <c:axId val="437641680"/>
        <c:scaling>
          <c:orientation val="minMax"/>
        </c:scaling>
        <c:delete val="0"/>
        <c:axPos val="r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7642464"/>
        <c:crosses val="max"/>
        <c:crossBetween val="between"/>
      </c:valAx>
      <c:catAx>
        <c:axId val="4376424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376416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0" i="0" kern="1200" spc="0" baseline="0">
                <a:solidFill>
                  <a:srgbClr val="595959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P_31_Promoción y Publicidad</a:t>
            </a:r>
            <a:endParaRPr lang="es-CO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Procesamiento_Info!$B$278</c:f>
              <c:strCache>
                <c:ptCount val="1"/>
                <c:pt idx="0">
                  <c:v>tecnologicos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Procesamiento_Info!$C$277:$D$277</c15:sqref>
                  </c15:fullRef>
                </c:ext>
              </c:extLst>
              <c:f>Procesamiento_Info!$D$277</c:f>
              <c:strCache>
                <c:ptCount val="1"/>
                <c:pt idx="0">
                  <c:v>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Procesamiento_Info!$C$278:$D$278</c15:sqref>
                  </c15:fullRef>
                </c:ext>
              </c:extLst>
              <c:f>Procesamiento_Info!$D$278</c:f>
              <c:numCache>
                <c:formatCode>0%</c:formatCode>
                <c:ptCount val="1"/>
                <c:pt idx="0">
                  <c:v>3.896103896103896E-2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C6D-405B-B6E7-29AEA202FA1A}"/>
            </c:ext>
          </c:extLst>
        </c:ser>
        <c:ser>
          <c:idx val="1"/>
          <c:order val="1"/>
          <c:tx>
            <c:strRef>
              <c:f>Procesamiento_Info!$B$279</c:f>
              <c:strCache>
                <c:ptCount val="1"/>
                <c:pt idx="0">
                  <c:v>diseño</c:v>
                </c:pt>
              </c:strCache>
            </c:strRef>
          </c:tx>
          <c:spPr>
            <a:solidFill>
              <a:srgbClr val="FFCCC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Procesamiento_Info!$C$277:$D$277</c15:sqref>
                  </c15:fullRef>
                </c:ext>
              </c:extLst>
              <c:f>Procesamiento_Info!$D$277</c:f>
              <c:strCache>
                <c:ptCount val="1"/>
                <c:pt idx="0">
                  <c:v>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Procesamiento_Info!$C$279:$D$279</c15:sqref>
                  </c15:fullRef>
                </c:ext>
              </c:extLst>
              <c:f>Procesamiento_Info!$D$279</c:f>
              <c:numCache>
                <c:formatCode>0%</c:formatCode>
                <c:ptCount val="1"/>
                <c:pt idx="0">
                  <c:v>0.1038961038961039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C6D-405B-B6E7-29AEA202FA1A}"/>
            </c:ext>
          </c:extLst>
        </c:ser>
        <c:ser>
          <c:idx val="2"/>
          <c:order val="2"/>
          <c:tx>
            <c:strRef>
              <c:f>Procesamiento_Info!$B$280</c:f>
              <c:strCache>
                <c:ptCount val="1"/>
                <c:pt idx="0">
                  <c:v>software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Procesamiento_Info!$C$277:$D$277</c15:sqref>
                  </c15:fullRef>
                </c:ext>
              </c:extLst>
              <c:f>Procesamiento_Info!$D$277</c:f>
              <c:strCache>
                <c:ptCount val="1"/>
                <c:pt idx="0">
                  <c:v>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Procesamiento_Info!$C$280:$D$280</c15:sqref>
                  </c15:fullRef>
                </c:ext>
              </c:extLst>
              <c:f>Procesamiento_Info!$D$280</c:f>
              <c:numCache>
                <c:formatCode>0%</c:formatCode>
                <c:ptCount val="1"/>
                <c:pt idx="0">
                  <c:v>1.2987012987012988E-2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C6D-405B-B6E7-29AEA202FA1A}"/>
            </c:ext>
          </c:extLst>
        </c:ser>
        <c:ser>
          <c:idx val="3"/>
          <c:order val="3"/>
          <c:tx>
            <c:strRef>
              <c:f>Procesamiento_Info!$B$281</c:f>
              <c:strCache>
                <c:ptCount val="1"/>
                <c:pt idx="0">
                  <c:v>cambio de provedores</c:v>
                </c:pt>
              </c:strCache>
            </c:strRef>
          </c:tx>
          <c:spPr>
            <a:solidFill>
              <a:srgbClr val="FFFF6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Procesamiento_Info!$C$277:$D$277</c15:sqref>
                  </c15:fullRef>
                </c:ext>
              </c:extLst>
              <c:f>Procesamiento_Info!$D$277</c:f>
              <c:strCache>
                <c:ptCount val="1"/>
                <c:pt idx="0">
                  <c:v>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Procesamiento_Info!$C$281:$D$281</c15:sqref>
                  </c15:fullRef>
                </c:ext>
              </c:extLst>
              <c:f>Procesamiento_Info!$D$281</c:f>
              <c:numCache>
                <c:formatCode>0%</c:formatCode>
                <c:ptCount val="1"/>
                <c:pt idx="0">
                  <c:v>0.48051948051948051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C6D-405B-B6E7-29AEA202FA1A}"/>
            </c:ext>
          </c:extLst>
        </c:ser>
        <c:ser>
          <c:idx val="4"/>
          <c:order val="4"/>
          <c:tx>
            <c:strRef>
              <c:f>Procesamiento_Info!$B$282</c:f>
              <c:strCache>
                <c:ptCount val="1"/>
                <c:pt idx="0">
                  <c:v>cambio de personal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Procesamiento_Info!$C$277:$D$277</c15:sqref>
                  </c15:fullRef>
                </c:ext>
              </c:extLst>
              <c:f>Procesamiento_Info!$D$277</c:f>
              <c:strCache>
                <c:ptCount val="1"/>
                <c:pt idx="0">
                  <c:v>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Procesamiento_Info!$C$282:$D$282</c15:sqref>
                  </c15:fullRef>
                </c:ext>
              </c:extLst>
              <c:f>Procesamiento_Info!$D$282</c:f>
              <c:numCache>
                <c:formatCode>0%</c:formatCode>
                <c:ptCount val="1"/>
                <c:pt idx="0">
                  <c:v>9.0909090909090912E-2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BC6D-405B-B6E7-29AEA202FA1A}"/>
            </c:ext>
          </c:extLst>
        </c:ser>
        <c:ser>
          <c:idx val="5"/>
          <c:order val="5"/>
          <c:tx>
            <c:strRef>
              <c:f>Procesamiento_Info!$B$283</c:f>
              <c:strCache>
                <c:ptCount val="1"/>
                <c:pt idx="0">
                  <c:v>Sí</c:v>
                </c:pt>
              </c:strCache>
            </c:strRef>
          </c:tx>
          <c:spPr>
            <a:solidFill>
              <a:srgbClr val="FF33C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Procesamiento_Info!$C$277:$D$277</c15:sqref>
                  </c15:fullRef>
                </c:ext>
              </c:extLst>
              <c:f>Procesamiento_Info!$D$277</c:f>
              <c:strCache>
                <c:ptCount val="1"/>
                <c:pt idx="0">
                  <c:v>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Procesamiento_Info!$C$283:$D$283</c15:sqref>
                  </c15:fullRef>
                </c:ext>
              </c:extLst>
              <c:f>Procesamiento_Info!$D$283</c:f>
              <c:numCache>
                <c:formatCode>0%</c:formatCode>
                <c:ptCount val="1"/>
                <c:pt idx="0">
                  <c:v>2.5974025974025976E-2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BC6D-405B-B6E7-29AEA202FA1A}"/>
            </c:ext>
          </c:extLst>
        </c:ser>
        <c:ser>
          <c:idx val="6"/>
          <c:order val="6"/>
          <c:tx>
            <c:strRef>
              <c:f>Procesamiento_Info!$B$284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Procesamiento_Info!$C$277:$D$277</c15:sqref>
                  </c15:fullRef>
                </c:ext>
              </c:extLst>
              <c:f>Procesamiento_Info!$D$277</c:f>
              <c:strCache>
                <c:ptCount val="1"/>
                <c:pt idx="0">
                  <c:v>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Procesamiento_Info!$C$284:$D$284</c15:sqref>
                  </c15:fullRef>
                </c:ext>
              </c:extLst>
              <c:f>Procesamiento_Info!$D$284</c:f>
              <c:numCache>
                <c:formatCode>0%</c:formatCode>
                <c:ptCount val="1"/>
                <c:pt idx="0">
                  <c:v>0.23376623376623376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BC6D-405B-B6E7-29AEA202FA1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37647560"/>
        <c:axId val="437647952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7"/>
                <c:order val="7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Procesamiento_Info!$B$285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Procesamiento_Info!$C$277:$D$277</c15:sqref>
                        </c15:fullRef>
                        <c15:formulaRef>
                          <c15:sqref>Procesamiento_Info!$D$277</c15:sqref>
                        </c15:formulaRef>
                      </c:ext>
                    </c:extLst>
                    <c:strCache>
                      <c:ptCount val="1"/>
                      <c:pt idx="0">
                        <c:v>%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Procesamiento_Info!$C$285:$D$285</c15:sqref>
                        </c15:fullRef>
                        <c15:formulaRef>
                          <c15:sqref>Procesamiento_Info!$D$285</c15:sqref>
                        </c15:formulaRef>
                      </c:ext>
                    </c:extLst>
                    <c:numCache>
                      <c:formatCode>0%</c:formatCode>
                      <c:ptCount val="1"/>
                      <c:pt idx="0">
                        <c:v>0.98701298701298701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7-BC6D-405B-B6E7-29AEA202FA1A}"/>
                  </c:ext>
                </c:extLst>
              </c15:ser>
            </c15:filteredBarSeries>
          </c:ext>
        </c:extLst>
      </c:barChart>
      <c:catAx>
        <c:axId val="4376475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37647952"/>
        <c:crosses val="autoZero"/>
        <c:auto val="1"/>
        <c:lblAlgn val="ctr"/>
        <c:lblOffset val="100"/>
        <c:noMultiLvlLbl val="0"/>
      </c:catAx>
      <c:valAx>
        <c:axId val="43764795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37647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P_33_Posecionamiento</a:t>
            </a:r>
            <a:r>
              <a:rPr lang="en-US" sz="1100" baseline="0">
                <a:latin typeface="Arial" panose="020B0604020202020204" pitchFamily="34" charset="0"/>
                <a:cs typeface="Arial" panose="020B0604020202020204" pitchFamily="34" charset="0"/>
              </a:rPr>
              <a:t> del negocio</a:t>
            </a:r>
            <a:endParaRPr lang="en-US" sz="11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5616666666666665"/>
          <c:y val="7.4074074074074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37645208"/>
        <c:axId val="43764560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Procesamiento_Info!$C$302</c15:sqref>
                        </c15:formulaRef>
                      </c:ext>
                    </c:extLst>
                    <c:strCache>
                      <c:ptCount val="1"/>
                      <c:pt idx="0">
                        <c:v>FRECUENCIA</c:v>
                      </c:pt>
                    </c:strCache>
                  </c:strRef>
                </c:tx>
                <c:spPr>
                  <a:solidFill>
                    <a:schemeClr val="accent4">
                      <a:tint val="77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Procesamiento_Info!$B$303:$B$308</c15:sqref>
                        </c15:fullRef>
                        <c15:formulaRef>
                          <c15:sqref>Procesamiento_Info!$B$303:$B$307</c15:sqref>
                        </c15:formulaRef>
                      </c:ext>
                    </c:extLst>
                    <c:strCache>
                      <c:ptCount val="5"/>
                      <c:pt idx="0">
                        <c:v>Muy Alto</c:v>
                      </c:pt>
                      <c:pt idx="1">
                        <c:v>Alto</c:v>
                      </c:pt>
                      <c:pt idx="2">
                        <c:v>Medio</c:v>
                      </c:pt>
                      <c:pt idx="3">
                        <c:v>Bajo</c:v>
                      </c:pt>
                      <c:pt idx="4">
                        <c:v>Muy Bajo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Procesamiento_Info!$C$303:$C$308</c15:sqref>
                        </c15:fullRef>
                        <c15:formulaRef>
                          <c15:sqref>Procesamiento_Info!$C$303:$C$307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4</c:v>
                      </c:pt>
                      <c:pt idx="1">
                        <c:v>14</c:v>
                      </c:pt>
                      <c:pt idx="2">
                        <c:v>57</c:v>
                      </c:pt>
                      <c:pt idx="3">
                        <c:v>1</c:v>
                      </c:pt>
                      <c:pt idx="4">
                        <c:v>0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3-A962-4172-9D9A-E6E1906D0ECA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1"/>
          <c:tx>
            <c:strRef>
              <c:f>Procesamiento_Info!$D$302</c:f>
              <c:strCache>
                <c:ptCount val="1"/>
                <c:pt idx="0">
                  <c:v>%</c:v>
                </c:pt>
              </c:strCache>
            </c:strRef>
          </c:tx>
          <c:spPr>
            <a:ln w="28575" cap="rnd">
              <a:solidFill>
                <a:schemeClr val="accent4">
                  <a:shade val="76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1111111111111136E-2"/>
                  <c:y val="-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A962-4172-9D9A-E6E1906D0ECA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6666666666666666E-2"/>
                  <c:y val="-6.94444444444446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A962-4172-9D9A-E6E1906D0ECA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Procesamiento_Info!$B$303:$B$308</c15:sqref>
                  </c15:fullRef>
                </c:ext>
              </c:extLst>
              <c:f>Procesamiento_Info!$B$303:$B$307</c:f>
              <c:strCache>
                <c:ptCount val="5"/>
                <c:pt idx="0">
                  <c:v>Muy Alto</c:v>
                </c:pt>
                <c:pt idx="1">
                  <c:v>Alto</c:v>
                </c:pt>
                <c:pt idx="2">
                  <c:v>Medio</c:v>
                </c:pt>
                <c:pt idx="3">
                  <c:v>Bajo</c:v>
                </c:pt>
                <c:pt idx="4">
                  <c:v>Muy Bajo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Procesamiento_Info!$D$303:$D$308</c15:sqref>
                  </c15:fullRef>
                </c:ext>
              </c:extLst>
              <c:f>Procesamiento_Info!$D$303:$D$307</c:f>
              <c:numCache>
                <c:formatCode>0%</c:formatCode>
                <c:ptCount val="5"/>
                <c:pt idx="0">
                  <c:v>5.1948051948051951E-2</c:v>
                </c:pt>
                <c:pt idx="1">
                  <c:v>0.18181818181818182</c:v>
                </c:pt>
                <c:pt idx="2">
                  <c:v>0.74025974025974028</c:v>
                </c:pt>
                <c:pt idx="3">
                  <c:v>1.2987012987012988E-2</c:v>
                </c:pt>
                <c:pt idx="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962-4172-9D9A-E6E1906D0E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38697424"/>
        <c:axId val="438698992"/>
      </c:lineChart>
      <c:catAx>
        <c:axId val="437645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7645600"/>
        <c:crosses val="autoZero"/>
        <c:auto val="1"/>
        <c:lblAlgn val="ctr"/>
        <c:lblOffset val="100"/>
        <c:noMultiLvlLbl val="0"/>
      </c:catAx>
      <c:valAx>
        <c:axId val="43764560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37645208"/>
        <c:crosses val="autoZero"/>
        <c:crossBetween val="between"/>
      </c:valAx>
      <c:valAx>
        <c:axId val="438698992"/>
        <c:scaling>
          <c:orientation val="minMax"/>
        </c:scaling>
        <c:delete val="0"/>
        <c:axPos val="r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697424"/>
        <c:crosses val="max"/>
        <c:crossBetween val="between"/>
      </c:valAx>
      <c:catAx>
        <c:axId val="4386974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386989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P_36__Limitante para ampliar su negocio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3.0555555555555555E-2"/>
          <c:y val="0.15115740740740741"/>
          <c:w val="0.95277777777777772"/>
          <c:h val="0.724420749489647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Procesamiento_Info!$B$318</c:f>
              <c:strCache>
                <c:ptCount val="1"/>
                <c:pt idx="0">
                  <c:v>Presupuesto</c:v>
                </c:pt>
              </c:strCache>
            </c:strRef>
          </c:tx>
          <c:spPr>
            <a:solidFill>
              <a:srgbClr val="AB0D9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Procesamiento_Info!$C$317:$D$317</c15:sqref>
                  </c15:fullRef>
                </c:ext>
              </c:extLst>
              <c:f>Procesamiento_Info!$D$317</c:f>
              <c:strCache>
                <c:ptCount val="1"/>
                <c:pt idx="0">
                  <c:v>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Procesamiento_Info!$C$318:$D$318</c15:sqref>
                  </c15:fullRef>
                </c:ext>
              </c:extLst>
              <c:f>Procesamiento_Info!$D$318</c:f>
              <c:numCache>
                <c:formatCode>0%</c:formatCode>
                <c:ptCount val="1"/>
                <c:pt idx="0">
                  <c:v>0.48051948051948051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6B-4F11-BC35-E3FC09A14CBC}"/>
            </c:ext>
          </c:extLst>
        </c:ser>
        <c:ser>
          <c:idx val="1"/>
          <c:order val="1"/>
          <c:tx>
            <c:strRef>
              <c:f>Procesamiento_Info!$B$319</c:f>
              <c:strCache>
                <c:ptCount val="1"/>
                <c:pt idx="0">
                  <c:v>Demanda Producto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Procesamiento_Info!$C$317:$D$317</c15:sqref>
                  </c15:fullRef>
                </c:ext>
              </c:extLst>
              <c:f>Procesamiento_Info!$D$317</c:f>
              <c:strCache>
                <c:ptCount val="1"/>
                <c:pt idx="0">
                  <c:v>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Procesamiento_Info!$C$319:$D$319</c15:sqref>
                  </c15:fullRef>
                </c:ext>
              </c:extLst>
              <c:f>Procesamiento_Info!$D$319</c:f>
              <c:numCache>
                <c:formatCode>0%</c:formatCode>
                <c:ptCount val="1"/>
                <c:pt idx="0">
                  <c:v>3.896103896103896E-2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6B-4F11-BC35-E3FC09A14CBC}"/>
            </c:ext>
          </c:extLst>
        </c:ser>
        <c:ser>
          <c:idx val="2"/>
          <c:order val="2"/>
          <c:tx>
            <c:strRef>
              <c:f>Procesamiento_Info!$B$320</c:f>
              <c:strCache>
                <c:ptCount val="1"/>
                <c:pt idx="0">
                  <c:v>Espacio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Procesamiento_Info!$C$317:$D$317</c15:sqref>
                  </c15:fullRef>
                </c:ext>
              </c:extLst>
              <c:f>Procesamiento_Info!$D$317</c:f>
              <c:strCache>
                <c:ptCount val="1"/>
                <c:pt idx="0">
                  <c:v>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Procesamiento_Info!$C$320:$D$320</c15:sqref>
                  </c15:fullRef>
                </c:ext>
              </c:extLst>
              <c:f>Procesamiento_Info!$D$320</c:f>
              <c:numCache>
                <c:formatCode>0%</c:formatCode>
                <c:ptCount val="1"/>
                <c:pt idx="0">
                  <c:v>0.18181818181818182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6B-4F11-BC35-E3FC09A14CBC}"/>
            </c:ext>
          </c:extLst>
        </c:ser>
        <c:ser>
          <c:idx val="3"/>
          <c:order val="3"/>
          <c:tx>
            <c:strRef>
              <c:f>Procesamiento_Info!$B$321</c:f>
              <c:strCache>
                <c:ptCount val="1"/>
                <c:pt idx="0">
                  <c:v>Instalaciones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Procesamiento_Info!$C$317:$D$317</c15:sqref>
                  </c15:fullRef>
                </c:ext>
              </c:extLst>
              <c:f>Procesamiento_Info!$D$317</c:f>
              <c:strCache>
                <c:ptCount val="1"/>
                <c:pt idx="0">
                  <c:v>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Procesamiento_Info!$C$321:$D$321</c15:sqref>
                  </c15:fullRef>
                </c:ext>
              </c:extLst>
              <c:f>Procesamiento_Info!$D$321</c:f>
              <c:numCache>
                <c:formatCode>0%</c:formatCode>
                <c:ptCount val="1"/>
                <c:pt idx="0">
                  <c:v>0.19480519480519481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6B-4F11-BC35-E3FC09A14CBC}"/>
            </c:ext>
          </c:extLst>
        </c:ser>
        <c:ser>
          <c:idx val="6"/>
          <c:order val="6"/>
          <c:tx>
            <c:strRef>
              <c:f>Procesamiento_Info!$B$324</c:f>
              <c:strCache>
                <c:ptCount val="1"/>
                <c:pt idx="0">
                  <c:v>1 y 4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Procesamiento_Info!$C$317:$D$317</c15:sqref>
                  </c15:fullRef>
                </c:ext>
              </c:extLst>
              <c:f>Procesamiento_Info!$D$317</c:f>
              <c:strCache>
                <c:ptCount val="1"/>
                <c:pt idx="0">
                  <c:v>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Procesamiento_Info!$C$324:$D$324</c15:sqref>
                  </c15:fullRef>
                </c:ext>
              </c:extLst>
              <c:f>Procesamiento_Info!$D$324</c:f>
              <c:numCache>
                <c:formatCode>0%</c:formatCode>
                <c:ptCount val="1"/>
                <c:pt idx="0">
                  <c:v>2.5974025974025976E-2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6B-4F11-BC35-E3FC09A14CBC}"/>
            </c:ext>
          </c:extLst>
        </c:ser>
        <c:ser>
          <c:idx val="7"/>
          <c:order val="7"/>
          <c:tx>
            <c:strRef>
              <c:f>Procesamiento_Info!$B$325</c:f>
              <c:strCache>
                <c:ptCount val="1"/>
                <c:pt idx="0">
                  <c:v>2 y 3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Procesamiento_Info!$C$317:$D$317</c15:sqref>
                  </c15:fullRef>
                </c:ext>
              </c:extLst>
              <c:f>Procesamiento_Info!$D$317</c:f>
              <c:strCache>
                <c:ptCount val="1"/>
                <c:pt idx="0">
                  <c:v>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Procesamiento_Info!$C$325:$D$325</c15:sqref>
                  </c15:fullRef>
                </c:ext>
              </c:extLst>
              <c:f>Procesamiento_Info!$D$325</c:f>
              <c:numCache>
                <c:formatCode>0%</c:formatCode>
                <c:ptCount val="1"/>
                <c:pt idx="0">
                  <c:v>2.5974025974025976E-2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3C6B-4F11-BC35-E3FC09A14CBC}"/>
            </c:ext>
          </c:extLst>
        </c:ser>
        <c:ser>
          <c:idx val="9"/>
          <c:order val="9"/>
          <c:tx>
            <c:strRef>
              <c:f>Procesamiento_Info!$B$327</c:f>
              <c:strCache>
                <c:ptCount val="1"/>
                <c:pt idx="0">
                  <c:v>3 y 4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Procesamiento_Info!$C$317:$D$317</c15:sqref>
                  </c15:fullRef>
                </c:ext>
              </c:extLst>
              <c:f>Procesamiento_Info!$D$317</c:f>
              <c:strCache>
                <c:ptCount val="1"/>
                <c:pt idx="0">
                  <c:v>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Procesamiento_Info!$C$327:$D$327</c15:sqref>
                  </c15:fullRef>
                </c:ext>
              </c:extLst>
              <c:f>Procesamiento_Info!$D$327</c:f>
              <c:numCache>
                <c:formatCode>0%</c:formatCode>
                <c:ptCount val="1"/>
                <c:pt idx="0">
                  <c:v>2.5974025974025976E-2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3C6B-4F11-BC35-E3FC09A14CB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38700560"/>
        <c:axId val="438697816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Procesamiento_Info!$B$322</c15:sqref>
                        </c15:formulaRef>
                      </c:ext>
                    </c:extLst>
                    <c:strCache>
                      <c:ptCount val="1"/>
                      <c:pt idx="0">
                        <c:v>1 y 2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Procesamiento_Info!$C$317:$D$317</c15:sqref>
                        </c15:fullRef>
                        <c15:formulaRef>
                          <c15:sqref>Procesamiento_Info!$D$317</c15:sqref>
                        </c15:formulaRef>
                      </c:ext>
                    </c:extLst>
                    <c:strCache>
                      <c:ptCount val="1"/>
                      <c:pt idx="0">
                        <c:v>%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Procesamiento_Info!$C$322:$D$322</c15:sqref>
                        </c15:fullRef>
                        <c15:formulaRef>
                          <c15:sqref>Procesamiento_Info!$D$322</c15:sqref>
                        </c15:formulaRef>
                      </c:ext>
                    </c:extLst>
                    <c:numCache>
                      <c:formatCode>0%</c:formatCode>
                      <c:ptCount val="1"/>
                      <c:pt idx="0">
                        <c:v>0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7-3C6B-4F11-BC35-E3FC09A14CBC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Procesamiento_Info!$B$323</c15:sqref>
                        </c15:formulaRef>
                      </c:ext>
                    </c:extLst>
                    <c:strCache>
                      <c:ptCount val="1"/>
                      <c:pt idx="0">
                        <c:v>1 y 3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Procesamiento_Info!$C$317:$D$317</c15:sqref>
                        </c15:fullRef>
                        <c15:formulaRef>
                          <c15:sqref>Procesamiento_Info!$D$317</c15:sqref>
                        </c15:formulaRef>
                      </c:ext>
                    </c:extLst>
                    <c:strCache>
                      <c:ptCount val="1"/>
                      <c:pt idx="0">
                        <c:v>%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Procesamiento_Info!$C$323:$D$323</c15:sqref>
                        </c15:fullRef>
                        <c15:formulaRef>
                          <c15:sqref>Procesamiento_Info!$D$323</c15:sqref>
                        </c15:formulaRef>
                      </c:ext>
                    </c:extLst>
                    <c:numCache>
                      <c:formatCode>0%</c:formatCode>
                      <c:ptCount val="1"/>
                      <c:pt idx="0">
                        <c:v>0</c:v>
                      </c:pt>
                    </c:numCache>
                  </c:numRef>
                </c:val>
                <c:extLst xmlns:c16r2="http://schemas.microsoft.com/office/drawing/2015/06/chart" xmlns:c15="http://schemas.microsoft.com/office/drawing/2012/chart">
                  <c:ext xmlns:c16="http://schemas.microsoft.com/office/drawing/2014/chart" uri="{C3380CC4-5D6E-409C-BE32-E72D297353CC}">
                    <c16:uniqueId val="{00000008-3C6B-4F11-BC35-E3FC09A14CBC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Procesamiento_Info!$B$326</c15:sqref>
                        </c15:formulaRef>
                      </c:ext>
                    </c:extLst>
                    <c:strCache>
                      <c:ptCount val="1"/>
                      <c:pt idx="0">
                        <c:v>2 y 4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Procesamiento_Info!$C$317:$D$317</c15:sqref>
                        </c15:fullRef>
                        <c15:formulaRef>
                          <c15:sqref>Procesamiento_Info!$D$317</c15:sqref>
                        </c15:formulaRef>
                      </c:ext>
                    </c:extLst>
                    <c:strCache>
                      <c:ptCount val="1"/>
                      <c:pt idx="0">
                        <c:v>%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Procesamiento_Info!$C$326:$D$326</c15:sqref>
                        </c15:fullRef>
                        <c15:formulaRef>
                          <c15:sqref>Procesamiento_Info!$D$326</c15:sqref>
                        </c15:formulaRef>
                      </c:ext>
                    </c:extLst>
                    <c:numCache>
                      <c:formatCode>0%</c:formatCode>
                      <c:ptCount val="1"/>
                      <c:pt idx="0">
                        <c:v>0</c:v>
                      </c:pt>
                    </c:numCache>
                  </c:numRef>
                </c:val>
                <c:extLst xmlns:c16r2="http://schemas.microsoft.com/office/drawing/2015/06/chart" xmlns:c15="http://schemas.microsoft.com/office/drawing/2012/chart">
                  <c:ext xmlns:c16="http://schemas.microsoft.com/office/drawing/2014/chart" uri="{C3380CC4-5D6E-409C-BE32-E72D297353CC}">
                    <c16:uniqueId val="{00000009-3C6B-4F11-BC35-E3FC09A14CBC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Procesamiento_Info!$B$328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Procesamiento_Info!$C$317:$D$317</c15:sqref>
                        </c15:fullRef>
                        <c15:formulaRef>
                          <c15:sqref>Procesamiento_Info!$D$317</c15:sqref>
                        </c15:formulaRef>
                      </c:ext>
                    </c:extLst>
                    <c:strCache>
                      <c:ptCount val="1"/>
                      <c:pt idx="0">
                        <c:v>%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Procesamiento_Info!$C$328:$D$328</c15:sqref>
                        </c15:fullRef>
                        <c15:formulaRef>
                          <c15:sqref>Procesamiento_Info!$D$328</c15:sqref>
                        </c15:formulaRef>
                      </c:ext>
                    </c:extLst>
                    <c:numCache>
                      <c:formatCode>0%</c:formatCode>
                      <c:ptCount val="1"/>
                      <c:pt idx="0">
                        <c:v>0.97402597402597402</c:v>
                      </c:pt>
                    </c:numCache>
                  </c:numRef>
                </c:val>
                <c:extLst xmlns:c16r2="http://schemas.microsoft.com/office/drawing/2015/06/chart" xmlns:c15="http://schemas.microsoft.com/office/drawing/2012/chart">
                  <c:ext xmlns:c16="http://schemas.microsoft.com/office/drawing/2014/chart" uri="{C3380CC4-5D6E-409C-BE32-E72D297353CC}">
                    <c16:uniqueId val="{0000000A-3C6B-4F11-BC35-E3FC09A14CBC}"/>
                  </c:ext>
                </c:extLst>
              </c15:ser>
            </c15:filteredBarSeries>
          </c:ext>
        </c:extLst>
      </c:barChart>
      <c:catAx>
        <c:axId val="4387005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38697816"/>
        <c:crosses val="autoZero"/>
        <c:auto val="1"/>
        <c:lblAlgn val="ctr"/>
        <c:lblOffset val="100"/>
        <c:noMultiLvlLbl val="0"/>
      </c:catAx>
      <c:valAx>
        <c:axId val="43869781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38700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P-32_Herramientas</a:t>
            </a:r>
            <a:r>
              <a:rPr lang="en-US" baseline="0"/>
              <a:t> Online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2.9042904290429043E-2"/>
          <c:y val="0.20062199919673343"/>
          <c:w val="0.82583716639380478"/>
          <c:h val="0.66307908342430066"/>
        </c:manualLayout>
      </c:layout>
      <c:barChart>
        <c:barDir val="col"/>
        <c:grouping val="clustered"/>
        <c:varyColors val="0"/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38697032"/>
        <c:axId val="43870252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Procesamiento_Info!$C$290</c15:sqref>
                        </c15:formulaRef>
                      </c:ext>
                    </c:extLst>
                    <c:strCache>
                      <c:ptCount val="1"/>
                      <c:pt idx="0">
                        <c:v>FRECUENCIA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Procesamiento_Info!$B$291:$B$297</c15:sqref>
                        </c15:fullRef>
                        <c15:formulaRef>
                          <c15:sqref>(Procesamiento_Info!$B$291,Procesamiento_Info!$B$293:$B$294,Procesamiento_Info!$B$296)</c15:sqref>
                        </c15:formulaRef>
                      </c:ext>
                    </c:extLst>
                    <c:strCache>
                      <c:ptCount val="4"/>
                      <c:pt idx="0">
                        <c:v>Aplicaciones</c:v>
                      </c:pt>
                      <c:pt idx="1">
                        <c:v>Whatsapp</c:v>
                      </c:pt>
                      <c:pt idx="2">
                        <c:v>Telefonia Movil</c:v>
                      </c:pt>
                      <c:pt idx="3">
                        <c:v>Ninguno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Procesamiento_Info!$C$291:$C$297</c15:sqref>
                        </c15:fullRef>
                        <c15:formulaRef>
                          <c15:sqref>(Procesamiento_Info!$C$291,Procesamiento_Info!$C$293:$C$294,Procesamiento_Info!$C$296)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2</c:v>
                      </c:pt>
                      <c:pt idx="1">
                        <c:v>8</c:v>
                      </c:pt>
                      <c:pt idx="2">
                        <c:v>44</c:v>
                      </c:pt>
                      <c:pt idx="3">
                        <c:v>22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4-75A7-407F-93FA-333FC81441AF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1"/>
          <c:tx>
            <c:strRef>
              <c:f>Procesamiento_Info!$D$290</c:f>
              <c:strCache>
                <c:ptCount val="1"/>
                <c:pt idx="0">
                  <c:v>%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5841584158415842E-2"/>
                  <c:y val="-7.5726826334706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5A7-407F-93FA-333FC81441A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3762376237623811E-2"/>
                  <c:y val="-0.1081811804781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5A7-407F-93FA-333FC81441A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2244224422442245E-2"/>
                  <c:y val="-7.57268263347066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5A7-407F-93FA-333FC81441AF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Procesamiento_Info!$B$291:$B$297</c15:sqref>
                  </c15:fullRef>
                </c:ext>
              </c:extLst>
              <c:f>(Procesamiento_Info!$B$291,Procesamiento_Info!$B$293:$B$294,Procesamiento_Info!$B$296)</c:f>
              <c:strCache>
                <c:ptCount val="4"/>
                <c:pt idx="0">
                  <c:v>Aplicaciones</c:v>
                </c:pt>
                <c:pt idx="1">
                  <c:v>Whatsapp</c:v>
                </c:pt>
                <c:pt idx="2">
                  <c:v>Telefonia Movil</c:v>
                </c:pt>
                <c:pt idx="3">
                  <c:v>Ninguno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Procesamiento_Info!$D$291:$D$297</c15:sqref>
                  </c15:fullRef>
                </c:ext>
              </c:extLst>
              <c:f>(Procesamiento_Info!$D$291,Procesamiento_Info!$D$293:$D$294,Procesamiento_Info!$D$296)</c:f>
              <c:numCache>
                <c:formatCode>0%</c:formatCode>
                <c:ptCount val="4"/>
                <c:pt idx="0">
                  <c:v>2.5974025974025976E-2</c:v>
                </c:pt>
                <c:pt idx="1">
                  <c:v>0.1038961038961039</c:v>
                </c:pt>
                <c:pt idx="2">
                  <c:v>0.5714285714285714</c:v>
                </c:pt>
                <c:pt idx="3">
                  <c:v>0.2857142857142857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5A7-407F-93FA-333FC81441A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38701736"/>
        <c:axId val="438701344"/>
      </c:lineChart>
      <c:catAx>
        <c:axId val="43869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702520"/>
        <c:crosses val="autoZero"/>
        <c:auto val="1"/>
        <c:lblAlgn val="ctr"/>
        <c:lblOffset val="100"/>
        <c:noMultiLvlLbl val="0"/>
      </c:catAx>
      <c:valAx>
        <c:axId val="43870252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38697032"/>
        <c:crosses val="autoZero"/>
        <c:crossBetween val="between"/>
      </c:valAx>
      <c:valAx>
        <c:axId val="438701344"/>
        <c:scaling>
          <c:orientation val="minMax"/>
        </c:scaling>
        <c:delete val="0"/>
        <c:axPos val="r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701736"/>
        <c:crosses val="max"/>
        <c:crossBetween val="between"/>
      </c:valAx>
      <c:catAx>
        <c:axId val="4387017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387013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P_14B Cantidad de Provedores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P_14_Cual!$J$3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P_14_Cual!$H$4:$H$51</c15:sqref>
                  </c15:fullRef>
                </c:ext>
              </c:extLst>
              <c:f>P_14_Cual!$H$4:$H$50</c:f>
              <c:strCache>
                <c:ptCount val="47"/>
                <c:pt idx="0">
                  <c:v>Alpina</c:v>
                </c:pt>
                <c:pt idx="1">
                  <c:v>Altipal</c:v>
                </c:pt>
                <c:pt idx="2">
                  <c:v>Bavaria </c:v>
                </c:pt>
                <c:pt idx="3">
                  <c:v>Bimbo</c:v>
                </c:pt>
                <c:pt idx="4">
                  <c:v>Ceneca</c:v>
                </c:pt>
                <c:pt idx="5">
                  <c:v>Clorox</c:v>
                </c:pt>
                <c:pt idx="6">
                  <c:v>Coca Cola</c:v>
                </c:pt>
                <c:pt idx="7">
                  <c:v>Colanta</c:v>
                </c:pt>
                <c:pt idx="8">
                  <c:v>Colgate</c:v>
                </c:pt>
                <c:pt idx="9">
                  <c:v>Colombiana</c:v>
                </c:pt>
                <c:pt idx="10">
                  <c:v>Copidrogas</c:v>
                </c:pt>
                <c:pt idx="11">
                  <c:v>Crem helado</c:v>
                </c:pt>
                <c:pt idx="12">
                  <c:v>Darnell</c:v>
                </c:pt>
                <c:pt idx="13">
                  <c:v>Daysor</c:v>
                </c:pt>
                <c:pt idx="14">
                  <c:v>Dersa</c:v>
                </c:pt>
                <c:pt idx="15">
                  <c:v>Establo</c:v>
                </c:pt>
                <c:pt idx="16">
                  <c:v>Familia</c:v>
                </c:pt>
                <c:pt idx="17">
                  <c:v>Farmasanchez</c:v>
                </c:pt>
                <c:pt idx="18">
                  <c:v>Fonseca</c:v>
                </c:pt>
                <c:pt idx="19">
                  <c:v>Huggies</c:v>
                </c:pt>
                <c:pt idx="20">
                  <c:v>Kotex</c:v>
                </c:pt>
                <c:pt idx="21">
                  <c:v>Leon Marroquin</c:v>
                </c:pt>
                <c:pt idx="22">
                  <c:v>Loreal </c:v>
                </c:pt>
                <c:pt idx="23">
                  <c:v>Margarita</c:v>
                </c:pt>
                <c:pt idx="24">
                  <c:v>Merci</c:v>
                </c:pt>
                <c:pt idx="25">
                  <c:v>Nacional de Chocolates</c:v>
                </c:pt>
                <c:pt idx="26">
                  <c:v>Nutresa</c:v>
                </c:pt>
                <c:pt idx="27">
                  <c:v>Pañales Tennei</c:v>
                </c:pt>
                <c:pt idx="28">
                  <c:v>Pequeñin</c:v>
                </c:pt>
                <c:pt idx="29">
                  <c:v>Polar </c:v>
                </c:pt>
                <c:pt idx="30">
                  <c:v>Postobon</c:v>
                </c:pt>
                <c:pt idx="31">
                  <c:v>Provesa</c:v>
                </c:pt>
                <c:pt idx="32">
                  <c:v>Rica</c:v>
                </c:pt>
                <c:pt idx="33">
                  <c:v>Sabor</c:v>
                </c:pt>
                <c:pt idx="34">
                  <c:v>Scoth</c:v>
                </c:pt>
                <c:pt idx="35">
                  <c:v>Servioccidente</c:v>
                </c:pt>
                <c:pt idx="36">
                  <c:v>Super Ricas</c:v>
                </c:pt>
                <c:pt idx="37">
                  <c:v>Todo aseo</c:v>
                </c:pt>
                <c:pt idx="38">
                  <c:v>Todomarcas</c:v>
                </c:pt>
                <c:pt idx="39">
                  <c:v>Unimacivo</c:v>
                </c:pt>
                <c:pt idx="40">
                  <c:v>Unimarcas</c:v>
                </c:pt>
                <c:pt idx="41">
                  <c:v>Vendedor</c:v>
                </c:pt>
                <c:pt idx="42">
                  <c:v>Villetano</c:v>
                </c:pt>
                <c:pt idx="43">
                  <c:v>Winner</c:v>
                </c:pt>
                <c:pt idx="44">
                  <c:v>Winny</c:v>
                </c:pt>
                <c:pt idx="45">
                  <c:v>Zenu</c:v>
                </c:pt>
                <c:pt idx="46">
                  <c:v>Zuluaga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P_14_Cual!$J$4:$J$51</c15:sqref>
                  </c15:fullRef>
                </c:ext>
              </c:extLst>
              <c:f>P_14_Cual!$J$4:$J$50</c:f>
              <c:numCache>
                <c:formatCode>0%</c:formatCode>
                <c:ptCount val="47"/>
                <c:pt idx="0">
                  <c:v>1.8987341772151899E-2</c:v>
                </c:pt>
                <c:pt idx="1">
                  <c:v>1.8987341772151899E-2</c:v>
                </c:pt>
                <c:pt idx="2">
                  <c:v>1.2658227848101266E-2</c:v>
                </c:pt>
                <c:pt idx="3">
                  <c:v>4.4303797468354431E-2</c:v>
                </c:pt>
                <c:pt idx="4">
                  <c:v>4.4303797468354431E-2</c:v>
                </c:pt>
                <c:pt idx="5">
                  <c:v>6.3291139240506328E-3</c:v>
                </c:pt>
                <c:pt idx="6">
                  <c:v>6.9620253164556958E-2</c:v>
                </c:pt>
                <c:pt idx="7">
                  <c:v>6.3291139240506328E-3</c:v>
                </c:pt>
                <c:pt idx="8">
                  <c:v>6.3291139240506328E-3</c:v>
                </c:pt>
                <c:pt idx="9">
                  <c:v>1.8987341772151899E-2</c:v>
                </c:pt>
                <c:pt idx="10">
                  <c:v>3.7974683544303799E-2</c:v>
                </c:pt>
                <c:pt idx="11">
                  <c:v>2.5316455696202531E-2</c:v>
                </c:pt>
                <c:pt idx="12">
                  <c:v>6.3291139240506328E-3</c:v>
                </c:pt>
                <c:pt idx="13">
                  <c:v>1.2658227848101266E-2</c:v>
                </c:pt>
                <c:pt idx="14">
                  <c:v>1.8987341772151899E-2</c:v>
                </c:pt>
                <c:pt idx="15">
                  <c:v>6.3291139240506328E-3</c:v>
                </c:pt>
                <c:pt idx="16">
                  <c:v>3.1645569620253167E-2</c:v>
                </c:pt>
                <c:pt idx="17">
                  <c:v>6.3291139240506328E-3</c:v>
                </c:pt>
                <c:pt idx="18">
                  <c:v>6.3291139240506328E-3</c:v>
                </c:pt>
                <c:pt idx="19">
                  <c:v>6.3291139240506328E-3</c:v>
                </c:pt>
                <c:pt idx="20">
                  <c:v>6.3291139240506328E-3</c:v>
                </c:pt>
                <c:pt idx="21">
                  <c:v>6.3291139240506328E-3</c:v>
                </c:pt>
                <c:pt idx="22">
                  <c:v>6.3291139240506328E-3</c:v>
                </c:pt>
                <c:pt idx="23">
                  <c:v>1.2658227848101266E-2</c:v>
                </c:pt>
                <c:pt idx="24">
                  <c:v>6.3291139240506328E-3</c:v>
                </c:pt>
                <c:pt idx="25">
                  <c:v>6.3291139240506328E-3</c:v>
                </c:pt>
                <c:pt idx="26">
                  <c:v>0.12025316455696203</c:v>
                </c:pt>
                <c:pt idx="27">
                  <c:v>6.3291139240506328E-3</c:v>
                </c:pt>
                <c:pt idx="28">
                  <c:v>1.2658227848101266E-2</c:v>
                </c:pt>
                <c:pt idx="29">
                  <c:v>6.3291139240506328E-3</c:v>
                </c:pt>
                <c:pt idx="30">
                  <c:v>0.12025316455696203</c:v>
                </c:pt>
                <c:pt idx="31">
                  <c:v>6.3291139240506328E-3</c:v>
                </c:pt>
                <c:pt idx="32">
                  <c:v>6.3291139240506328E-3</c:v>
                </c:pt>
                <c:pt idx="33">
                  <c:v>6.3291139240506328E-3</c:v>
                </c:pt>
                <c:pt idx="34">
                  <c:v>6.3291139240506328E-3</c:v>
                </c:pt>
                <c:pt idx="35">
                  <c:v>1.8987341772151899E-2</c:v>
                </c:pt>
                <c:pt idx="36">
                  <c:v>6.3291139240506328E-3</c:v>
                </c:pt>
                <c:pt idx="37">
                  <c:v>6.3291139240506328E-3</c:v>
                </c:pt>
                <c:pt idx="38">
                  <c:v>6.3291139240506328E-3</c:v>
                </c:pt>
                <c:pt idx="39">
                  <c:v>1.2658227848101266E-2</c:v>
                </c:pt>
                <c:pt idx="40">
                  <c:v>9.49367088607595E-2</c:v>
                </c:pt>
                <c:pt idx="41">
                  <c:v>6.3291139240506328E-3</c:v>
                </c:pt>
                <c:pt idx="42">
                  <c:v>3.1645569620253167E-2</c:v>
                </c:pt>
                <c:pt idx="43">
                  <c:v>1.8987341772151899E-2</c:v>
                </c:pt>
                <c:pt idx="44">
                  <c:v>1.8987341772151899E-2</c:v>
                </c:pt>
                <c:pt idx="45">
                  <c:v>6.3291139240506328E-3</c:v>
                </c:pt>
                <c:pt idx="46">
                  <c:v>3.1645569620253167E-2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197-49F4-A9AE-5A89B9AC1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8703304"/>
        <c:axId val="4386958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P_14_Cual!$I$3</c15:sqref>
                        </c15:formulaRef>
                      </c:ext>
                    </c:extLst>
                    <c:strCache>
                      <c:ptCount val="1"/>
                      <c:pt idx="0">
                        <c:v>FRECUENCIA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P_14_Cual!$H$4:$H$51</c15:sqref>
                        </c15:fullRef>
                        <c15:formulaRef>
                          <c15:sqref>P_14_Cual!$H$4:$H$50</c15:sqref>
                        </c15:formulaRef>
                      </c:ext>
                    </c:extLst>
                    <c:strCache>
                      <c:ptCount val="47"/>
                      <c:pt idx="0">
                        <c:v>Alpina</c:v>
                      </c:pt>
                      <c:pt idx="1">
                        <c:v>Altipal</c:v>
                      </c:pt>
                      <c:pt idx="2">
                        <c:v>Bavaria </c:v>
                      </c:pt>
                      <c:pt idx="3">
                        <c:v>Bimbo</c:v>
                      </c:pt>
                      <c:pt idx="4">
                        <c:v>Ceneca</c:v>
                      </c:pt>
                      <c:pt idx="5">
                        <c:v>Clorox</c:v>
                      </c:pt>
                      <c:pt idx="6">
                        <c:v>Coca Cola</c:v>
                      </c:pt>
                      <c:pt idx="7">
                        <c:v>Colanta</c:v>
                      </c:pt>
                      <c:pt idx="8">
                        <c:v>Colgate</c:v>
                      </c:pt>
                      <c:pt idx="9">
                        <c:v>Colombiana</c:v>
                      </c:pt>
                      <c:pt idx="10">
                        <c:v>Copidrogas</c:v>
                      </c:pt>
                      <c:pt idx="11">
                        <c:v>Crem helado</c:v>
                      </c:pt>
                      <c:pt idx="12">
                        <c:v>Darnell</c:v>
                      </c:pt>
                      <c:pt idx="13">
                        <c:v>Daysor</c:v>
                      </c:pt>
                      <c:pt idx="14">
                        <c:v>Dersa</c:v>
                      </c:pt>
                      <c:pt idx="15">
                        <c:v>Establo</c:v>
                      </c:pt>
                      <c:pt idx="16">
                        <c:v>Familia</c:v>
                      </c:pt>
                      <c:pt idx="17">
                        <c:v>Farmasanchez</c:v>
                      </c:pt>
                      <c:pt idx="18">
                        <c:v>Fonseca</c:v>
                      </c:pt>
                      <c:pt idx="19">
                        <c:v>Huggies</c:v>
                      </c:pt>
                      <c:pt idx="20">
                        <c:v>Kotex</c:v>
                      </c:pt>
                      <c:pt idx="21">
                        <c:v>Leon Marroquin</c:v>
                      </c:pt>
                      <c:pt idx="22">
                        <c:v>Loreal </c:v>
                      </c:pt>
                      <c:pt idx="23">
                        <c:v>Margarita</c:v>
                      </c:pt>
                      <c:pt idx="24">
                        <c:v>Merci</c:v>
                      </c:pt>
                      <c:pt idx="25">
                        <c:v>Nacional de Chocolates</c:v>
                      </c:pt>
                      <c:pt idx="26">
                        <c:v>Nutresa</c:v>
                      </c:pt>
                      <c:pt idx="27">
                        <c:v>Pañales Tennei</c:v>
                      </c:pt>
                      <c:pt idx="28">
                        <c:v>Pequeñin</c:v>
                      </c:pt>
                      <c:pt idx="29">
                        <c:v>Polar </c:v>
                      </c:pt>
                      <c:pt idx="30">
                        <c:v>Postobon</c:v>
                      </c:pt>
                      <c:pt idx="31">
                        <c:v>Provesa</c:v>
                      </c:pt>
                      <c:pt idx="32">
                        <c:v>Rica</c:v>
                      </c:pt>
                      <c:pt idx="33">
                        <c:v>Sabor</c:v>
                      </c:pt>
                      <c:pt idx="34">
                        <c:v>Scoth</c:v>
                      </c:pt>
                      <c:pt idx="35">
                        <c:v>Servioccidente</c:v>
                      </c:pt>
                      <c:pt idx="36">
                        <c:v>Super Ricas</c:v>
                      </c:pt>
                      <c:pt idx="37">
                        <c:v>Todo aseo</c:v>
                      </c:pt>
                      <c:pt idx="38">
                        <c:v>Todomarcas</c:v>
                      </c:pt>
                      <c:pt idx="39">
                        <c:v>Unimacivo</c:v>
                      </c:pt>
                      <c:pt idx="40">
                        <c:v>Unimarcas</c:v>
                      </c:pt>
                      <c:pt idx="41">
                        <c:v>Vendedor</c:v>
                      </c:pt>
                      <c:pt idx="42">
                        <c:v>Villetano</c:v>
                      </c:pt>
                      <c:pt idx="43">
                        <c:v>Winner</c:v>
                      </c:pt>
                      <c:pt idx="44">
                        <c:v>Winny</c:v>
                      </c:pt>
                      <c:pt idx="45">
                        <c:v>Zenu</c:v>
                      </c:pt>
                      <c:pt idx="46">
                        <c:v>Zuluaga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P_14_Cual!$I$4:$I$51</c15:sqref>
                        </c15:fullRef>
                        <c15:formulaRef>
                          <c15:sqref>P_14_Cual!$I$4:$I$50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3</c:v>
                      </c:pt>
                      <c:pt idx="1">
                        <c:v>3</c:v>
                      </c:pt>
                      <c:pt idx="2">
                        <c:v>2</c:v>
                      </c:pt>
                      <c:pt idx="3">
                        <c:v>7</c:v>
                      </c:pt>
                      <c:pt idx="4">
                        <c:v>7</c:v>
                      </c:pt>
                      <c:pt idx="5">
                        <c:v>1</c:v>
                      </c:pt>
                      <c:pt idx="6">
                        <c:v>11</c:v>
                      </c:pt>
                      <c:pt idx="7">
                        <c:v>1</c:v>
                      </c:pt>
                      <c:pt idx="8">
                        <c:v>1</c:v>
                      </c:pt>
                      <c:pt idx="9">
                        <c:v>3</c:v>
                      </c:pt>
                      <c:pt idx="10">
                        <c:v>6</c:v>
                      </c:pt>
                      <c:pt idx="11">
                        <c:v>4</c:v>
                      </c:pt>
                      <c:pt idx="12">
                        <c:v>1</c:v>
                      </c:pt>
                      <c:pt idx="13">
                        <c:v>2</c:v>
                      </c:pt>
                      <c:pt idx="14">
                        <c:v>3</c:v>
                      </c:pt>
                      <c:pt idx="15">
                        <c:v>1</c:v>
                      </c:pt>
                      <c:pt idx="16">
                        <c:v>5</c:v>
                      </c:pt>
                      <c:pt idx="17">
                        <c:v>1</c:v>
                      </c:pt>
                      <c:pt idx="18">
                        <c:v>1</c:v>
                      </c:pt>
                      <c:pt idx="19">
                        <c:v>1</c:v>
                      </c:pt>
                      <c:pt idx="20">
                        <c:v>1</c:v>
                      </c:pt>
                      <c:pt idx="21">
                        <c:v>1</c:v>
                      </c:pt>
                      <c:pt idx="22">
                        <c:v>1</c:v>
                      </c:pt>
                      <c:pt idx="23">
                        <c:v>2</c:v>
                      </c:pt>
                      <c:pt idx="24">
                        <c:v>1</c:v>
                      </c:pt>
                      <c:pt idx="25">
                        <c:v>1</c:v>
                      </c:pt>
                      <c:pt idx="26">
                        <c:v>19</c:v>
                      </c:pt>
                      <c:pt idx="27">
                        <c:v>1</c:v>
                      </c:pt>
                      <c:pt idx="28">
                        <c:v>2</c:v>
                      </c:pt>
                      <c:pt idx="29">
                        <c:v>1</c:v>
                      </c:pt>
                      <c:pt idx="30">
                        <c:v>19</c:v>
                      </c:pt>
                      <c:pt idx="31">
                        <c:v>1</c:v>
                      </c:pt>
                      <c:pt idx="32">
                        <c:v>1</c:v>
                      </c:pt>
                      <c:pt idx="33">
                        <c:v>1</c:v>
                      </c:pt>
                      <c:pt idx="34">
                        <c:v>1</c:v>
                      </c:pt>
                      <c:pt idx="35">
                        <c:v>3</c:v>
                      </c:pt>
                      <c:pt idx="36">
                        <c:v>1</c:v>
                      </c:pt>
                      <c:pt idx="37">
                        <c:v>1</c:v>
                      </c:pt>
                      <c:pt idx="38">
                        <c:v>1</c:v>
                      </c:pt>
                      <c:pt idx="39">
                        <c:v>2</c:v>
                      </c:pt>
                      <c:pt idx="40">
                        <c:v>15</c:v>
                      </c:pt>
                      <c:pt idx="41">
                        <c:v>1</c:v>
                      </c:pt>
                      <c:pt idx="42">
                        <c:v>5</c:v>
                      </c:pt>
                      <c:pt idx="43">
                        <c:v>3</c:v>
                      </c:pt>
                      <c:pt idx="44">
                        <c:v>3</c:v>
                      </c:pt>
                      <c:pt idx="45">
                        <c:v>1</c:v>
                      </c:pt>
                      <c:pt idx="46">
                        <c:v>5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1-7197-49F4-A9AE-5A89B9AC124A}"/>
                  </c:ext>
                </c:extLst>
              </c15:ser>
            </c15:filteredBarSeries>
          </c:ext>
        </c:extLst>
      </c:barChart>
      <c:catAx>
        <c:axId val="438703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695856"/>
        <c:crosses val="autoZero"/>
        <c:auto val="1"/>
        <c:lblAlgn val="ctr"/>
        <c:lblOffset val="100"/>
        <c:noMultiLvlLbl val="0"/>
      </c:catAx>
      <c:valAx>
        <c:axId val="43869585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703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P15B_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P_15B!$I$4</c:f>
              <c:strCache>
                <c:ptCount val="1"/>
                <c:pt idx="0">
                  <c:v>FRECUENCIA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P_15B!$H$5:$H$27</c15:sqref>
                  </c15:fullRef>
                </c:ext>
              </c:extLst>
              <c:f>P_15B!$H$5:$H$26</c:f>
              <c:strCache>
                <c:ptCount val="22"/>
                <c:pt idx="0">
                  <c:v>Atencion </c:v>
                </c:pt>
                <c:pt idx="1">
                  <c:v>Buen servicio</c:v>
                </c:pt>
                <c:pt idx="2">
                  <c:v>Buena calidad</c:v>
                </c:pt>
                <c:pt idx="3">
                  <c:v>Buenos precios</c:v>
                </c:pt>
                <c:pt idx="4">
                  <c:v>Buenos productos</c:v>
                </c:pt>
                <c:pt idx="5">
                  <c:v>Calidad</c:v>
                </c:pt>
                <c:pt idx="6">
                  <c:v>Cambio productos por vencimiento</c:v>
                </c:pt>
                <c:pt idx="7">
                  <c:v>Credito</c:v>
                </c:pt>
                <c:pt idx="8">
                  <c:v>Cumplimiento</c:v>
                </c:pt>
                <c:pt idx="9">
                  <c:v>Descuento </c:v>
                </c:pt>
                <c:pt idx="10">
                  <c:v>Entrega de productos a tiempo </c:v>
                </c:pt>
                <c:pt idx="11">
                  <c:v>Entrega puerta a puerta</c:v>
                </c:pt>
                <c:pt idx="12">
                  <c:v>Entrega segura de los productos</c:v>
                </c:pt>
                <c:pt idx="13">
                  <c:v>Frecuencia</c:v>
                </c:pt>
                <c:pt idx="14">
                  <c:v>Garantia</c:v>
                </c:pt>
                <c:pt idx="15">
                  <c:v>Mercancia en buen estado</c:v>
                </c:pt>
                <c:pt idx="16">
                  <c:v>Ofertas</c:v>
                </c:pt>
                <c:pt idx="17">
                  <c:v>Precios bajos</c:v>
                </c:pt>
                <c:pt idx="18">
                  <c:v>Promociones</c:v>
                </c:pt>
                <c:pt idx="19">
                  <c:v>Respaldo</c:v>
                </c:pt>
                <c:pt idx="20">
                  <c:v>Responsabilidad</c:v>
                </c:pt>
                <c:pt idx="21">
                  <c:v>Servicio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P_15B!$I$5:$I$27</c15:sqref>
                  </c15:fullRef>
                </c:ext>
              </c:extLst>
              <c:f>P_15B!$I$5:$I$26</c:f>
              <c:numCache>
                <c:formatCode>General</c:formatCode>
                <c:ptCount val="22"/>
                <c:pt idx="0">
                  <c:v>1</c:v>
                </c:pt>
                <c:pt idx="1">
                  <c:v>7</c:v>
                </c:pt>
                <c:pt idx="2">
                  <c:v>2</c:v>
                </c:pt>
                <c:pt idx="3">
                  <c:v>13</c:v>
                </c:pt>
                <c:pt idx="4">
                  <c:v>1</c:v>
                </c:pt>
                <c:pt idx="5">
                  <c:v>27</c:v>
                </c:pt>
                <c:pt idx="6">
                  <c:v>6</c:v>
                </c:pt>
                <c:pt idx="7">
                  <c:v>2</c:v>
                </c:pt>
                <c:pt idx="8">
                  <c:v>11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2</c:v>
                </c:pt>
                <c:pt idx="21">
                  <c:v>8</c:v>
                </c:pt>
              </c:numCache>
            </c:numRef>
          </c:val>
        </c:ser>
        <c:ser>
          <c:idx val="1"/>
          <c:order val="1"/>
          <c:tx>
            <c:strRef>
              <c:f>P_15B!$J$4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P_15B!$H$5:$H$27</c15:sqref>
                  </c15:fullRef>
                </c:ext>
              </c:extLst>
              <c:f>P_15B!$H$5:$H$26</c:f>
              <c:strCache>
                <c:ptCount val="22"/>
                <c:pt idx="0">
                  <c:v>Atencion </c:v>
                </c:pt>
                <c:pt idx="1">
                  <c:v>Buen servicio</c:v>
                </c:pt>
                <c:pt idx="2">
                  <c:v>Buena calidad</c:v>
                </c:pt>
                <c:pt idx="3">
                  <c:v>Buenos precios</c:v>
                </c:pt>
                <c:pt idx="4">
                  <c:v>Buenos productos</c:v>
                </c:pt>
                <c:pt idx="5">
                  <c:v>Calidad</c:v>
                </c:pt>
                <c:pt idx="6">
                  <c:v>Cambio productos por vencimiento</c:v>
                </c:pt>
                <c:pt idx="7">
                  <c:v>Credito</c:v>
                </c:pt>
                <c:pt idx="8">
                  <c:v>Cumplimiento</c:v>
                </c:pt>
                <c:pt idx="9">
                  <c:v>Descuento </c:v>
                </c:pt>
                <c:pt idx="10">
                  <c:v>Entrega de productos a tiempo </c:v>
                </c:pt>
                <c:pt idx="11">
                  <c:v>Entrega puerta a puerta</c:v>
                </c:pt>
                <c:pt idx="12">
                  <c:v>Entrega segura de los productos</c:v>
                </c:pt>
                <c:pt idx="13">
                  <c:v>Frecuencia</c:v>
                </c:pt>
                <c:pt idx="14">
                  <c:v>Garantia</c:v>
                </c:pt>
                <c:pt idx="15">
                  <c:v>Mercancia en buen estado</c:v>
                </c:pt>
                <c:pt idx="16">
                  <c:v>Ofertas</c:v>
                </c:pt>
                <c:pt idx="17">
                  <c:v>Precios bajos</c:v>
                </c:pt>
                <c:pt idx="18">
                  <c:v>Promociones</c:v>
                </c:pt>
                <c:pt idx="19">
                  <c:v>Respaldo</c:v>
                </c:pt>
                <c:pt idx="20">
                  <c:v>Responsabilidad</c:v>
                </c:pt>
                <c:pt idx="21">
                  <c:v>Servicio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P_15B!$J$5:$J$27</c15:sqref>
                  </c15:fullRef>
                </c:ext>
              </c:extLst>
              <c:f>P_15B!$J$5:$J$26</c:f>
              <c:numCache>
                <c:formatCode>0%</c:formatCode>
                <c:ptCount val="22"/>
                <c:pt idx="0">
                  <c:v>1.0752688172043012E-2</c:v>
                </c:pt>
                <c:pt idx="1">
                  <c:v>7.5268817204301078E-2</c:v>
                </c:pt>
                <c:pt idx="2">
                  <c:v>2.1505376344086023E-2</c:v>
                </c:pt>
                <c:pt idx="3">
                  <c:v>0.13978494623655913</c:v>
                </c:pt>
                <c:pt idx="4">
                  <c:v>1.0752688172043012E-2</c:v>
                </c:pt>
                <c:pt idx="5">
                  <c:v>0.29032258064516131</c:v>
                </c:pt>
                <c:pt idx="6">
                  <c:v>6.4516129032258063E-2</c:v>
                </c:pt>
                <c:pt idx="7">
                  <c:v>2.1505376344086023E-2</c:v>
                </c:pt>
                <c:pt idx="8">
                  <c:v>0.11827956989247312</c:v>
                </c:pt>
                <c:pt idx="9">
                  <c:v>1.0752688172043012E-2</c:v>
                </c:pt>
                <c:pt idx="10">
                  <c:v>1.0752688172043012E-2</c:v>
                </c:pt>
                <c:pt idx="11">
                  <c:v>1.0752688172043012E-2</c:v>
                </c:pt>
                <c:pt idx="12">
                  <c:v>1.0752688172043012E-2</c:v>
                </c:pt>
                <c:pt idx="13">
                  <c:v>1.0752688172043012E-2</c:v>
                </c:pt>
                <c:pt idx="14">
                  <c:v>2.1505376344086023E-2</c:v>
                </c:pt>
                <c:pt idx="15">
                  <c:v>1.0752688172043012E-2</c:v>
                </c:pt>
                <c:pt idx="16">
                  <c:v>1.0752688172043012E-2</c:v>
                </c:pt>
                <c:pt idx="17">
                  <c:v>1.0752688172043012E-2</c:v>
                </c:pt>
                <c:pt idx="18">
                  <c:v>2.1505376344086023E-2</c:v>
                </c:pt>
                <c:pt idx="19">
                  <c:v>1.0752688172043012E-2</c:v>
                </c:pt>
                <c:pt idx="20">
                  <c:v>2.1505376344086023E-2</c:v>
                </c:pt>
                <c:pt idx="21">
                  <c:v>8.6021505376344093E-2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8699384"/>
        <c:axId val="438699776"/>
      </c:barChart>
      <c:catAx>
        <c:axId val="438699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699776"/>
        <c:crosses val="autoZero"/>
        <c:auto val="1"/>
        <c:lblAlgn val="ctr"/>
        <c:lblOffset val="100"/>
        <c:noMultiLvlLbl val="0"/>
      </c:catAx>
      <c:valAx>
        <c:axId val="43869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699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P_16_Frecuencia de Abastecimiento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'P_16A&amp;B'!$E$3:$E$11</c15:sqref>
                  </c15:fullRef>
                </c:ext>
              </c:extLst>
              <c:f>('P_16A&amp;B'!$E$3:$E$6,'P_16A&amp;B'!$E$8,'P_16A&amp;B'!$E$10:$E$11)</c:f>
              <c:strCache>
                <c:ptCount val="7"/>
                <c:pt idx="0">
                  <c:v>Droguería-Semanal</c:v>
                </c:pt>
                <c:pt idx="1">
                  <c:v>Aseo Personal-Diario</c:v>
                </c:pt>
                <c:pt idx="2">
                  <c:v>Limpieza-Diario</c:v>
                </c:pt>
                <c:pt idx="3">
                  <c:v>Dulces y Paquetes-Diario</c:v>
                </c:pt>
                <c:pt idx="4">
                  <c:v>Aseo Personal-Mensual</c:v>
                </c:pt>
                <c:pt idx="5">
                  <c:v>Dulces y Paquetes-Quincenal</c:v>
                </c:pt>
                <c:pt idx="6">
                  <c:v>Aseo Personal-Semanal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'P_16A&amp;B'!$F$3:$F$11</c15:sqref>
                  </c15:fullRef>
                </c:ext>
              </c:extLst>
              <c:f>('P_16A&amp;B'!$F$3:$F$6,'P_16A&amp;B'!$F$8,'P_16A&amp;B'!$F$10:$F$11)</c:f>
              <c:numCache>
                <c:formatCode>General</c:formatCode>
                <c:ptCount val="7"/>
                <c:pt idx="0">
                  <c:v>21</c:v>
                </c:pt>
                <c:pt idx="1">
                  <c:v>41</c:v>
                </c:pt>
                <c:pt idx="2">
                  <c:v>38</c:v>
                </c:pt>
                <c:pt idx="3">
                  <c:v>37</c:v>
                </c:pt>
                <c:pt idx="4">
                  <c:v>1</c:v>
                </c:pt>
                <c:pt idx="5">
                  <c:v>6</c:v>
                </c:pt>
                <c:pt idx="6">
                  <c:v>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E0D-4749-9C5B-9FA800C0E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38698600"/>
        <c:axId val="438702128"/>
      </c:barChart>
      <c:catAx>
        <c:axId val="4386986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702128"/>
        <c:crosses val="autoZero"/>
        <c:auto val="1"/>
        <c:lblAlgn val="ctr"/>
        <c:lblOffset val="100"/>
        <c:noMultiLvlLbl val="0"/>
      </c:catAx>
      <c:valAx>
        <c:axId val="438702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698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P_4_Lugar</a:t>
            </a:r>
            <a:r>
              <a:rPr lang="en-US" sz="1100" baseline="0">
                <a:latin typeface="Arial" panose="020B0604020202020204" pitchFamily="34" charset="0"/>
                <a:cs typeface="Arial" panose="020B0604020202020204" pitchFamily="34" charset="0"/>
              </a:rPr>
              <a:t> de Residencia</a:t>
            </a:r>
            <a:endParaRPr lang="en-US" sz="11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31141486220472436"/>
          <c:y val="2.55795299308194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Procesamiento_Info!$D$25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AB0D94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10A-4DD0-91B1-F0521490EB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Procesamiento_Info!$B$26:$B$28</c15:sqref>
                  </c15:fullRef>
                </c:ext>
              </c:extLst>
              <c:f>Procesamiento_Info!$B$26:$B$27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Procesamiento_Info!$D$26:$D$28</c15:sqref>
                  </c15:fullRef>
                </c:ext>
              </c:extLst>
              <c:f>Procesamiento_Info!$D$26:$D$27</c:f>
              <c:numCache>
                <c:formatCode>0%</c:formatCode>
                <c:ptCount val="2"/>
                <c:pt idx="0">
                  <c:v>0.97402597402597402</c:v>
                </c:pt>
                <c:pt idx="1">
                  <c:v>2.5974025974025976E-2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10A-4DD0-91B1-F0521490EB0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34731064"/>
        <c:axId val="43473224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Procesamiento_Info!$C$25</c15:sqref>
                        </c15:formulaRef>
                      </c:ext>
                    </c:extLst>
                    <c:strCache>
                      <c:ptCount val="1"/>
                      <c:pt idx="0">
                        <c:v>FRECUENCIA</c:v>
                      </c:pt>
                    </c:strCache>
                  </c:strRef>
                </c:tx>
                <c:spPr>
                  <a:solidFill>
                    <a:schemeClr val="accent4">
                      <a:tint val="77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Procesamiento_Info!$B$26:$B$28</c15:sqref>
                        </c15:fullRef>
                        <c15:formulaRef>
                          <c15:sqref>Procesamiento_Info!$B$26:$B$27</c15:sqref>
                        </c15:formulaRef>
                      </c:ext>
                    </c:extLst>
                    <c:strCache>
                      <c:ptCount val="2"/>
                      <c:pt idx="0">
                        <c:v>Urbana</c:v>
                      </c:pt>
                      <c:pt idx="1">
                        <c:v>Rural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Procesamiento_Info!$C$26:$C$28</c15:sqref>
                        </c15:fullRef>
                        <c15:formulaRef>
                          <c15:sqref>Procesamiento_Info!$C$26:$C$27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75</c:v>
                      </c:pt>
                      <c:pt idx="1">
                        <c:v>2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3-010A-4DD0-91B1-F0521490EB03}"/>
                  </c:ext>
                </c:extLst>
              </c15:ser>
            </c15:filteredBarSeries>
          </c:ext>
        </c:extLst>
      </c:barChart>
      <c:catAx>
        <c:axId val="434731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4732240"/>
        <c:crosses val="autoZero"/>
        <c:auto val="1"/>
        <c:lblAlgn val="ctr"/>
        <c:lblOffset val="100"/>
        <c:noMultiLvlLbl val="0"/>
      </c:catAx>
      <c:valAx>
        <c:axId val="43473224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4731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00" b="0">
                <a:latin typeface="Arial" panose="020B0604020202020204" pitchFamily="34" charset="0"/>
                <a:cs typeface="Arial" panose="020B0604020202020204" pitchFamily="34" charset="0"/>
              </a:rPr>
              <a:t>P_16A</a:t>
            </a:r>
            <a:r>
              <a:rPr lang="es-CO" sz="1000" b="0" baseline="0">
                <a:latin typeface="Arial" panose="020B0604020202020204" pitchFamily="34" charset="0"/>
                <a:cs typeface="Arial" panose="020B0604020202020204" pitchFamily="34" charset="0"/>
              </a:rPr>
              <a:t> Identificación de PRODUCTOS</a:t>
            </a:r>
            <a:endParaRPr lang="es-CO" sz="1000" b="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5180555555555556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0C0-4542-BF10-799CDF7833E3}"/>
              </c:ext>
            </c:extLst>
          </c:dPt>
          <c:dPt>
            <c:idx val="1"/>
            <c:bubble3D val="0"/>
            <c:spPr>
              <a:solidFill>
                <a:srgbClr val="0066FF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0C0-4542-BF10-799CDF7833E3}"/>
              </c:ext>
            </c:extLst>
          </c:dPt>
          <c:dPt>
            <c:idx val="2"/>
            <c:bubble3D val="0"/>
            <c:spPr>
              <a:solidFill>
                <a:srgbClr val="CC00CC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0C0-4542-BF10-799CDF7833E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E0C0-4542-BF10-799CDF7833E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E0C0-4542-BF10-799CDF7833E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0066F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CC00C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'P_16A&amp;B'!$E$20:$E$24</c:f>
              <c:strCache>
                <c:ptCount val="5"/>
                <c:pt idx="0">
                  <c:v>Droguería</c:v>
                </c:pt>
                <c:pt idx="1">
                  <c:v>Aseo Personal</c:v>
                </c:pt>
                <c:pt idx="2">
                  <c:v>Limpieza</c:v>
                </c:pt>
                <c:pt idx="3">
                  <c:v>Dulces y Paquetes</c:v>
                </c:pt>
                <c:pt idx="4">
                  <c:v>Farmacia</c:v>
                </c:pt>
              </c:strCache>
            </c:strRef>
          </c:cat>
          <c:val>
            <c:numRef>
              <c:f>'P_16A&amp;B'!$F$20:$F$24</c:f>
              <c:numCache>
                <c:formatCode>General</c:formatCode>
                <c:ptCount val="5"/>
                <c:pt idx="0">
                  <c:v>52</c:v>
                </c:pt>
                <c:pt idx="1">
                  <c:v>70</c:v>
                </c:pt>
                <c:pt idx="2">
                  <c:v>59</c:v>
                </c:pt>
                <c:pt idx="3">
                  <c:v>63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E0C0-4542-BF10-799CDF7833E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P_17Producto</a:t>
            </a:r>
            <a:r>
              <a:rPr lang="en-US" baseline="0"/>
              <a:t> que más comercializa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P_17_Cual!$G$3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P_17_Cual!$E$4:$E$27</c15:sqref>
                  </c15:fullRef>
                </c:ext>
              </c:extLst>
              <c:f>P_17_Cual!$E$4:$E$26</c:f>
              <c:strCache>
                <c:ptCount val="23"/>
                <c:pt idx="0">
                  <c:v>Arroz</c:v>
                </c:pt>
                <c:pt idx="1">
                  <c:v>Aseo personal</c:v>
                </c:pt>
                <c:pt idx="2">
                  <c:v>Aseo personal y pañales</c:v>
                </c:pt>
                <c:pt idx="3">
                  <c:v>Aseo personal,pañales, viveres</c:v>
                </c:pt>
                <c:pt idx="4">
                  <c:v>Aseo y canasta familiar</c:v>
                </c:pt>
                <c:pt idx="5">
                  <c:v>Cerveza</c:v>
                </c:pt>
                <c:pt idx="6">
                  <c:v>Cigarrillos y limpieza</c:v>
                </c:pt>
                <c:pt idx="7">
                  <c:v>Dulces</c:v>
                </c:pt>
                <c:pt idx="8">
                  <c:v>Dulces y aseo personal</c:v>
                </c:pt>
                <c:pt idx="9">
                  <c:v>Dulces y paquetes</c:v>
                </c:pt>
                <c:pt idx="10">
                  <c:v>Frutas</c:v>
                </c:pt>
                <c:pt idx="11">
                  <c:v>Jabon y Clorox</c:v>
                </c:pt>
                <c:pt idx="12">
                  <c:v>Lacteos</c:v>
                </c:pt>
                <c:pt idx="13">
                  <c:v>Leche, pan, huevos, pañales</c:v>
                </c:pt>
                <c:pt idx="14">
                  <c:v>Limpieza</c:v>
                </c:pt>
                <c:pt idx="15">
                  <c:v>Maiz y panela</c:v>
                </c:pt>
                <c:pt idx="16">
                  <c:v>Medicamentos</c:v>
                </c:pt>
                <c:pt idx="17">
                  <c:v>Pañales</c:v>
                </c:pt>
                <c:pt idx="18">
                  <c:v>Paquetes y carnicos</c:v>
                </c:pt>
                <c:pt idx="19">
                  <c:v>Pedialyte</c:v>
                </c:pt>
                <c:pt idx="20">
                  <c:v>Viveres</c:v>
                </c:pt>
                <c:pt idx="21">
                  <c:v>Viveres  y pañales</c:v>
                </c:pt>
                <c:pt idx="22">
                  <c:v>Viveres y aseo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P_17_Cual!$G$4:$G$27</c15:sqref>
                  </c15:fullRef>
                </c:ext>
              </c:extLst>
              <c:f>P_17_Cual!$G$4:$G$26</c:f>
              <c:numCache>
                <c:formatCode>0%</c:formatCode>
                <c:ptCount val="23"/>
                <c:pt idx="0">
                  <c:v>1.3888888888888888E-2</c:v>
                </c:pt>
                <c:pt idx="1">
                  <c:v>0.18055555555555555</c:v>
                </c:pt>
                <c:pt idx="2">
                  <c:v>2.7777777777777776E-2</c:v>
                </c:pt>
                <c:pt idx="3">
                  <c:v>1.3888888888888888E-2</c:v>
                </c:pt>
                <c:pt idx="4">
                  <c:v>1.3888888888888888E-2</c:v>
                </c:pt>
                <c:pt idx="5">
                  <c:v>1.3888888888888888E-2</c:v>
                </c:pt>
                <c:pt idx="6">
                  <c:v>1.3888888888888888E-2</c:v>
                </c:pt>
                <c:pt idx="7">
                  <c:v>2.7777777777777776E-2</c:v>
                </c:pt>
                <c:pt idx="8">
                  <c:v>1.3888888888888888E-2</c:v>
                </c:pt>
                <c:pt idx="9">
                  <c:v>0.18055555555555555</c:v>
                </c:pt>
                <c:pt idx="10">
                  <c:v>1.3888888888888888E-2</c:v>
                </c:pt>
                <c:pt idx="11">
                  <c:v>1.3888888888888888E-2</c:v>
                </c:pt>
                <c:pt idx="12">
                  <c:v>1.3888888888888888E-2</c:v>
                </c:pt>
                <c:pt idx="13">
                  <c:v>1.3888888888888888E-2</c:v>
                </c:pt>
                <c:pt idx="14">
                  <c:v>0.22222222222222221</c:v>
                </c:pt>
                <c:pt idx="15">
                  <c:v>1.3888888888888888E-2</c:v>
                </c:pt>
                <c:pt idx="16">
                  <c:v>6.9444444444444448E-2</c:v>
                </c:pt>
                <c:pt idx="17">
                  <c:v>1.3888888888888888E-2</c:v>
                </c:pt>
                <c:pt idx="18">
                  <c:v>1.3888888888888888E-2</c:v>
                </c:pt>
                <c:pt idx="19">
                  <c:v>1.3888888888888888E-2</c:v>
                </c:pt>
                <c:pt idx="20">
                  <c:v>4.1666666666666664E-2</c:v>
                </c:pt>
                <c:pt idx="21">
                  <c:v>1.3888888888888888E-2</c:v>
                </c:pt>
                <c:pt idx="22">
                  <c:v>4.1666666666666664E-2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403-4663-969E-A89146AC1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435651192"/>
        <c:axId val="435648056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P_17_Cual!$F$3</c15:sqref>
                        </c15:formulaRef>
                      </c:ext>
                    </c:extLst>
                    <c:strCache>
                      <c:ptCount val="1"/>
                      <c:pt idx="0">
                        <c:v>FRECUENCIA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P_17_Cual!$E$4:$E$27</c15:sqref>
                        </c15:fullRef>
                        <c15:formulaRef>
                          <c15:sqref>P_17_Cual!$E$4:$E$26</c15:sqref>
                        </c15:formulaRef>
                      </c:ext>
                    </c:extLst>
                    <c:strCache>
                      <c:ptCount val="23"/>
                      <c:pt idx="0">
                        <c:v>Arroz</c:v>
                      </c:pt>
                      <c:pt idx="1">
                        <c:v>Aseo personal</c:v>
                      </c:pt>
                      <c:pt idx="2">
                        <c:v>Aseo personal y pañales</c:v>
                      </c:pt>
                      <c:pt idx="3">
                        <c:v>Aseo personal,pañales, viveres</c:v>
                      </c:pt>
                      <c:pt idx="4">
                        <c:v>Aseo y canasta familiar</c:v>
                      </c:pt>
                      <c:pt idx="5">
                        <c:v>Cerveza</c:v>
                      </c:pt>
                      <c:pt idx="6">
                        <c:v>Cigarrillos y limpieza</c:v>
                      </c:pt>
                      <c:pt idx="7">
                        <c:v>Dulces</c:v>
                      </c:pt>
                      <c:pt idx="8">
                        <c:v>Dulces y aseo personal</c:v>
                      </c:pt>
                      <c:pt idx="9">
                        <c:v>Dulces y paquetes</c:v>
                      </c:pt>
                      <c:pt idx="10">
                        <c:v>Frutas</c:v>
                      </c:pt>
                      <c:pt idx="11">
                        <c:v>Jabon y Clorox</c:v>
                      </c:pt>
                      <c:pt idx="12">
                        <c:v>Lacteos</c:v>
                      </c:pt>
                      <c:pt idx="13">
                        <c:v>Leche, pan, huevos, pañales</c:v>
                      </c:pt>
                      <c:pt idx="14">
                        <c:v>Limpieza</c:v>
                      </c:pt>
                      <c:pt idx="15">
                        <c:v>Maiz y panela</c:v>
                      </c:pt>
                      <c:pt idx="16">
                        <c:v>Medicamentos</c:v>
                      </c:pt>
                      <c:pt idx="17">
                        <c:v>Pañales</c:v>
                      </c:pt>
                      <c:pt idx="18">
                        <c:v>Paquetes y carnicos</c:v>
                      </c:pt>
                      <c:pt idx="19">
                        <c:v>Pedialyte</c:v>
                      </c:pt>
                      <c:pt idx="20">
                        <c:v>Viveres</c:v>
                      </c:pt>
                      <c:pt idx="21">
                        <c:v>Viveres  y pañales</c:v>
                      </c:pt>
                      <c:pt idx="22">
                        <c:v>Viveres y aseo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P_17_Cual!$F$4:$F$27</c15:sqref>
                        </c15:fullRef>
                        <c15:formulaRef>
                          <c15:sqref>P_17_Cual!$F$4:$F$26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1</c:v>
                      </c:pt>
                      <c:pt idx="1">
                        <c:v>13</c:v>
                      </c:pt>
                      <c:pt idx="2">
                        <c:v>2</c:v>
                      </c:pt>
                      <c:pt idx="3">
                        <c:v>1</c:v>
                      </c:pt>
                      <c:pt idx="4">
                        <c:v>1</c:v>
                      </c:pt>
                      <c:pt idx="5">
                        <c:v>1</c:v>
                      </c:pt>
                      <c:pt idx="6">
                        <c:v>1</c:v>
                      </c:pt>
                      <c:pt idx="7">
                        <c:v>2</c:v>
                      </c:pt>
                      <c:pt idx="8">
                        <c:v>1</c:v>
                      </c:pt>
                      <c:pt idx="9">
                        <c:v>13</c:v>
                      </c:pt>
                      <c:pt idx="10">
                        <c:v>1</c:v>
                      </c:pt>
                      <c:pt idx="11">
                        <c:v>1</c:v>
                      </c:pt>
                      <c:pt idx="12">
                        <c:v>1</c:v>
                      </c:pt>
                      <c:pt idx="13">
                        <c:v>1</c:v>
                      </c:pt>
                      <c:pt idx="14">
                        <c:v>16</c:v>
                      </c:pt>
                      <c:pt idx="15">
                        <c:v>1</c:v>
                      </c:pt>
                      <c:pt idx="16">
                        <c:v>5</c:v>
                      </c:pt>
                      <c:pt idx="17">
                        <c:v>1</c:v>
                      </c:pt>
                      <c:pt idx="18">
                        <c:v>1</c:v>
                      </c:pt>
                      <c:pt idx="19">
                        <c:v>1</c:v>
                      </c:pt>
                      <c:pt idx="20">
                        <c:v>3</c:v>
                      </c:pt>
                      <c:pt idx="21">
                        <c:v>1</c:v>
                      </c:pt>
                      <c:pt idx="22">
                        <c:v>3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1-8403-4663-969E-A89146AC12DA}"/>
                  </c:ext>
                </c:extLst>
              </c15:ser>
            </c15:filteredBarSeries>
          </c:ext>
        </c:extLst>
      </c:barChart>
      <c:catAx>
        <c:axId val="435651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5648056"/>
        <c:crosses val="autoZero"/>
        <c:auto val="1"/>
        <c:lblAlgn val="ctr"/>
        <c:lblOffset val="100"/>
        <c:noMultiLvlLbl val="0"/>
      </c:catAx>
      <c:valAx>
        <c:axId val="435648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5651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P_18</a:t>
            </a:r>
            <a:r>
              <a:rPr lang="es-CO" baseline="0"/>
              <a:t> Producto que no comercializa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P_18_Cual!$G$2:$G$3</c:f>
              <c:strCache>
                <c:ptCount val="2"/>
                <c:pt idx="0">
                  <c:v>Pregunta_18</c:v>
                </c:pt>
                <c:pt idx="1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P_18_Cual!$E$4:$E$22</c15:sqref>
                  </c15:fullRef>
                </c:ext>
              </c:extLst>
              <c:f>P_18_Cual!$E$4:$E$21</c:f>
              <c:strCache>
                <c:ptCount val="18"/>
                <c:pt idx="0">
                  <c:v>Arroz</c:v>
                </c:pt>
                <c:pt idx="1">
                  <c:v>Arroz y cerveza</c:v>
                </c:pt>
                <c:pt idx="2">
                  <c:v>Aseo personal</c:v>
                </c:pt>
                <c:pt idx="3">
                  <c:v>Canasta familiar</c:v>
                </c:pt>
                <c:pt idx="4">
                  <c:v>Carnicos</c:v>
                </c:pt>
                <c:pt idx="5">
                  <c:v>Carnicos y frutas</c:v>
                </c:pt>
                <c:pt idx="6">
                  <c:v>Cerveza</c:v>
                </c:pt>
                <c:pt idx="7">
                  <c:v>Dulces</c:v>
                </c:pt>
                <c:pt idx="8">
                  <c:v>Embutidos</c:v>
                </c:pt>
                <c:pt idx="9">
                  <c:v>Frutas</c:v>
                </c:pt>
                <c:pt idx="10">
                  <c:v>Frutas y verduras</c:v>
                </c:pt>
                <c:pt idx="11">
                  <c:v>Granos</c:v>
                </c:pt>
                <c:pt idx="12">
                  <c:v>Helados</c:v>
                </c:pt>
                <c:pt idx="13">
                  <c:v>Lacteos</c:v>
                </c:pt>
                <c:pt idx="14">
                  <c:v>Maiz</c:v>
                </c:pt>
                <c:pt idx="15">
                  <c:v>Ninguno</c:v>
                </c:pt>
                <c:pt idx="16">
                  <c:v>Servilletas</c:v>
                </c:pt>
                <c:pt idx="17">
                  <c:v>Verduras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P_18_Cual!$G$4:$G$22</c15:sqref>
                  </c15:fullRef>
                </c:ext>
              </c:extLst>
              <c:f>P_18_Cual!$G$4:$G$21</c:f>
              <c:numCache>
                <c:formatCode>0%</c:formatCode>
                <c:ptCount val="18"/>
                <c:pt idx="0">
                  <c:v>1.4084507042253521E-2</c:v>
                </c:pt>
                <c:pt idx="1">
                  <c:v>1.4084507042253521E-2</c:v>
                </c:pt>
                <c:pt idx="2">
                  <c:v>2.8169014084507043E-2</c:v>
                </c:pt>
                <c:pt idx="3">
                  <c:v>5.6338028169014086E-2</c:v>
                </c:pt>
                <c:pt idx="4">
                  <c:v>5.6338028169014086E-2</c:v>
                </c:pt>
                <c:pt idx="5">
                  <c:v>1.4084507042253521E-2</c:v>
                </c:pt>
                <c:pt idx="6">
                  <c:v>1.4084507042253521E-2</c:v>
                </c:pt>
                <c:pt idx="7">
                  <c:v>2.8169014084507043E-2</c:v>
                </c:pt>
                <c:pt idx="8">
                  <c:v>5.6338028169014086E-2</c:v>
                </c:pt>
                <c:pt idx="9">
                  <c:v>1.4084507042253521E-2</c:v>
                </c:pt>
                <c:pt idx="10">
                  <c:v>2.8169014084507043E-2</c:v>
                </c:pt>
                <c:pt idx="11">
                  <c:v>7.0422535211267609E-2</c:v>
                </c:pt>
                <c:pt idx="12">
                  <c:v>2.8169014084507043E-2</c:v>
                </c:pt>
                <c:pt idx="13">
                  <c:v>1.4084507042253521E-2</c:v>
                </c:pt>
                <c:pt idx="14">
                  <c:v>1.4084507042253521E-2</c:v>
                </c:pt>
                <c:pt idx="15">
                  <c:v>0.49295774647887325</c:v>
                </c:pt>
                <c:pt idx="16">
                  <c:v>1.4084507042253521E-2</c:v>
                </c:pt>
                <c:pt idx="17">
                  <c:v>4.2253521126760563E-2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B65-414E-A480-26A96FCD2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5653152"/>
        <c:axId val="43565354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P_18_Cual!$F$2:$F$3</c15:sqref>
                        </c15:formulaRef>
                      </c:ext>
                    </c:extLst>
                    <c:strCache>
                      <c:ptCount val="2"/>
                      <c:pt idx="0">
                        <c:v>Pregunta_18</c:v>
                      </c:pt>
                      <c:pt idx="1">
                        <c:v>FRECUENCIA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P_18_Cual!$E$4:$E$22</c15:sqref>
                        </c15:fullRef>
                        <c15:formulaRef>
                          <c15:sqref>P_18_Cual!$E$4:$E$21</c15:sqref>
                        </c15:formulaRef>
                      </c:ext>
                    </c:extLst>
                    <c:strCache>
                      <c:ptCount val="18"/>
                      <c:pt idx="0">
                        <c:v>Arroz</c:v>
                      </c:pt>
                      <c:pt idx="1">
                        <c:v>Arroz y cerveza</c:v>
                      </c:pt>
                      <c:pt idx="2">
                        <c:v>Aseo personal</c:v>
                      </c:pt>
                      <c:pt idx="3">
                        <c:v>Canasta familiar</c:v>
                      </c:pt>
                      <c:pt idx="4">
                        <c:v>Carnicos</c:v>
                      </c:pt>
                      <c:pt idx="5">
                        <c:v>Carnicos y frutas</c:v>
                      </c:pt>
                      <c:pt idx="6">
                        <c:v>Cerveza</c:v>
                      </c:pt>
                      <c:pt idx="7">
                        <c:v>Dulces</c:v>
                      </c:pt>
                      <c:pt idx="8">
                        <c:v>Embutidos</c:v>
                      </c:pt>
                      <c:pt idx="9">
                        <c:v>Frutas</c:v>
                      </c:pt>
                      <c:pt idx="10">
                        <c:v>Frutas y verduras</c:v>
                      </c:pt>
                      <c:pt idx="11">
                        <c:v>Granos</c:v>
                      </c:pt>
                      <c:pt idx="12">
                        <c:v>Helados</c:v>
                      </c:pt>
                      <c:pt idx="13">
                        <c:v>Lacteos</c:v>
                      </c:pt>
                      <c:pt idx="14">
                        <c:v>Maiz</c:v>
                      </c:pt>
                      <c:pt idx="15">
                        <c:v>Ninguno</c:v>
                      </c:pt>
                      <c:pt idx="16">
                        <c:v>Servilletas</c:v>
                      </c:pt>
                      <c:pt idx="17">
                        <c:v>Verduras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P_18_Cual!$F$4:$F$22</c15:sqref>
                        </c15:fullRef>
                        <c15:formulaRef>
                          <c15:sqref>P_18_Cual!$F$4:$F$21</c15:sqref>
                        </c15:formulaRef>
                      </c:ext>
                    </c:extLst>
                    <c:numCache>
                      <c:formatCode>General</c:formatCode>
                      <c:ptCount val="18"/>
                      <c:pt idx="0">
                        <c:v>1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4</c:v>
                      </c:pt>
                      <c:pt idx="4">
                        <c:v>4</c:v>
                      </c:pt>
                      <c:pt idx="5">
                        <c:v>1</c:v>
                      </c:pt>
                      <c:pt idx="6">
                        <c:v>1</c:v>
                      </c:pt>
                      <c:pt idx="7">
                        <c:v>2</c:v>
                      </c:pt>
                      <c:pt idx="8">
                        <c:v>4</c:v>
                      </c:pt>
                      <c:pt idx="9">
                        <c:v>1</c:v>
                      </c:pt>
                      <c:pt idx="10">
                        <c:v>2</c:v>
                      </c:pt>
                      <c:pt idx="11">
                        <c:v>5</c:v>
                      </c:pt>
                      <c:pt idx="12">
                        <c:v>2</c:v>
                      </c:pt>
                      <c:pt idx="13">
                        <c:v>1</c:v>
                      </c:pt>
                      <c:pt idx="14">
                        <c:v>1</c:v>
                      </c:pt>
                      <c:pt idx="15">
                        <c:v>35</c:v>
                      </c:pt>
                      <c:pt idx="16">
                        <c:v>1</c:v>
                      </c:pt>
                      <c:pt idx="17">
                        <c:v>3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0-7B65-414E-A480-26A96FCD276F}"/>
                  </c:ext>
                </c:extLst>
              </c15:ser>
            </c15:filteredBarSeries>
          </c:ext>
        </c:extLst>
      </c:barChart>
      <c:catAx>
        <c:axId val="435653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5653544"/>
        <c:crosses val="autoZero"/>
        <c:auto val="1"/>
        <c:lblAlgn val="ctr"/>
        <c:lblOffset val="100"/>
        <c:noMultiLvlLbl val="0"/>
      </c:catAx>
      <c:valAx>
        <c:axId val="435653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5653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P_19_Cual!$P$3</c:f>
              <c:strCache>
                <c:ptCount val="1"/>
                <c:pt idx="0">
                  <c:v>Frecuencia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P_19_Cual!$O$4:$O$33</c:f>
              <c:strCache>
                <c:ptCount val="30"/>
                <c:pt idx="0">
                  <c:v>Asesoramiento-Anual</c:v>
                </c:pt>
                <c:pt idx="1">
                  <c:v>Descuento-Anual</c:v>
                </c:pt>
                <c:pt idx="2">
                  <c:v>Promociones-</c:v>
                </c:pt>
                <c:pt idx="3">
                  <c:v>Promociones-Anual</c:v>
                </c:pt>
                <c:pt idx="4">
                  <c:v>Promociones-Diario</c:v>
                </c:pt>
                <c:pt idx="5">
                  <c:v>Promociones-Ocasional</c:v>
                </c:pt>
                <c:pt idx="6">
                  <c:v>Descuento-Semanal</c:v>
                </c:pt>
                <c:pt idx="7">
                  <c:v>Ofertas-Diario</c:v>
                </c:pt>
                <c:pt idx="8">
                  <c:v>Descuento-Ocasional</c:v>
                </c:pt>
                <c:pt idx="9">
                  <c:v>Asesoramiento-</c:v>
                </c:pt>
                <c:pt idx="10">
                  <c:v>Atención al Cliente-Semanal</c:v>
                </c:pt>
                <c:pt idx="11">
                  <c:v>Domicilios-</c:v>
                </c:pt>
                <c:pt idx="12">
                  <c:v>Ofertas-Quincenal</c:v>
                </c:pt>
                <c:pt idx="13">
                  <c:v>Ofertas-Semanal</c:v>
                </c:pt>
                <c:pt idx="14">
                  <c:v>Atención al Cliente-</c:v>
                </c:pt>
                <c:pt idx="15">
                  <c:v>Asesoramiento-Semanal</c:v>
                </c:pt>
                <c:pt idx="16">
                  <c:v>Descuento-Quincenal</c:v>
                </c:pt>
                <c:pt idx="17">
                  <c:v>Domicilios-Ocasional</c:v>
                </c:pt>
                <c:pt idx="18">
                  <c:v>Promociones-Semanal</c:v>
                </c:pt>
                <c:pt idx="19">
                  <c:v>Descuento-Diario</c:v>
                </c:pt>
                <c:pt idx="20">
                  <c:v>Promociones-Quincenal</c:v>
                </c:pt>
                <c:pt idx="21">
                  <c:v>Ofertas-Ocasional</c:v>
                </c:pt>
                <c:pt idx="22">
                  <c:v>Domicilios-Semanal</c:v>
                </c:pt>
                <c:pt idx="23">
                  <c:v>Ofertas-Mensual</c:v>
                </c:pt>
                <c:pt idx="24">
                  <c:v>Descuento-Mensual</c:v>
                </c:pt>
                <c:pt idx="25">
                  <c:v>Promociones-Mensual</c:v>
                </c:pt>
                <c:pt idx="26">
                  <c:v>Asesoramiento-Diario</c:v>
                </c:pt>
                <c:pt idx="27">
                  <c:v>Domicilios-Diario</c:v>
                </c:pt>
                <c:pt idx="28">
                  <c:v>Atención al Cliente-Diario</c:v>
                </c:pt>
                <c:pt idx="29">
                  <c:v>-</c:v>
                </c:pt>
              </c:strCache>
            </c:strRef>
          </c:cat>
          <c:val>
            <c:numRef>
              <c:f>P_19_Cual!$P$4:$P$33</c:f>
              <c:numCache>
                <c:formatCode>General</c:formatCode>
                <c:ptCount val="3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8</c:v>
                </c:pt>
                <c:pt idx="24">
                  <c:v>12</c:v>
                </c:pt>
                <c:pt idx="25">
                  <c:v>13</c:v>
                </c:pt>
                <c:pt idx="26">
                  <c:v>18</c:v>
                </c:pt>
                <c:pt idx="27">
                  <c:v>32</c:v>
                </c:pt>
                <c:pt idx="28">
                  <c:v>62</c:v>
                </c:pt>
                <c:pt idx="29">
                  <c:v>103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35648448"/>
        <c:axId val="435646096"/>
      </c:barChart>
      <c:catAx>
        <c:axId val="4356484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5646096"/>
        <c:crosses val="autoZero"/>
        <c:auto val="1"/>
        <c:lblAlgn val="ctr"/>
        <c:lblOffset val="100"/>
        <c:noMultiLvlLbl val="0"/>
      </c:catAx>
      <c:valAx>
        <c:axId val="435646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5648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P_19C Elaboración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[1]P_19_Cual!$Z$3</c:f>
              <c:strCache>
                <c:ptCount val="1"/>
                <c:pt idx="0">
                  <c:v>FRECUENCIA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[1]P_19_Cual!$Y$4:$Y$15</c15:sqref>
                  </c15:fullRef>
                </c:ext>
              </c:extLst>
              <c:f>[1]P_19_Cual!$Y$4:$Y$14</c:f>
              <c:strCache>
                <c:ptCount val="11"/>
                <c:pt idx="0">
                  <c:v>A clientes seleccionados</c:v>
                </c:pt>
                <c:pt idx="1">
                  <c:v>A final de mes y fin de semana</c:v>
                </c:pt>
                <c:pt idx="2">
                  <c:v>Atención del establecimiento</c:v>
                </c:pt>
                <c:pt idx="3">
                  <c:v>Catalogos de promociones</c:v>
                </c:pt>
                <c:pt idx="4">
                  <c:v>Comercialización de los productos</c:v>
                </c:pt>
                <c:pt idx="5">
                  <c:v>Depende del proveedor y la calidad del producto</c:v>
                </c:pt>
                <c:pt idx="6">
                  <c:v>Descuentos según la compra</c:v>
                </c:pt>
                <c:pt idx="7">
                  <c:v>Empresas de camara y comercio</c:v>
                </c:pt>
                <c:pt idx="8">
                  <c:v>Entrega domicilios puerta a puerta</c:v>
                </c:pt>
                <c:pt idx="9">
                  <c:v>Mejoramiento de mercado</c:v>
                </c:pt>
                <c:pt idx="10">
                  <c:v>Ofertas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[1]P_19_Cual!$Z$4:$Z$15</c15:sqref>
                  </c15:fullRef>
                </c:ext>
              </c:extLst>
              <c:f>[1]P_19_Cual!$Z$4:$Z$14</c:f>
              <c:numCache>
                <c:formatCode>General</c:formatCode>
                <c:ptCount val="11"/>
                <c:pt idx="0">
                  <c:v>15</c:v>
                </c:pt>
                <c:pt idx="1">
                  <c:v>4</c:v>
                </c:pt>
                <c:pt idx="2">
                  <c:v>122</c:v>
                </c:pt>
                <c:pt idx="3">
                  <c:v>3</c:v>
                </c:pt>
                <c:pt idx="4">
                  <c:v>8</c:v>
                </c:pt>
                <c:pt idx="5">
                  <c:v>26</c:v>
                </c:pt>
                <c:pt idx="6">
                  <c:v>3</c:v>
                </c:pt>
                <c:pt idx="7">
                  <c:v>1</c:v>
                </c:pt>
                <c:pt idx="8">
                  <c:v>19</c:v>
                </c:pt>
                <c:pt idx="9">
                  <c:v>7</c:v>
                </c:pt>
                <c:pt idx="10">
                  <c:v>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195-4EFB-8E2E-5AA73FC9A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5648840"/>
        <c:axId val="435646488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[1]P_19_Cual!$AA$3</c15:sqref>
                        </c15:formulaRef>
                      </c:ext>
                    </c:extLst>
                    <c:strCache>
                      <c:ptCount val="1"/>
                      <c:pt idx="0">
                        <c:v>%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[1]P_19_Cual!$Y$4:$Y$15</c15:sqref>
                        </c15:fullRef>
                        <c15:formulaRef>
                          <c15:sqref>[1]P_19_Cual!$Y$4:$Y$14</c15:sqref>
                        </c15:formulaRef>
                      </c:ext>
                    </c:extLst>
                    <c:strCache>
                      <c:ptCount val="11"/>
                      <c:pt idx="0">
                        <c:v>A clientes seleccionados</c:v>
                      </c:pt>
                      <c:pt idx="1">
                        <c:v>A final de mes y fin de semana</c:v>
                      </c:pt>
                      <c:pt idx="2">
                        <c:v>Atención del establecimiento</c:v>
                      </c:pt>
                      <c:pt idx="3">
                        <c:v>Catalogos de promociones</c:v>
                      </c:pt>
                      <c:pt idx="4">
                        <c:v>Comercialización de los productos</c:v>
                      </c:pt>
                      <c:pt idx="5">
                        <c:v>Depende del proveedor y la calidad del producto</c:v>
                      </c:pt>
                      <c:pt idx="6">
                        <c:v>Descuentos según la compra</c:v>
                      </c:pt>
                      <c:pt idx="7">
                        <c:v>Empresas de camara y comercio</c:v>
                      </c:pt>
                      <c:pt idx="8">
                        <c:v>Entrega domicilios puerta a puerta</c:v>
                      </c:pt>
                      <c:pt idx="9">
                        <c:v>Mejoramiento de mercado</c:v>
                      </c:pt>
                      <c:pt idx="10">
                        <c:v>Ofertas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[1]P_19_Cual!$AA$4:$AA$15</c15:sqref>
                        </c15:fullRef>
                        <c15:formulaRef>
                          <c15:sqref>[1]P_19_Cual!$AA$4:$AA$14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6.637168141592921E-2</c:v>
                      </c:pt>
                      <c:pt idx="1">
                        <c:v>1.7699115044247787E-2</c:v>
                      </c:pt>
                      <c:pt idx="2">
                        <c:v>0.53982300884955747</c:v>
                      </c:pt>
                      <c:pt idx="3">
                        <c:v>1.3274336283185841E-2</c:v>
                      </c:pt>
                      <c:pt idx="4">
                        <c:v>3.5398230088495575E-2</c:v>
                      </c:pt>
                      <c:pt idx="5">
                        <c:v>0.11504424778761062</c:v>
                      </c:pt>
                      <c:pt idx="6">
                        <c:v>1.3274336283185841E-2</c:v>
                      </c:pt>
                      <c:pt idx="7">
                        <c:v>4.4247787610619468E-3</c:v>
                      </c:pt>
                      <c:pt idx="8">
                        <c:v>8.4070796460176997E-2</c:v>
                      </c:pt>
                      <c:pt idx="9">
                        <c:v>3.0973451327433628E-2</c:v>
                      </c:pt>
                      <c:pt idx="10">
                        <c:v>7.9646017699115043E-2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1-1195-4EFB-8E2E-5AA73FC9AC78}"/>
                  </c:ext>
                </c:extLst>
              </c15:ser>
            </c15:filteredBarSeries>
          </c:ext>
        </c:extLst>
      </c:barChart>
      <c:catAx>
        <c:axId val="4356488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5646488"/>
        <c:crosses val="autoZero"/>
        <c:auto val="1"/>
        <c:lblAlgn val="ctr"/>
        <c:lblOffset val="100"/>
        <c:noMultiLvlLbl val="0"/>
      </c:catAx>
      <c:valAx>
        <c:axId val="435646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5648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P_21A</a:t>
            </a:r>
            <a:r>
              <a:rPr lang="en-US" baseline="0"/>
              <a:t> </a:t>
            </a:r>
            <a:r>
              <a:rPr lang="en-US"/>
              <a:t>Productos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[1]P_21_Cual!$J$3</c:f>
              <c:strCache>
                <c:ptCount val="1"/>
                <c:pt idx="0">
                  <c:v>Frecuencia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BF54-41A6-8782-9D59E0BC14F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F54-41A6-8782-9D59E0BC14F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F54-41A6-8782-9D59E0BC14F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BF54-41A6-8782-9D59E0BC14F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BF54-41A6-8782-9D59E0BC14F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[1]P_21_Cual!$I$4:$I$8</c:f>
              <c:strCache>
                <c:ptCount val="5"/>
                <c:pt idx="0">
                  <c:v>Aseo Personal</c:v>
                </c:pt>
                <c:pt idx="1">
                  <c:v>Droguería</c:v>
                </c:pt>
                <c:pt idx="2">
                  <c:v>Dulces y Paquetes</c:v>
                </c:pt>
                <c:pt idx="3">
                  <c:v>Farmacia</c:v>
                </c:pt>
                <c:pt idx="4">
                  <c:v>Limpieza</c:v>
                </c:pt>
              </c:strCache>
            </c:strRef>
          </c:cat>
          <c:val>
            <c:numRef>
              <c:f>[1]P_21_Cual!$J$4:$J$8</c:f>
              <c:numCache>
                <c:formatCode>General</c:formatCode>
                <c:ptCount val="5"/>
                <c:pt idx="0">
                  <c:v>68</c:v>
                </c:pt>
                <c:pt idx="1">
                  <c:v>56</c:v>
                </c:pt>
                <c:pt idx="2">
                  <c:v>64</c:v>
                </c:pt>
                <c:pt idx="3">
                  <c:v>8</c:v>
                </c:pt>
                <c:pt idx="4">
                  <c:v>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209-4E52-9EFF-7D8FA016601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P_21B Tiempo de rotación </a:t>
            </a:r>
            <a:endParaRPr lang="en-US"/>
          </a:p>
        </c:rich>
      </c:tx>
      <c:layout>
        <c:manualLayout>
          <c:xMode val="edge"/>
          <c:yMode val="edge"/>
          <c:x val="0.33697612897202078"/>
          <c:y val="3.75586792751667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[1]P_21_Cual!$P$3</c:f>
              <c:strCache>
                <c:ptCount val="1"/>
                <c:pt idx="0">
                  <c:v>Frecuencia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[1]P_21_Cual!$O$4:$O$23</c:f>
              <c:strCache>
                <c:ptCount val="20"/>
                <c:pt idx="0">
                  <c:v>Aseo Personal-Depende de la Provisión</c:v>
                </c:pt>
                <c:pt idx="1">
                  <c:v>Aseo Personal-Mensual</c:v>
                </c:pt>
                <c:pt idx="2">
                  <c:v>Aseo Personal-Quincenal</c:v>
                </c:pt>
                <c:pt idx="3">
                  <c:v>Aseo Personal-Semanal</c:v>
                </c:pt>
                <c:pt idx="4">
                  <c:v>Droguería-Depende de la Provisión</c:v>
                </c:pt>
                <c:pt idx="5">
                  <c:v>Droguería-Mensual</c:v>
                </c:pt>
                <c:pt idx="6">
                  <c:v>Droguería-Quincenal</c:v>
                </c:pt>
                <c:pt idx="7">
                  <c:v>Droguería-Semanal</c:v>
                </c:pt>
                <c:pt idx="8">
                  <c:v>Dulces y Paquetes-Depende de la Provisión</c:v>
                </c:pt>
                <c:pt idx="9">
                  <c:v>Dulces y Paquetes-Diario</c:v>
                </c:pt>
                <c:pt idx="10">
                  <c:v>Dulces y Paquetes-Mensual</c:v>
                </c:pt>
                <c:pt idx="11">
                  <c:v>Dulces y Paquetes-Quincenal</c:v>
                </c:pt>
                <c:pt idx="12">
                  <c:v>Dulces y Paquetes-Semanal</c:v>
                </c:pt>
                <c:pt idx="13">
                  <c:v>Farmacia-Mensual</c:v>
                </c:pt>
                <c:pt idx="14">
                  <c:v>Farmacia-Quincenal</c:v>
                </c:pt>
                <c:pt idx="15">
                  <c:v>Farmacia-Semanal</c:v>
                </c:pt>
                <c:pt idx="16">
                  <c:v>Limpieza-Depende de la Provisión</c:v>
                </c:pt>
                <c:pt idx="17">
                  <c:v>Limpieza-Mensual</c:v>
                </c:pt>
                <c:pt idx="18">
                  <c:v>Limpieza-Quincenal</c:v>
                </c:pt>
                <c:pt idx="19">
                  <c:v>Limpieza-Semanal</c:v>
                </c:pt>
              </c:strCache>
            </c:strRef>
          </c:cat>
          <c:val>
            <c:numRef>
              <c:f>[1]P_21_Cual!$P$4:$P$23</c:f>
              <c:numCache>
                <c:formatCode>General</c:formatCode>
                <c:ptCount val="20"/>
                <c:pt idx="0">
                  <c:v>9</c:v>
                </c:pt>
                <c:pt idx="1">
                  <c:v>45</c:v>
                </c:pt>
                <c:pt idx="2">
                  <c:v>16</c:v>
                </c:pt>
                <c:pt idx="3">
                  <c:v>2</c:v>
                </c:pt>
                <c:pt idx="4">
                  <c:v>19</c:v>
                </c:pt>
                <c:pt idx="5">
                  <c:v>1</c:v>
                </c:pt>
                <c:pt idx="6">
                  <c:v>3</c:v>
                </c:pt>
                <c:pt idx="7">
                  <c:v>7</c:v>
                </c:pt>
                <c:pt idx="8">
                  <c:v>30</c:v>
                </c:pt>
                <c:pt idx="9">
                  <c:v>4</c:v>
                </c:pt>
                <c:pt idx="10">
                  <c:v>17</c:v>
                </c:pt>
                <c:pt idx="11">
                  <c:v>6</c:v>
                </c:pt>
                <c:pt idx="12">
                  <c:v>22</c:v>
                </c:pt>
                <c:pt idx="13">
                  <c:v>17</c:v>
                </c:pt>
                <c:pt idx="14">
                  <c:v>17</c:v>
                </c:pt>
                <c:pt idx="15">
                  <c:v>23</c:v>
                </c:pt>
                <c:pt idx="16">
                  <c:v>3</c:v>
                </c:pt>
                <c:pt idx="17">
                  <c:v>3</c:v>
                </c:pt>
                <c:pt idx="18">
                  <c:v>9</c:v>
                </c:pt>
                <c:pt idx="19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6E9-49B1-9006-A30509606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5649232"/>
        <c:axId val="435647664"/>
      </c:barChart>
      <c:catAx>
        <c:axId val="4356492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5647664"/>
        <c:crosses val="autoZero"/>
        <c:auto val="1"/>
        <c:lblAlgn val="ctr"/>
        <c:lblOffset val="100"/>
        <c:noMultiLvlLbl val="0"/>
      </c:catAx>
      <c:valAx>
        <c:axId val="435647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5649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P_22 Mejor</a:t>
            </a:r>
            <a:r>
              <a:rPr lang="en-US" baseline="0"/>
              <a:t> Servicio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1"/>
          <c:tx>
            <c:strRef>
              <c:f>P_22_Cual!$G$4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P_22_Cual!$E$5:$E$14</c15:sqref>
                  </c15:fullRef>
                </c:ext>
              </c:extLst>
              <c:f>P_22_Cual!$E$5:$E$13</c:f>
              <c:strCache>
                <c:ptCount val="9"/>
                <c:pt idx="0">
                  <c:v>Atencion al cliente</c:v>
                </c:pt>
                <c:pt idx="1">
                  <c:v>Buen servicio</c:v>
                </c:pt>
                <c:pt idx="2">
                  <c:v>Calidad de producto</c:v>
                </c:pt>
                <c:pt idx="3">
                  <c:v>Confianza por los productos </c:v>
                </c:pt>
                <c:pt idx="4">
                  <c:v>Descuentos</c:v>
                </c:pt>
                <c:pt idx="5">
                  <c:v>Horarios de atención</c:v>
                </c:pt>
                <c:pt idx="6">
                  <c:v>Precios bajos</c:v>
                </c:pt>
                <c:pt idx="7">
                  <c:v>Satifaccion por el servicio</c:v>
                </c:pt>
                <c:pt idx="8">
                  <c:v>Tener producto a la mano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P_22_Cual!$G$5:$G$14</c15:sqref>
                  </c15:fullRef>
                </c:ext>
              </c:extLst>
              <c:f>P_22_Cual!$G$5:$G$13</c:f>
              <c:numCache>
                <c:formatCode>0%</c:formatCode>
                <c:ptCount val="9"/>
                <c:pt idx="0">
                  <c:v>0.56521739130434778</c:v>
                </c:pt>
                <c:pt idx="1">
                  <c:v>5.7971014492753624E-2</c:v>
                </c:pt>
                <c:pt idx="2">
                  <c:v>0.14492753623188406</c:v>
                </c:pt>
                <c:pt idx="3">
                  <c:v>1.4492753623188406E-2</c:v>
                </c:pt>
                <c:pt idx="4">
                  <c:v>1.4492753623188406E-2</c:v>
                </c:pt>
                <c:pt idx="5">
                  <c:v>1.4492753623188406E-2</c:v>
                </c:pt>
                <c:pt idx="6">
                  <c:v>5.7971014492753624E-2</c:v>
                </c:pt>
                <c:pt idx="7">
                  <c:v>0.11594202898550725</c:v>
                </c:pt>
                <c:pt idx="8">
                  <c:v>1.4492753623188406E-2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B51-46C2-A48E-9FFD045C48E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435651976"/>
        <c:axId val="435652368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P_22_Cual!$F$4</c15:sqref>
                        </c15:formulaRef>
                      </c:ext>
                    </c:extLst>
                    <c:strCache>
                      <c:ptCount val="1"/>
                      <c:pt idx="0">
                        <c:v>FRECUENCIA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P_22_Cual!$E$5:$E$14</c15:sqref>
                        </c15:fullRef>
                        <c15:formulaRef>
                          <c15:sqref>P_22_Cual!$E$5:$E$13</c15:sqref>
                        </c15:formulaRef>
                      </c:ext>
                    </c:extLst>
                    <c:strCache>
                      <c:ptCount val="9"/>
                      <c:pt idx="0">
                        <c:v>Atencion al cliente</c:v>
                      </c:pt>
                      <c:pt idx="1">
                        <c:v>Buen servicio</c:v>
                      </c:pt>
                      <c:pt idx="2">
                        <c:v>Calidad de producto</c:v>
                      </c:pt>
                      <c:pt idx="3">
                        <c:v>Confianza por los productos </c:v>
                      </c:pt>
                      <c:pt idx="4">
                        <c:v>Descuentos</c:v>
                      </c:pt>
                      <c:pt idx="5">
                        <c:v>Horarios de atención</c:v>
                      </c:pt>
                      <c:pt idx="6">
                        <c:v>Precios bajos</c:v>
                      </c:pt>
                      <c:pt idx="7">
                        <c:v>Satifaccion por el servicio</c:v>
                      </c:pt>
                      <c:pt idx="8">
                        <c:v>Tener producto a la mano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P_22_Cual!$F$5:$F$14</c15:sqref>
                        </c15:fullRef>
                        <c15:formulaRef>
                          <c15:sqref>P_22_Cual!$F$5:$F$13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39</c:v>
                      </c:pt>
                      <c:pt idx="1">
                        <c:v>4</c:v>
                      </c:pt>
                      <c:pt idx="2">
                        <c:v>10</c:v>
                      </c:pt>
                      <c:pt idx="3">
                        <c:v>1</c:v>
                      </c:pt>
                      <c:pt idx="4">
                        <c:v>1</c:v>
                      </c:pt>
                      <c:pt idx="5">
                        <c:v>1</c:v>
                      </c:pt>
                      <c:pt idx="6">
                        <c:v>4</c:v>
                      </c:pt>
                      <c:pt idx="7">
                        <c:v>8</c:v>
                      </c:pt>
                      <c:pt idx="8">
                        <c:v>1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1-DB51-46C2-A48E-9FFD045C48E9}"/>
                  </c:ext>
                </c:extLst>
              </c15:ser>
            </c15:filteredBarSeries>
          </c:ext>
        </c:extLst>
      </c:barChart>
      <c:catAx>
        <c:axId val="435651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5652368"/>
        <c:crosses val="autoZero"/>
        <c:auto val="1"/>
        <c:lblAlgn val="ctr"/>
        <c:lblOffset val="100"/>
        <c:noMultiLvlLbl val="0"/>
      </c:catAx>
      <c:valAx>
        <c:axId val="435652368"/>
        <c:scaling>
          <c:orientation val="minMax"/>
        </c:scaling>
        <c:delete val="0"/>
        <c:axPos val="b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5651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Pregunta_37 Percepcion Economica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stacked"/>
        <c:varyColors val="0"/>
        <c:ser>
          <c:idx val="1"/>
          <c:order val="1"/>
          <c:tx>
            <c:strRef>
              <c:f>P_37_Cual!$G$2:$G$3</c:f>
              <c:strCache>
                <c:ptCount val="2"/>
                <c:pt idx="0">
                  <c:v>Pregunta_37</c:v>
                </c:pt>
                <c:pt idx="1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P_37_Cual!$E$4:$E$36</c15:sqref>
                  </c15:fullRef>
                </c:ext>
              </c:extLst>
              <c:f>P_37_Cual!$E$4:$E$35</c:f>
              <c:strCache>
                <c:ptCount val="32"/>
                <c:pt idx="0">
                  <c:v>A la expectativa</c:v>
                </c:pt>
                <c:pt idx="1">
                  <c:v>Bien </c:v>
                </c:pt>
                <c:pt idx="2">
                  <c:v>Bueno</c:v>
                </c:pt>
                <c:pt idx="3">
                  <c:v>Bueno a la expectativa</c:v>
                </c:pt>
                <c:pt idx="4">
                  <c:v>Cambios favorables</c:v>
                </c:pt>
                <c:pt idx="5">
                  <c:v>Compleja</c:v>
                </c:pt>
                <c:pt idx="6">
                  <c:v>Complicado</c:v>
                </c:pt>
                <c:pt idx="7">
                  <c:v>Con bastantes expectativas</c:v>
                </c:pt>
                <c:pt idx="8">
                  <c:v>Con temor de lo que pueda pasar</c:v>
                </c:pt>
                <c:pt idx="9">
                  <c:v>Creo que no va a mejorar</c:v>
                </c:pt>
                <c:pt idx="10">
                  <c:v>De todo cada vez más costoso todo</c:v>
                </c:pt>
                <c:pt idx="11">
                  <c:v>Decadencia</c:v>
                </c:pt>
                <c:pt idx="12">
                  <c:v>Desventaja para las ventas por que son productos importantes que por su costo puede dificultar las compras</c:v>
                </c:pt>
                <c:pt idx="13">
                  <c:v>en ves de ir mejorando todo hace un alce muy grande y una dificil situación para manejar la vida diaria</c:v>
                </c:pt>
                <c:pt idx="14">
                  <c:v>Es la oportunidad del campo que se desarrolle al maximo y mejore el valor de los precios</c:v>
                </c:pt>
                <c:pt idx="15">
                  <c:v>Excelente</c:v>
                </c:pt>
                <c:pt idx="16">
                  <c:v>La expectativa es que no incremente los costos</c:v>
                </c:pt>
                <c:pt idx="17">
                  <c:v>Mal por que todo esta subiendo</c:v>
                </c:pt>
                <c:pt idx="18">
                  <c:v>Malo</c:v>
                </c:pt>
                <c:pt idx="19">
                  <c:v>Malo por el incremento de todo</c:v>
                </c:pt>
                <c:pt idx="20">
                  <c:v>Muy buena en espera a la expectativa</c:v>
                </c:pt>
                <c:pt idx="21">
                  <c:v>Muy mal</c:v>
                </c:pt>
                <c:pt idx="22">
                  <c:v>Muy pesada por que todo esta costoso</c:v>
                </c:pt>
                <c:pt idx="23">
                  <c:v>Normal</c:v>
                </c:pt>
                <c:pt idx="24">
                  <c:v>Pesado con lo que se viene</c:v>
                </c:pt>
                <c:pt idx="25">
                  <c:v>Pesima se viene cosas dificiles en la economia</c:v>
                </c:pt>
                <c:pt idx="26">
                  <c:v>Por el momento esta estable</c:v>
                </c:pt>
                <c:pt idx="27">
                  <c:v>Positivamente</c:v>
                </c:pt>
                <c:pt idx="28">
                  <c:v>Que podrian haber cambios malos por el incremento</c:v>
                </c:pt>
                <c:pt idx="29">
                  <c:v>Que va haber mucha mejoria en la economia</c:v>
                </c:pt>
                <c:pt idx="30">
                  <c:v>Reservado</c:v>
                </c:pt>
                <c:pt idx="31">
                  <c:v>Será un buena administración y trae avances favorables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P_37_Cual!$G$4:$G$36</c15:sqref>
                  </c15:fullRef>
                </c:ext>
              </c:extLst>
              <c:f>P_37_Cual!$G$4:$G$35</c:f>
              <c:numCache>
                <c:formatCode>0%</c:formatCode>
                <c:ptCount val="32"/>
                <c:pt idx="0">
                  <c:v>1.3888888888888888E-2</c:v>
                </c:pt>
                <c:pt idx="1">
                  <c:v>1.3888888888888888E-2</c:v>
                </c:pt>
                <c:pt idx="2">
                  <c:v>9.7222222222222224E-2</c:v>
                </c:pt>
                <c:pt idx="3">
                  <c:v>1.3888888888888888E-2</c:v>
                </c:pt>
                <c:pt idx="4">
                  <c:v>1.3888888888888888E-2</c:v>
                </c:pt>
                <c:pt idx="5">
                  <c:v>1.3888888888888888E-2</c:v>
                </c:pt>
                <c:pt idx="6">
                  <c:v>8.3333333333333329E-2</c:v>
                </c:pt>
                <c:pt idx="7">
                  <c:v>1.3888888888888888E-2</c:v>
                </c:pt>
                <c:pt idx="8">
                  <c:v>1.3888888888888888E-2</c:v>
                </c:pt>
                <c:pt idx="9">
                  <c:v>1.3888888888888888E-2</c:v>
                </c:pt>
                <c:pt idx="10">
                  <c:v>1.3888888888888888E-2</c:v>
                </c:pt>
                <c:pt idx="11">
                  <c:v>1.3888888888888888E-2</c:v>
                </c:pt>
                <c:pt idx="12">
                  <c:v>1.3888888888888888E-2</c:v>
                </c:pt>
                <c:pt idx="13">
                  <c:v>1.3888888888888888E-2</c:v>
                </c:pt>
                <c:pt idx="14">
                  <c:v>1.3888888888888888E-2</c:v>
                </c:pt>
                <c:pt idx="15">
                  <c:v>1.3888888888888888E-2</c:v>
                </c:pt>
                <c:pt idx="16">
                  <c:v>1.3888888888888888E-2</c:v>
                </c:pt>
                <c:pt idx="17">
                  <c:v>1.3888888888888888E-2</c:v>
                </c:pt>
                <c:pt idx="18">
                  <c:v>0.40277777777777779</c:v>
                </c:pt>
                <c:pt idx="19">
                  <c:v>1.3888888888888888E-2</c:v>
                </c:pt>
                <c:pt idx="20">
                  <c:v>2.7777777777777776E-2</c:v>
                </c:pt>
                <c:pt idx="21">
                  <c:v>1.3888888888888888E-2</c:v>
                </c:pt>
                <c:pt idx="22">
                  <c:v>1.3888888888888888E-2</c:v>
                </c:pt>
                <c:pt idx="23">
                  <c:v>1.3888888888888888E-2</c:v>
                </c:pt>
                <c:pt idx="24">
                  <c:v>1.3888888888888888E-2</c:v>
                </c:pt>
                <c:pt idx="25">
                  <c:v>1.3888888888888888E-2</c:v>
                </c:pt>
                <c:pt idx="26">
                  <c:v>1.3888888888888888E-2</c:v>
                </c:pt>
                <c:pt idx="27">
                  <c:v>1.3888888888888888E-2</c:v>
                </c:pt>
                <c:pt idx="28">
                  <c:v>1.3888888888888888E-2</c:v>
                </c:pt>
                <c:pt idx="29">
                  <c:v>1.3888888888888888E-2</c:v>
                </c:pt>
                <c:pt idx="30">
                  <c:v>1.3888888888888888E-2</c:v>
                </c:pt>
                <c:pt idx="31">
                  <c:v>1.3888888888888888E-2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43-4898-8B7F-3B402F06A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9894632"/>
        <c:axId val="439896984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P_37_Cual!$F$2:$F$3</c15:sqref>
                        </c15:formulaRef>
                      </c:ext>
                    </c:extLst>
                    <c:strCache>
                      <c:ptCount val="2"/>
                      <c:pt idx="0">
                        <c:v>Pregunta_37</c:v>
                      </c:pt>
                      <c:pt idx="1">
                        <c:v>FRECUENCIA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P_37_Cual!$E$4:$E$36</c15:sqref>
                        </c15:fullRef>
                        <c15:formulaRef>
                          <c15:sqref>P_37_Cual!$E$4:$E$35</c15:sqref>
                        </c15:formulaRef>
                      </c:ext>
                    </c:extLst>
                    <c:strCache>
                      <c:ptCount val="32"/>
                      <c:pt idx="0">
                        <c:v>A la expectativa</c:v>
                      </c:pt>
                      <c:pt idx="1">
                        <c:v>Bien </c:v>
                      </c:pt>
                      <c:pt idx="2">
                        <c:v>Bueno</c:v>
                      </c:pt>
                      <c:pt idx="3">
                        <c:v>Bueno a la expectativa</c:v>
                      </c:pt>
                      <c:pt idx="4">
                        <c:v>Cambios favorables</c:v>
                      </c:pt>
                      <c:pt idx="5">
                        <c:v>Compleja</c:v>
                      </c:pt>
                      <c:pt idx="6">
                        <c:v>Complicado</c:v>
                      </c:pt>
                      <c:pt idx="7">
                        <c:v>Con bastantes expectativas</c:v>
                      </c:pt>
                      <c:pt idx="8">
                        <c:v>Con temor de lo que pueda pasar</c:v>
                      </c:pt>
                      <c:pt idx="9">
                        <c:v>Creo que no va a mejorar</c:v>
                      </c:pt>
                      <c:pt idx="10">
                        <c:v>De todo cada vez más costoso todo</c:v>
                      </c:pt>
                      <c:pt idx="11">
                        <c:v>Decadencia</c:v>
                      </c:pt>
                      <c:pt idx="12">
                        <c:v>Desventaja para las ventas por que son productos importantes que por su costo puede dificultar las compras</c:v>
                      </c:pt>
                      <c:pt idx="13">
                        <c:v>en ves de ir mejorando todo hace un alce muy grande y una dificil situación para manejar la vida diaria</c:v>
                      </c:pt>
                      <c:pt idx="14">
                        <c:v>Es la oportunidad del campo que se desarrolle al maximo y mejore el valor de los precios</c:v>
                      </c:pt>
                      <c:pt idx="15">
                        <c:v>Excelente</c:v>
                      </c:pt>
                      <c:pt idx="16">
                        <c:v>La expectativa es que no incremente los costos</c:v>
                      </c:pt>
                      <c:pt idx="17">
                        <c:v>Mal por que todo esta subiendo</c:v>
                      </c:pt>
                      <c:pt idx="18">
                        <c:v>Malo</c:v>
                      </c:pt>
                      <c:pt idx="19">
                        <c:v>Malo por el incremento de todo</c:v>
                      </c:pt>
                      <c:pt idx="20">
                        <c:v>Muy buena en espera a la expectativa</c:v>
                      </c:pt>
                      <c:pt idx="21">
                        <c:v>Muy mal</c:v>
                      </c:pt>
                      <c:pt idx="22">
                        <c:v>Muy pesada por que todo esta costoso</c:v>
                      </c:pt>
                      <c:pt idx="23">
                        <c:v>Normal</c:v>
                      </c:pt>
                      <c:pt idx="24">
                        <c:v>Pesado con lo que se viene</c:v>
                      </c:pt>
                      <c:pt idx="25">
                        <c:v>Pesima se viene cosas dificiles en la economia</c:v>
                      </c:pt>
                      <c:pt idx="26">
                        <c:v>Por el momento esta estable</c:v>
                      </c:pt>
                      <c:pt idx="27">
                        <c:v>Positivamente</c:v>
                      </c:pt>
                      <c:pt idx="28">
                        <c:v>Que podrian haber cambios malos por el incremento</c:v>
                      </c:pt>
                      <c:pt idx="29">
                        <c:v>Que va haber mucha mejoria en la economia</c:v>
                      </c:pt>
                      <c:pt idx="30">
                        <c:v>Reservado</c:v>
                      </c:pt>
                      <c:pt idx="31">
                        <c:v>Será un buena administración y trae avances favorables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P_37_Cual!$F$4:$F$36</c15:sqref>
                        </c15:fullRef>
                        <c15:formulaRef>
                          <c15:sqref>P_37_Cual!$F$4:$F$35</c15:sqref>
                        </c15:formulaRef>
                      </c:ext>
                    </c:extLst>
                    <c:numCache>
                      <c:formatCode>General</c:formatCode>
                      <c:ptCount val="32"/>
                      <c:pt idx="0">
                        <c:v>1</c:v>
                      </c:pt>
                      <c:pt idx="1">
                        <c:v>1</c:v>
                      </c:pt>
                      <c:pt idx="2">
                        <c:v>7</c:v>
                      </c:pt>
                      <c:pt idx="3">
                        <c:v>1</c:v>
                      </c:pt>
                      <c:pt idx="4">
                        <c:v>1</c:v>
                      </c:pt>
                      <c:pt idx="5">
                        <c:v>1</c:v>
                      </c:pt>
                      <c:pt idx="6">
                        <c:v>6</c:v>
                      </c:pt>
                      <c:pt idx="7">
                        <c:v>1</c:v>
                      </c:pt>
                      <c:pt idx="8">
                        <c:v>1</c:v>
                      </c:pt>
                      <c:pt idx="9">
                        <c:v>1</c:v>
                      </c:pt>
                      <c:pt idx="10">
                        <c:v>1</c:v>
                      </c:pt>
                      <c:pt idx="11">
                        <c:v>1</c:v>
                      </c:pt>
                      <c:pt idx="12">
                        <c:v>1</c:v>
                      </c:pt>
                      <c:pt idx="13">
                        <c:v>1</c:v>
                      </c:pt>
                      <c:pt idx="14">
                        <c:v>1</c:v>
                      </c:pt>
                      <c:pt idx="15">
                        <c:v>1</c:v>
                      </c:pt>
                      <c:pt idx="16">
                        <c:v>1</c:v>
                      </c:pt>
                      <c:pt idx="17">
                        <c:v>1</c:v>
                      </c:pt>
                      <c:pt idx="18">
                        <c:v>29</c:v>
                      </c:pt>
                      <c:pt idx="19">
                        <c:v>1</c:v>
                      </c:pt>
                      <c:pt idx="20">
                        <c:v>2</c:v>
                      </c:pt>
                      <c:pt idx="21">
                        <c:v>1</c:v>
                      </c:pt>
                      <c:pt idx="22">
                        <c:v>1</c:v>
                      </c:pt>
                      <c:pt idx="23">
                        <c:v>1</c:v>
                      </c:pt>
                      <c:pt idx="24">
                        <c:v>1</c:v>
                      </c:pt>
                      <c:pt idx="25">
                        <c:v>1</c:v>
                      </c:pt>
                      <c:pt idx="26">
                        <c:v>1</c:v>
                      </c:pt>
                      <c:pt idx="27">
                        <c:v>1</c:v>
                      </c:pt>
                      <c:pt idx="28">
                        <c:v>1</c:v>
                      </c:pt>
                      <c:pt idx="29">
                        <c:v>1</c:v>
                      </c:pt>
                      <c:pt idx="30">
                        <c:v>1</c:v>
                      </c:pt>
                      <c:pt idx="31">
                        <c:v>1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0-3C43-4898-8B7F-3B402F06A5D5}"/>
                  </c:ext>
                </c:extLst>
              </c15:ser>
            </c15:filteredBarSeries>
          </c:ext>
        </c:extLst>
      </c:bar3DChart>
      <c:catAx>
        <c:axId val="4398946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9896984"/>
        <c:crosses val="autoZero"/>
        <c:auto val="1"/>
        <c:lblAlgn val="ctr"/>
        <c:lblOffset val="100"/>
        <c:noMultiLvlLbl val="0"/>
      </c:catAx>
      <c:valAx>
        <c:axId val="439896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9894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0" i="0" kern="1200" spc="0" baseline="0">
                <a:solidFill>
                  <a:srgbClr val="595959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P_5_Lugar de Residencia</a:t>
            </a:r>
            <a:endParaRPr lang="es-CO" sz="1100" b="0">
              <a:effectLst/>
            </a:endParaRPr>
          </a:p>
          <a:p>
            <a:pPr>
              <a:defRPr/>
            </a:pP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6.7261592300962375E-2"/>
          <c:y val="0.17171296296296298"/>
          <c:w val="0.8966272965879265"/>
          <c:h val="0.61498432487605714"/>
        </c:manualLayout>
      </c:layout>
      <c:areaChart>
        <c:grouping val="stack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434733416"/>
        <c:axId val="436048240"/>
        <c:extLst xmlns:c16r2="http://schemas.microsoft.com/office/drawing/2015/06/chart">
          <c:ext xmlns:c15="http://schemas.microsoft.com/office/drawing/2012/chart" uri="{02D57815-91ED-43cb-92C2-25804820EDAC}">
            <c15:filteredAreaSeries>
              <c15:ser>
                <c:idx val="0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Procesamiento_Info!$C$35</c15:sqref>
                        </c15:formulaRef>
                      </c:ext>
                    </c:extLst>
                    <c:strCache>
                      <c:ptCount val="1"/>
                      <c:pt idx="0">
                        <c:v>FRECUENCIA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cat>
                  <c:strRef>
                    <c:extLst>
                      <c:ext uri="{02D57815-91ED-43cb-92C2-25804820EDAC}">
                        <c15:fullRef>
                          <c15:sqref>Procesamiento_Info!$B$36:$B$48</c15:sqref>
                        </c15:fullRef>
                        <c15:formulaRef>
                          <c15:sqref>Procesamiento_Info!$B$46:$B$47</c15:sqref>
                        </c15:formulaRef>
                      </c:ext>
                    </c:extLst>
                    <c:strCache>
                      <c:ptCount val="2"/>
                      <c:pt idx="0">
                        <c:v>Vergara</c:v>
                      </c:pt>
                      <c:pt idx="1">
                        <c:v>Villeta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Procesamiento_Info!$C$36:$C$48</c15:sqref>
                        </c15:fullRef>
                        <c15:formulaRef>
                          <c15:sqref>Procesamiento_Info!$C$46:$C$47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2</c:v>
                      </c:pt>
                      <c:pt idx="1">
                        <c:v>69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3-1E7B-49CB-A95F-CE0F9730D19D}"/>
                  </c:ext>
                </c:extLst>
              </c15:ser>
            </c15:filteredAreaSeries>
          </c:ext>
        </c:extLst>
      </c:areaChart>
      <c:barChart>
        <c:barDir val="col"/>
        <c:grouping val="clustered"/>
        <c:varyColors val="0"/>
        <c:ser>
          <c:idx val="1"/>
          <c:order val="1"/>
          <c:tx>
            <c:strRef>
              <c:f>Procesamiento_Info!$D$35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9FF33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Procesamiento_Info!$B$36:$B$48</c15:sqref>
                  </c15:fullRef>
                </c:ext>
              </c:extLst>
              <c:f>Procesamiento_Info!$B$46:$B$47</c:f>
              <c:strCache>
                <c:ptCount val="2"/>
                <c:pt idx="0">
                  <c:v>Vergara</c:v>
                </c:pt>
                <c:pt idx="1">
                  <c:v>Villeta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Procesamiento_Info!$D$36:$D$48</c15:sqref>
                  </c15:fullRef>
                </c:ext>
              </c:extLst>
              <c:f>Procesamiento_Info!$D$46:$D$47</c:f>
              <c:numCache>
                <c:formatCode>0%</c:formatCode>
                <c:ptCount val="2"/>
                <c:pt idx="0">
                  <c:v>2.5974025974025976E-2</c:v>
                </c:pt>
                <c:pt idx="1">
                  <c:v>0.89610389610389607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E7B-49CB-A95F-CE0F9730D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4733416"/>
        <c:axId val="436048240"/>
      </c:barChart>
      <c:catAx>
        <c:axId val="43473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6048240"/>
        <c:crosses val="autoZero"/>
        <c:auto val="1"/>
        <c:lblAlgn val="ctr"/>
        <c:lblOffset val="100"/>
        <c:noMultiLvlLbl val="0"/>
      </c:catAx>
      <c:valAx>
        <c:axId val="4360482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473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0" i="0" kern="1200" spc="0" baseline="0">
                <a:solidFill>
                  <a:srgbClr val="595959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P_6_Se encuentra en que calidad</a:t>
            </a:r>
            <a:endParaRPr lang="es-CO" sz="1100">
              <a:effectLst/>
            </a:endParaRPr>
          </a:p>
          <a:p>
            <a:pPr>
              <a:defRPr/>
            </a:pPr>
            <a:endParaRPr lang="en-US"/>
          </a:p>
        </c:rich>
      </c:tx>
      <c:layout>
        <c:manualLayout>
          <c:xMode val="edge"/>
          <c:yMode val="edge"/>
          <c:x val="0.19461319335083116"/>
          <c:y val="3.95061625984478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Procesamiento_Info!$D$52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9FF33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1BC-4BD8-A5FF-F5A4AEC4122D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1BC-4BD8-A5FF-F5A4AEC4122D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1BC-4BD8-A5FF-F5A4AEC4122D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91BC-4BD8-A5FF-F5A4AEC412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Procesamiento_Info!$B$53:$B$57</c15:sqref>
                  </c15:fullRef>
                </c:ext>
              </c:extLst>
              <c:f>Procesamiento_Info!$B$53:$B$56</c:f>
              <c:strCache>
                <c:ptCount val="4"/>
                <c:pt idx="0">
                  <c:v>Propietario</c:v>
                </c:pt>
                <c:pt idx="1">
                  <c:v>Administrador</c:v>
                </c:pt>
                <c:pt idx="2">
                  <c:v>Encargado</c:v>
                </c:pt>
                <c:pt idx="3">
                  <c:v>Empleado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Procesamiento_Info!$D$53:$D$57</c15:sqref>
                  </c15:fullRef>
                </c:ext>
              </c:extLst>
              <c:f>Procesamiento_Info!$D$53:$D$56</c:f>
              <c:numCache>
                <c:formatCode>0%</c:formatCode>
                <c:ptCount val="4"/>
                <c:pt idx="0">
                  <c:v>0.25974025974025972</c:v>
                </c:pt>
                <c:pt idx="1">
                  <c:v>0.31168831168831168</c:v>
                </c:pt>
                <c:pt idx="2">
                  <c:v>0.24675324675324675</c:v>
                </c:pt>
                <c:pt idx="3">
                  <c:v>0.18181818181818182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1BC-4BD8-A5FF-F5A4AEC4122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36046672"/>
        <c:axId val="436049808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Procesamiento_Info!$C$52</c15:sqref>
                        </c15:formulaRef>
                      </c:ext>
                    </c:extLst>
                    <c:strCache>
                      <c:ptCount val="1"/>
                      <c:pt idx="0">
                        <c:v>FRECUENCIA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Procesamiento_Info!$B$53:$B$57</c15:sqref>
                        </c15:fullRef>
                        <c15:formulaRef>
                          <c15:sqref>Procesamiento_Info!$B$53:$B$56</c15:sqref>
                        </c15:formulaRef>
                      </c:ext>
                    </c:extLst>
                    <c:strCache>
                      <c:ptCount val="4"/>
                      <c:pt idx="0">
                        <c:v>Propietario</c:v>
                      </c:pt>
                      <c:pt idx="1">
                        <c:v>Administrador</c:v>
                      </c:pt>
                      <c:pt idx="2">
                        <c:v>Encargado</c:v>
                      </c:pt>
                      <c:pt idx="3">
                        <c:v>Empleado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Procesamiento_Info!$C$53:$C$57</c15:sqref>
                        </c15:fullRef>
                        <c15:formulaRef>
                          <c15:sqref>Procesamiento_Info!$C$53:$C$56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20</c:v>
                      </c:pt>
                      <c:pt idx="1">
                        <c:v>24</c:v>
                      </c:pt>
                      <c:pt idx="2">
                        <c:v>19</c:v>
                      </c:pt>
                      <c:pt idx="3">
                        <c:v>14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9-91BC-4BD8-A5FF-F5A4AEC4122D}"/>
                  </c:ext>
                </c:extLst>
              </c15:ser>
            </c15:filteredBarSeries>
          </c:ext>
        </c:extLst>
      </c:barChart>
      <c:catAx>
        <c:axId val="436046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6049808"/>
        <c:crosses val="autoZero"/>
        <c:auto val="1"/>
        <c:lblAlgn val="ctr"/>
        <c:lblOffset val="100"/>
        <c:noMultiLvlLbl val="0"/>
      </c:catAx>
      <c:valAx>
        <c:axId val="43604980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6046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783505154639179E-2"/>
          <c:y val="0.19775276233383177"/>
          <c:w val="0.78706469680980595"/>
          <c:h val="0.6632314339599672"/>
        </c:manualLayout>
      </c:layout>
      <c:barChart>
        <c:barDir val="col"/>
        <c:grouping val="clustered"/>
        <c:varyColors val="0"/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36049024"/>
        <c:axId val="436044712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Procesamiento_Info!$C$61</c15:sqref>
                        </c15:formulaRef>
                      </c:ext>
                    </c:extLst>
                    <c:strCache>
                      <c:ptCount val="1"/>
                      <c:pt idx="0">
                        <c:v>FRECUENCIA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Procesamiento_Info!$B$62:$B$65</c15:sqref>
                        </c15:fullRef>
                        <c15:formulaRef>
                          <c15:sqref>Procesamiento_Info!$B$62:$B$64</c15:sqref>
                        </c15:formulaRef>
                      </c:ext>
                    </c:extLst>
                    <c:strCache>
                      <c:ptCount val="3"/>
                      <c:pt idx="0">
                        <c:v>1</c:v>
                      </c:pt>
                      <c:pt idx="1">
                        <c:v>Entre 2 a 3</c:v>
                      </c:pt>
                      <c:pt idx="2">
                        <c:v>Más de 4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Procesamiento_Info!$C$62:$C$65</c15:sqref>
                        </c15:fullRef>
                        <c15:formulaRef>
                          <c15:sqref>Procesamiento_Info!$C$62:$C$64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56</c:v>
                      </c:pt>
                      <c:pt idx="1">
                        <c:v>16</c:v>
                      </c:pt>
                      <c:pt idx="2">
                        <c:v>5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1-5108-47D5-AA82-2F7E81D50411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1"/>
          <c:tx>
            <c:strRef>
              <c:f>Procesamiento_Info!$D$61</c:f>
              <c:strCache>
                <c:ptCount val="1"/>
                <c:pt idx="0">
                  <c:v>%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Procesamiento_Info!$B$62:$B$65</c15:sqref>
                  </c15:fullRef>
                </c:ext>
              </c:extLst>
              <c:f>Procesamiento_Info!$B$62:$B$64</c:f>
              <c:strCache>
                <c:ptCount val="3"/>
                <c:pt idx="0">
                  <c:v>1</c:v>
                </c:pt>
                <c:pt idx="1">
                  <c:v>Entre 2 a 3</c:v>
                </c:pt>
                <c:pt idx="2">
                  <c:v>Más de 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Procesamiento_Info!$D$62:$D$65</c15:sqref>
                  </c15:fullRef>
                </c:ext>
              </c:extLst>
              <c:f>Procesamiento_Info!$D$62:$D$64</c:f>
              <c:numCache>
                <c:formatCode>0%</c:formatCode>
                <c:ptCount val="3"/>
                <c:pt idx="0">
                  <c:v>0.72727272727272729</c:v>
                </c:pt>
                <c:pt idx="1">
                  <c:v>0.20779220779220781</c:v>
                </c:pt>
                <c:pt idx="2">
                  <c:v>6.4935064935064929E-2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108-47D5-AA82-2F7E81D504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36050984"/>
        <c:axId val="436049416"/>
      </c:lineChart>
      <c:catAx>
        <c:axId val="436049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6044712"/>
        <c:crosses val="autoZero"/>
        <c:auto val="1"/>
        <c:lblAlgn val="ctr"/>
        <c:lblOffset val="100"/>
        <c:noMultiLvlLbl val="0"/>
      </c:catAx>
      <c:valAx>
        <c:axId val="43604471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36049024"/>
        <c:crosses val="autoZero"/>
        <c:crossBetween val="between"/>
      </c:valAx>
      <c:valAx>
        <c:axId val="436049416"/>
        <c:scaling>
          <c:orientation val="minMax"/>
        </c:scaling>
        <c:delete val="0"/>
        <c:axPos val="r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6050984"/>
        <c:crosses val="max"/>
        <c:crossBetween val="between"/>
      </c:valAx>
      <c:catAx>
        <c:axId val="43605098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360494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0" i="0" kern="1200" spc="0" baseline="0">
                <a:solidFill>
                  <a:srgbClr val="595959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P_8_Tiempo que lleva su negocio en el mercado</a:t>
            </a:r>
            <a:endParaRPr lang="es-CO" sz="1000">
              <a:effectLst/>
            </a:endParaRPr>
          </a:p>
        </c:rich>
      </c:tx>
      <c:layout>
        <c:manualLayout>
          <c:xMode val="edge"/>
          <c:yMode val="edge"/>
          <c:x val="0.14821705426356588"/>
          <c:y val="3.34029154345140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0475167348267513"/>
          <c:y val="0.20155897806366538"/>
          <c:w val="0.81600629378692002"/>
          <c:h val="0.54194345351076911"/>
        </c:manualLayout>
      </c:layout>
      <c:lineChart>
        <c:grouping val="standard"/>
        <c:varyColors val="0"/>
        <c:ser>
          <c:idx val="1"/>
          <c:order val="1"/>
          <c:tx>
            <c:strRef>
              <c:f>Procesamiento_Info!$D$74</c:f>
              <c:strCache>
                <c:ptCount val="1"/>
                <c:pt idx="0">
                  <c:v>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Procesamiento_Info!$B$75:$B$78</c15:sqref>
                  </c15:fullRef>
                </c:ext>
              </c:extLst>
              <c:f>Procesamiento_Info!$B$75:$B$77</c:f>
              <c:strCache>
                <c:ptCount val="3"/>
                <c:pt idx="0">
                  <c:v>Menor a 1 año</c:v>
                </c:pt>
                <c:pt idx="1">
                  <c:v>Entre 1 a 4 años</c:v>
                </c:pt>
                <c:pt idx="2">
                  <c:v>Más de 4 años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Procesamiento_Info!$D$75:$D$78</c15:sqref>
                  </c15:fullRef>
                </c:ext>
              </c:extLst>
              <c:f>Procesamiento_Info!$D$75:$D$77</c:f>
              <c:numCache>
                <c:formatCode>0%</c:formatCode>
                <c:ptCount val="3"/>
                <c:pt idx="0">
                  <c:v>0.25974025974025972</c:v>
                </c:pt>
                <c:pt idx="1">
                  <c:v>0.2857142857142857</c:v>
                </c:pt>
                <c:pt idx="2">
                  <c:v>0.45454545454545453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CF6-4184-A695-A496F2BF4B5A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6046280"/>
        <c:axId val="436044320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Procesamiento_Info!$C$74</c15:sqref>
                        </c15:formulaRef>
                      </c:ext>
                    </c:extLst>
                    <c:strCache>
                      <c:ptCount val="1"/>
                      <c:pt idx="0">
                        <c:v>FRECUENCIA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Procesamiento_Info!$B$75:$B$78</c15:sqref>
                        </c15:fullRef>
                        <c15:formulaRef>
                          <c15:sqref>Procesamiento_Info!$B$75:$B$77</c15:sqref>
                        </c15:formulaRef>
                      </c:ext>
                    </c:extLst>
                    <c:strCache>
                      <c:ptCount val="3"/>
                      <c:pt idx="0">
                        <c:v>Menor a 1 año</c:v>
                      </c:pt>
                      <c:pt idx="1">
                        <c:v>Entre 1 a 4 años</c:v>
                      </c:pt>
                      <c:pt idx="2">
                        <c:v>Más de 4 años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Procesamiento_Info!$C$75:$C$78</c15:sqref>
                        </c15:fullRef>
                        <c15:formulaRef>
                          <c15:sqref>Procesamiento_Info!$C$75:$C$77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</c:v>
                      </c:pt>
                      <c:pt idx="1">
                        <c:v>22</c:v>
                      </c:pt>
                      <c:pt idx="2">
                        <c:v>35</c:v>
                      </c:pt>
                    </c:numCache>
                  </c:numRef>
                </c:val>
                <c:smooth val="0"/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1-3CF6-4184-A695-A496F2BF4B5A}"/>
                  </c:ext>
                </c:extLst>
              </c15:ser>
            </c15:filteredLineSeries>
          </c:ext>
        </c:extLst>
      </c:lineChart>
      <c:catAx>
        <c:axId val="436046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6044320"/>
        <c:crosses val="autoZero"/>
        <c:auto val="1"/>
        <c:lblAlgn val="ctr"/>
        <c:lblOffset val="100"/>
        <c:noMultiLvlLbl val="0"/>
      </c:catAx>
      <c:valAx>
        <c:axId val="4360443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6046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0" i="0" kern="1200" spc="0" baseline="0">
                <a:solidFill>
                  <a:srgbClr val="595959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P_9_Clasificación del negocio</a:t>
            </a:r>
            <a:endParaRPr lang="es-CO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1"/>
          <c:order val="1"/>
          <c:tx>
            <c:strRef>
              <c:f>Procesamiento_Info!$D$87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66"/>
            </a:solidFill>
          </c:spPr>
          <c:dPt>
            <c:idx val="0"/>
            <c:bubble3D val="0"/>
            <c:spPr>
              <a:solidFill>
                <a:srgbClr val="FFFF66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492-466D-8D51-95375BDDF2B6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492-466D-8D51-95375BDDF2B6}"/>
              </c:ext>
            </c:extLst>
          </c:dPt>
          <c:dPt>
            <c:idx val="2"/>
            <c:bubble3D val="0"/>
            <c:spPr>
              <a:solidFill>
                <a:srgbClr val="FFFF66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492-466D-8D51-95375BDDF2B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Procesamiento_Info!$B$88:$B$91</c15:sqref>
                  </c15:fullRef>
                </c:ext>
              </c:extLst>
              <c:f>Procesamiento_Info!$B$88:$B$90</c:f>
              <c:strCache>
                <c:ptCount val="3"/>
                <c:pt idx="0">
                  <c:v>Mayorista</c:v>
                </c:pt>
                <c:pt idx="1">
                  <c:v>Minorista Tradicional</c:v>
                </c:pt>
                <c:pt idx="2">
                  <c:v>Minorista libre de servicios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Procesamiento_Info!$D$88:$D$91</c15:sqref>
                  </c15:fullRef>
                </c:ext>
              </c:extLst>
              <c:f>Procesamiento_Info!$D$88:$D$90</c:f>
              <c:numCache>
                <c:formatCode>0%</c:formatCode>
                <c:ptCount val="3"/>
                <c:pt idx="0">
                  <c:v>0.15584415584415584</c:v>
                </c:pt>
                <c:pt idx="1">
                  <c:v>0.77922077922077926</c:v>
                </c:pt>
                <c:pt idx="2">
                  <c:v>6.4935064935064929E-2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2492-466D-8D51-95375BDDF2B6}"/>
            </c:ext>
            <c:ext xmlns:c15="http://schemas.microsoft.com/office/drawing/2012/chart" uri="{02D57815-91ED-43cb-92C2-25804820EDAC}">
              <c15:categoryFilterExceptions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 xmlns:c16r2="http://schemas.microsoft.com/office/drawing/2015/06/chart"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Procesamiento_Info!$C$87</c15:sqref>
                        </c15:formulaRef>
                      </c:ext>
                    </c:extLst>
                    <c:strCache>
                      <c:ptCount val="1"/>
                      <c:pt idx="0">
                        <c:v>FRECUENCIA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6r2="http://schemas.microsoft.com/office/drawing/2015/06/chart">
                    <c:ext xmlns:c16="http://schemas.microsoft.com/office/drawing/2014/chart" uri="{C3380CC4-5D6E-409C-BE32-E72D297353CC}">
                      <c16:uniqueId val="{00000008-2492-466D-8D51-95375BDDF2B6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6r2="http://schemas.microsoft.com/office/drawing/2015/06/chart">
                    <c:ext xmlns:c16="http://schemas.microsoft.com/office/drawing/2014/chart" uri="{C3380CC4-5D6E-409C-BE32-E72D297353CC}">
                      <c16:uniqueId val="{0000000A-2492-466D-8D51-95375BDDF2B6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6r2="http://schemas.microsoft.com/office/drawing/2015/06/chart">
                    <c:ext xmlns:c16="http://schemas.microsoft.com/office/drawing/2014/chart" uri="{C3380CC4-5D6E-409C-BE32-E72D297353CC}">
                      <c16:uniqueId val="{0000000C-2492-466D-8D51-95375BDDF2B6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 xmlns:c16r2="http://schemas.microsoft.com/office/drawing/2015/06/chart"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Procesamiento_Info!$B$88:$B$91</c15:sqref>
                        </c15:fullRef>
                        <c15:formulaRef>
                          <c15:sqref>Procesamiento_Info!$B$88:$B$90</c15:sqref>
                        </c15:formulaRef>
                      </c:ext>
                    </c:extLst>
                    <c:strCache>
                      <c:ptCount val="3"/>
                      <c:pt idx="0">
                        <c:v>Mayorista</c:v>
                      </c:pt>
                      <c:pt idx="1">
                        <c:v>Minorista Tradicional</c:v>
                      </c:pt>
                      <c:pt idx="2">
                        <c:v>Minorista libre de servicios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Procesamiento_Info!$C$88:$C$91</c15:sqref>
                        </c15:fullRef>
                        <c15:formulaRef>
                          <c15:sqref>Procesamiento_Info!$C$88:$C$90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12</c:v>
                      </c:pt>
                      <c:pt idx="1">
                        <c:v>60</c:v>
                      </c:pt>
                      <c:pt idx="2">
                        <c:v>5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D-2492-466D-8D51-95375BDDF2B6}"/>
                  </c:ext>
                  <c:ext uri="{02D57815-91ED-43cb-92C2-25804820EDAC}">
                    <c15:categoryFilterExceptions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0" i="0" kern="1200" spc="0" baseline="0">
                <a:solidFill>
                  <a:srgbClr val="595959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P_10_Número de empleados</a:t>
            </a:r>
            <a:endParaRPr lang="es-CO" sz="1100">
              <a:effectLst/>
            </a:endParaRPr>
          </a:p>
          <a:p>
            <a:pPr>
              <a:defRPr/>
            </a:pP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Procesamiento_Info!$D$99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211-4D24-969E-45E8AE4BBFFF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211-4D24-969E-45E8AE4BBFF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Procesamiento_Info!$B$100:$B$103</c15:sqref>
                  </c15:fullRef>
                </c:ext>
              </c:extLst>
              <c:f>Procesamiento_Info!$B$100:$B$102</c:f>
              <c:strCache>
                <c:ptCount val="3"/>
                <c:pt idx="0">
                  <c:v>De 1 a 5</c:v>
                </c:pt>
                <c:pt idx="1">
                  <c:v>De 6 a 10</c:v>
                </c:pt>
                <c:pt idx="2">
                  <c:v>Más de 10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Procesamiento_Info!$D$100:$D$103</c15:sqref>
                  </c15:fullRef>
                </c:ext>
              </c:extLst>
              <c:f>Procesamiento_Info!$D$100:$D$102</c:f>
              <c:numCache>
                <c:formatCode>0%</c:formatCode>
                <c:ptCount val="3"/>
                <c:pt idx="0">
                  <c:v>0.74025974025974028</c:v>
                </c:pt>
                <c:pt idx="1">
                  <c:v>0.19480519480519481</c:v>
                </c:pt>
                <c:pt idx="2">
                  <c:v>6.4935064935064929E-2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211-4D24-969E-45E8AE4BBFF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36045104"/>
        <c:axId val="436047848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Procesamiento_Info!$C$99</c15:sqref>
                        </c15:formulaRef>
                      </c:ext>
                    </c:extLst>
                    <c:strCache>
                      <c:ptCount val="1"/>
                      <c:pt idx="0">
                        <c:v>FRECUENCIA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Procesamiento_Info!$B$100:$B$103</c15:sqref>
                        </c15:fullRef>
                        <c15:formulaRef>
                          <c15:sqref>Procesamiento_Info!$B$100:$B$102</c15:sqref>
                        </c15:formulaRef>
                      </c:ext>
                    </c:extLst>
                    <c:strCache>
                      <c:ptCount val="3"/>
                      <c:pt idx="0">
                        <c:v>De 1 a 5</c:v>
                      </c:pt>
                      <c:pt idx="1">
                        <c:v>De 6 a 10</c:v>
                      </c:pt>
                      <c:pt idx="2">
                        <c:v>Más de 10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Procesamiento_Info!$C$100:$C$103</c15:sqref>
                        </c15:fullRef>
                        <c15:formulaRef>
                          <c15:sqref>Procesamiento_Info!$C$100:$C$102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57</c:v>
                      </c:pt>
                      <c:pt idx="1">
                        <c:v>15</c:v>
                      </c:pt>
                      <c:pt idx="2">
                        <c:v>5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5-2211-4D24-969E-45E8AE4BBFFF}"/>
                  </c:ext>
                </c:extLst>
              </c15:ser>
            </c15:filteredBarSeries>
          </c:ext>
        </c:extLst>
      </c:barChart>
      <c:catAx>
        <c:axId val="43604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6047848"/>
        <c:crosses val="autoZero"/>
        <c:auto val="1"/>
        <c:lblAlgn val="ctr"/>
        <c:lblOffset val="100"/>
        <c:noMultiLvlLbl val="0"/>
      </c:catAx>
      <c:valAx>
        <c:axId val="43604784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6045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1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8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438151</xdr:colOff>
      <xdr:row>1</xdr:row>
      <xdr:rowOff>23812</xdr:rowOff>
    </xdr:from>
    <xdr:to>
      <xdr:col>9</xdr:col>
      <xdr:colOff>419101</xdr:colOff>
      <xdr:row>9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485775</xdr:colOff>
      <xdr:row>10</xdr:row>
      <xdr:rowOff>80962</xdr:rowOff>
    </xdr:from>
    <xdr:to>
      <xdr:col>9</xdr:col>
      <xdr:colOff>361950</xdr:colOff>
      <xdr:row>21</xdr:row>
      <xdr:rowOff>19050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495300</xdr:colOff>
      <xdr:row>21</xdr:row>
      <xdr:rowOff>109537</xdr:rowOff>
    </xdr:from>
    <xdr:to>
      <xdr:col>9</xdr:col>
      <xdr:colOff>342900</xdr:colOff>
      <xdr:row>32</xdr:row>
      <xdr:rowOff>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323850</xdr:colOff>
      <xdr:row>34</xdr:row>
      <xdr:rowOff>176212</xdr:rowOff>
    </xdr:from>
    <xdr:to>
      <xdr:col>9</xdr:col>
      <xdr:colOff>495300</xdr:colOff>
      <xdr:row>47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552450</xdr:colOff>
      <xdr:row>47</xdr:row>
      <xdr:rowOff>176212</xdr:rowOff>
    </xdr:from>
    <xdr:to>
      <xdr:col>9</xdr:col>
      <xdr:colOff>314325</xdr:colOff>
      <xdr:row>58</xdr:row>
      <xdr:rowOff>9525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476250</xdr:colOff>
      <xdr:row>58</xdr:row>
      <xdr:rowOff>100012</xdr:rowOff>
    </xdr:from>
    <xdr:to>
      <xdr:col>9</xdr:col>
      <xdr:colOff>361950</xdr:colOff>
      <xdr:row>69</xdr:row>
      <xdr:rowOff>123825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409575</xdr:colOff>
      <xdr:row>70</xdr:row>
      <xdr:rowOff>138112</xdr:rowOff>
    </xdr:from>
    <xdr:to>
      <xdr:col>9</xdr:col>
      <xdr:colOff>342900</xdr:colOff>
      <xdr:row>81</xdr:row>
      <xdr:rowOff>28575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152400</xdr:colOff>
      <xdr:row>82</xdr:row>
      <xdr:rowOff>4762</xdr:rowOff>
    </xdr:from>
    <xdr:to>
      <xdr:col>9</xdr:col>
      <xdr:colOff>266700</xdr:colOff>
      <xdr:row>94</xdr:row>
      <xdr:rowOff>142875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171450</xdr:colOff>
      <xdr:row>95</xdr:row>
      <xdr:rowOff>109537</xdr:rowOff>
    </xdr:from>
    <xdr:to>
      <xdr:col>9</xdr:col>
      <xdr:colOff>47625</xdr:colOff>
      <xdr:row>106</xdr:row>
      <xdr:rowOff>104775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247650</xdr:colOff>
      <xdr:row>107</xdr:row>
      <xdr:rowOff>42863</xdr:rowOff>
    </xdr:from>
    <xdr:to>
      <xdr:col>9</xdr:col>
      <xdr:colOff>533399</xdr:colOff>
      <xdr:row>117</xdr:row>
      <xdr:rowOff>95250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200026</xdr:colOff>
      <xdr:row>118</xdr:row>
      <xdr:rowOff>23812</xdr:rowOff>
    </xdr:from>
    <xdr:to>
      <xdr:col>9</xdr:col>
      <xdr:colOff>571500</xdr:colOff>
      <xdr:row>129</xdr:row>
      <xdr:rowOff>47625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276225</xdr:colOff>
      <xdr:row>129</xdr:row>
      <xdr:rowOff>138112</xdr:rowOff>
    </xdr:from>
    <xdr:to>
      <xdr:col>9</xdr:col>
      <xdr:colOff>504825</xdr:colOff>
      <xdr:row>141</xdr:row>
      <xdr:rowOff>38100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200026</xdr:colOff>
      <xdr:row>141</xdr:row>
      <xdr:rowOff>138113</xdr:rowOff>
    </xdr:from>
    <xdr:to>
      <xdr:col>9</xdr:col>
      <xdr:colOff>542926</xdr:colOff>
      <xdr:row>153</xdr:row>
      <xdr:rowOff>57151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</xdr:col>
      <xdr:colOff>190499</xdr:colOff>
      <xdr:row>154</xdr:row>
      <xdr:rowOff>0</xdr:rowOff>
    </xdr:from>
    <xdr:to>
      <xdr:col>9</xdr:col>
      <xdr:colOff>676275</xdr:colOff>
      <xdr:row>165</xdr:row>
      <xdr:rowOff>85725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</xdr:col>
      <xdr:colOff>419100</xdr:colOff>
      <xdr:row>166</xdr:row>
      <xdr:rowOff>42862</xdr:rowOff>
    </xdr:from>
    <xdr:to>
      <xdr:col>9</xdr:col>
      <xdr:colOff>438150</xdr:colOff>
      <xdr:row>178</xdr:row>
      <xdr:rowOff>123825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</xdr:col>
      <xdr:colOff>276224</xdr:colOff>
      <xdr:row>179</xdr:row>
      <xdr:rowOff>52387</xdr:rowOff>
    </xdr:from>
    <xdr:to>
      <xdr:col>9</xdr:col>
      <xdr:colOff>457199</xdr:colOff>
      <xdr:row>191</xdr:row>
      <xdr:rowOff>133350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</xdr:col>
      <xdr:colOff>333375</xdr:colOff>
      <xdr:row>192</xdr:row>
      <xdr:rowOff>42862</xdr:rowOff>
    </xdr:from>
    <xdr:to>
      <xdr:col>9</xdr:col>
      <xdr:colOff>371475</xdr:colOff>
      <xdr:row>204</xdr:row>
      <xdr:rowOff>57150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4</xdr:col>
      <xdr:colOff>209550</xdr:colOff>
      <xdr:row>204</xdr:row>
      <xdr:rowOff>166687</xdr:rowOff>
    </xdr:from>
    <xdr:to>
      <xdr:col>10</xdr:col>
      <xdr:colOff>209550</xdr:colOff>
      <xdr:row>219</xdr:row>
      <xdr:rowOff>52387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</xdr:col>
      <xdr:colOff>285750</xdr:colOff>
      <xdr:row>221</xdr:row>
      <xdr:rowOff>4762</xdr:rowOff>
    </xdr:from>
    <xdr:to>
      <xdr:col>9</xdr:col>
      <xdr:colOff>628650</xdr:colOff>
      <xdr:row>232</xdr:row>
      <xdr:rowOff>66675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4</xdr:col>
      <xdr:colOff>228600</xdr:colOff>
      <xdr:row>233</xdr:row>
      <xdr:rowOff>52387</xdr:rowOff>
    </xdr:from>
    <xdr:to>
      <xdr:col>9</xdr:col>
      <xdr:colOff>495300</xdr:colOff>
      <xdr:row>245</xdr:row>
      <xdr:rowOff>152400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4</xdr:col>
      <xdr:colOff>123824</xdr:colOff>
      <xdr:row>246</xdr:row>
      <xdr:rowOff>61912</xdr:rowOff>
    </xdr:from>
    <xdr:to>
      <xdr:col>9</xdr:col>
      <xdr:colOff>704849</xdr:colOff>
      <xdr:row>258</xdr:row>
      <xdr:rowOff>171450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4</xdr:col>
      <xdr:colOff>142875</xdr:colOff>
      <xdr:row>259</xdr:row>
      <xdr:rowOff>109537</xdr:rowOff>
    </xdr:from>
    <xdr:to>
      <xdr:col>10</xdr:col>
      <xdr:colOff>85725</xdr:colOff>
      <xdr:row>272</xdr:row>
      <xdr:rowOff>161925</xdr:rowOff>
    </xdr:to>
    <xdr:graphicFrame macro="">
      <xdr:nvGraphicFramePr>
        <xdr:cNvPr id="23" name="Gráfico 22"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</xdr:col>
      <xdr:colOff>104774</xdr:colOff>
      <xdr:row>273</xdr:row>
      <xdr:rowOff>109537</xdr:rowOff>
    </xdr:from>
    <xdr:to>
      <xdr:col>12</xdr:col>
      <xdr:colOff>38099</xdr:colOff>
      <xdr:row>286</xdr:row>
      <xdr:rowOff>133350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4</xdr:col>
      <xdr:colOff>142875</xdr:colOff>
      <xdr:row>299</xdr:row>
      <xdr:rowOff>71437</xdr:rowOff>
    </xdr:from>
    <xdr:to>
      <xdr:col>10</xdr:col>
      <xdr:colOff>142875</xdr:colOff>
      <xdr:row>313</xdr:row>
      <xdr:rowOff>147637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4</xdr:col>
      <xdr:colOff>276224</xdr:colOff>
      <xdr:row>314</xdr:row>
      <xdr:rowOff>100012</xdr:rowOff>
    </xdr:from>
    <xdr:to>
      <xdr:col>11</xdr:col>
      <xdr:colOff>114299</xdr:colOff>
      <xdr:row>327</xdr:row>
      <xdr:rowOff>180975</xdr:rowOff>
    </xdr:to>
    <xdr:graphicFrame macro="">
      <xdr:nvGraphicFramePr>
        <xdr:cNvPr id="27" name="Gráfico 26">
          <a:extLst>
            <a:ext uri="{FF2B5EF4-FFF2-40B4-BE49-F238E27FC236}">
              <a16:creationId xmlns:a16="http://schemas.microsoft.com/office/drawing/2014/main" xmlns="" id="{00000000-0008-0000-0100-00001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4</xdr:col>
      <xdr:colOff>361949</xdr:colOff>
      <xdr:row>287</xdr:row>
      <xdr:rowOff>42862</xdr:rowOff>
    </xdr:from>
    <xdr:to>
      <xdr:col>10</xdr:col>
      <xdr:colOff>600074</xdr:colOff>
      <xdr:row>299</xdr:row>
      <xdr:rowOff>104775</xdr:rowOff>
    </xdr:to>
    <xdr:graphicFrame macro="">
      <xdr:nvGraphicFramePr>
        <xdr:cNvPr id="28" name="Gráfico 2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14286</xdr:rowOff>
    </xdr:from>
    <xdr:to>
      <xdr:col>14</xdr:col>
      <xdr:colOff>361949</xdr:colOff>
      <xdr:row>10</xdr:row>
      <xdr:rowOff>333375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AB1ECB28-F5BA-E482-74EF-D39F09F36D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514350</xdr:colOff>
      <xdr:row>2</xdr:row>
      <xdr:rowOff>109537</xdr:rowOff>
    </xdr:from>
    <xdr:to>
      <xdr:col>16</xdr:col>
      <xdr:colOff>514350</xdr:colOff>
      <xdr:row>16</xdr:row>
      <xdr:rowOff>185737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542925</xdr:colOff>
      <xdr:row>2</xdr:row>
      <xdr:rowOff>119062</xdr:rowOff>
    </xdr:from>
    <xdr:to>
      <xdr:col>16</xdr:col>
      <xdr:colOff>542925</xdr:colOff>
      <xdr:row>9</xdr:row>
      <xdr:rowOff>61912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514349</xdr:colOff>
      <xdr:row>0</xdr:row>
      <xdr:rowOff>185736</xdr:rowOff>
    </xdr:from>
    <xdr:to>
      <xdr:col>13</xdr:col>
      <xdr:colOff>304799</xdr:colOff>
      <xdr:row>17</xdr:row>
      <xdr:rowOff>19049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542925</xdr:colOff>
      <xdr:row>17</xdr:row>
      <xdr:rowOff>128587</xdr:rowOff>
    </xdr:from>
    <xdr:to>
      <xdr:col>12</xdr:col>
      <xdr:colOff>133350</xdr:colOff>
      <xdr:row>32</xdr:row>
      <xdr:rowOff>14287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438150</xdr:colOff>
      <xdr:row>2</xdr:row>
      <xdr:rowOff>14287</xdr:rowOff>
    </xdr:from>
    <xdr:to>
      <xdr:col>13</xdr:col>
      <xdr:colOff>438150</xdr:colOff>
      <xdr:row>16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733425</xdr:colOff>
      <xdr:row>1</xdr:row>
      <xdr:rowOff>42862</xdr:rowOff>
    </xdr:from>
    <xdr:to>
      <xdr:col>13</xdr:col>
      <xdr:colOff>733425</xdr:colOff>
      <xdr:row>15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640EA2C3-219C-C151-ABCE-BB3E2502C2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619124</xdr:colOff>
      <xdr:row>5</xdr:row>
      <xdr:rowOff>109537</xdr:rowOff>
    </xdr:from>
    <xdr:to>
      <xdr:col>21</xdr:col>
      <xdr:colOff>752475</xdr:colOff>
      <xdr:row>20</xdr:row>
      <xdr:rowOff>114300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0</xdr:colOff>
      <xdr:row>4</xdr:row>
      <xdr:rowOff>0</xdr:rowOff>
    </xdr:from>
    <xdr:to>
      <xdr:col>30</xdr:col>
      <xdr:colOff>438150</xdr:colOff>
      <xdr:row>20</xdr:row>
      <xdr:rowOff>33339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DFD0302B-E85C-576C-84AE-80253545AD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10</xdr:row>
      <xdr:rowOff>28575</xdr:rowOff>
    </xdr:from>
    <xdr:to>
      <xdr:col>12</xdr:col>
      <xdr:colOff>571500</xdr:colOff>
      <xdr:row>24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8DA5CB8E-CE73-E839-5660-B0A8F031F0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0</xdr:colOff>
      <xdr:row>4</xdr:row>
      <xdr:rowOff>0</xdr:rowOff>
    </xdr:from>
    <xdr:to>
      <xdr:col>24</xdr:col>
      <xdr:colOff>752475</xdr:colOff>
      <xdr:row>23</xdr:row>
      <xdr:rowOff>19050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C0852437-8084-2C67-BA6E-1659E73D84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171450</xdr:colOff>
      <xdr:row>1</xdr:row>
      <xdr:rowOff>119062</xdr:rowOff>
    </xdr:from>
    <xdr:to>
      <xdr:col>13</xdr:col>
      <xdr:colOff>171450</xdr:colOff>
      <xdr:row>16</xdr:row>
      <xdr:rowOff>4762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olina%20Espa&#241;ol/Downloads/Villeta/Info_Encuestas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ación"/>
      <sheetName val="Procesamiento_Info"/>
      <sheetName val="P_14_Cual"/>
      <sheetName val="P_15B"/>
      <sheetName val="P_16A&amp;B"/>
      <sheetName val="P_17_Cual"/>
      <sheetName val="P_18_Cual"/>
      <sheetName val="P_19_Cual"/>
      <sheetName val="P_21_Cual"/>
      <sheetName val="P_22_Cual"/>
      <sheetName val="P_37_Cual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Z3" t="str">
            <v>FRECUENCIA</v>
          </cell>
          <cell r="AA3" t="str">
            <v>%</v>
          </cell>
        </row>
        <row r="4">
          <cell r="Y4" t="str">
            <v>A clientes seleccionados</v>
          </cell>
          <cell r="Z4">
            <v>15</v>
          </cell>
          <cell r="AA4">
            <v>6.637168141592921E-2</v>
          </cell>
        </row>
        <row r="5">
          <cell r="Y5" t="str">
            <v>A final de mes y fin de semana</v>
          </cell>
          <cell r="Z5">
            <v>4</v>
          </cell>
          <cell r="AA5">
            <v>1.7699115044247787E-2</v>
          </cell>
        </row>
        <row r="6">
          <cell r="Y6" t="str">
            <v>Atención del establecimiento</v>
          </cell>
          <cell r="Z6">
            <v>122</v>
          </cell>
          <cell r="AA6">
            <v>0.53982300884955747</v>
          </cell>
        </row>
        <row r="7">
          <cell r="Y7" t="str">
            <v>Catalogos de promociones</v>
          </cell>
          <cell r="Z7">
            <v>3</v>
          </cell>
          <cell r="AA7">
            <v>1.3274336283185841E-2</v>
          </cell>
        </row>
        <row r="8">
          <cell r="Y8" t="str">
            <v>Comercialización de los productos</v>
          </cell>
          <cell r="Z8">
            <v>8</v>
          </cell>
          <cell r="AA8">
            <v>3.5398230088495575E-2</v>
          </cell>
        </row>
        <row r="9">
          <cell r="Y9" t="str">
            <v>Depende del proveedor y la calidad del producto</v>
          </cell>
          <cell r="Z9">
            <v>26</v>
          </cell>
          <cell r="AA9">
            <v>0.11504424778761062</v>
          </cell>
        </row>
        <row r="10">
          <cell r="Y10" t="str">
            <v>Descuentos según la compra</v>
          </cell>
          <cell r="Z10">
            <v>3</v>
          </cell>
          <cell r="AA10">
            <v>1.3274336283185841E-2</v>
          </cell>
        </row>
        <row r="11">
          <cell r="Y11" t="str">
            <v>Empresas de camara y comercio</v>
          </cell>
          <cell r="Z11">
            <v>1</v>
          </cell>
          <cell r="AA11">
            <v>4.4247787610619468E-3</v>
          </cell>
        </row>
        <row r="12">
          <cell r="Y12" t="str">
            <v>Entrega domicilios puerta a puerta</v>
          </cell>
          <cell r="Z12">
            <v>19</v>
          </cell>
          <cell r="AA12">
            <v>8.4070796460176997E-2</v>
          </cell>
        </row>
        <row r="13">
          <cell r="Y13" t="str">
            <v>Mejoramiento de mercado</v>
          </cell>
          <cell r="Z13">
            <v>7</v>
          </cell>
          <cell r="AA13">
            <v>3.0973451327433628E-2</v>
          </cell>
        </row>
        <row r="14">
          <cell r="Y14" t="str">
            <v>Ofertas</v>
          </cell>
          <cell r="Z14">
            <v>18</v>
          </cell>
          <cell r="AA14">
            <v>7.9646017699115043E-2</v>
          </cell>
        </row>
        <row r="15">
          <cell r="Y15" t="str">
            <v>TOTAL</v>
          </cell>
          <cell r="Z15">
            <v>226</v>
          </cell>
          <cell r="AA15">
            <v>1</v>
          </cell>
        </row>
      </sheetData>
      <sheetData sheetId="8">
        <row r="3">
          <cell r="J3" t="str">
            <v>Frecuencia</v>
          </cell>
          <cell r="P3" t="str">
            <v>Frecuencia</v>
          </cell>
        </row>
        <row r="4">
          <cell r="I4" t="str">
            <v>Aseo Personal</v>
          </cell>
          <cell r="J4">
            <v>68</v>
          </cell>
          <cell r="O4" t="str">
            <v>Aseo Personal-Depende de la Provisión</v>
          </cell>
          <cell r="P4">
            <v>9</v>
          </cell>
        </row>
        <row r="5">
          <cell r="I5" t="str">
            <v>Droguería</v>
          </cell>
          <cell r="J5">
            <v>56</v>
          </cell>
          <cell r="O5" t="str">
            <v>Aseo Personal-Mensual</v>
          </cell>
          <cell r="P5">
            <v>45</v>
          </cell>
        </row>
        <row r="6">
          <cell r="I6" t="str">
            <v>Dulces y Paquetes</v>
          </cell>
          <cell r="J6">
            <v>64</v>
          </cell>
          <cell r="O6" t="str">
            <v>Aseo Personal-Quincenal</v>
          </cell>
          <cell r="P6">
            <v>16</v>
          </cell>
        </row>
        <row r="7">
          <cell r="I7" t="str">
            <v>Farmacia</v>
          </cell>
          <cell r="J7">
            <v>8</v>
          </cell>
          <cell r="O7" t="str">
            <v>Aseo Personal-Semanal</v>
          </cell>
          <cell r="P7">
            <v>2</v>
          </cell>
        </row>
        <row r="8">
          <cell r="I8" t="str">
            <v>Limpieza</v>
          </cell>
          <cell r="J8">
            <v>64</v>
          </cell>
          <cell r="O8" t="str">
            <v>Droguería-Depende de la Provisión</v>
          </cell>
          <cell r="P8">
            <v>19</v>
          </cell>
        </row>
        <row r="9">
          <cell r="O9" t="str">
            <v>Droguería-Mensual</v>
          </cell>
          <cell r="P9">
            <v>1</v>
          </cell>
        </row>
        <row r="10">
          <cell r="O10" t="str">
            <v>Droguería-Quincenal</v>
          </cell>
          <cell r="P10">
            <v>3</v>
          </cell>
        </row>
        <row r="11">
          <cell r="O11" t="str">
            <v>Droguería-Semanal</v>
          </cell>
          <cell r="P11">
            <v>7</v>
          </cell>
        </row>
        <row r="12">
          <cell r="O12" t="str">
            <v>Dulces y Paquetes-Depende de la Provisión</v>
          </cell>
          <cell r="P12">
            <v>30</v>
          </cell>
        </row>
        <row r="13">
          <cell r="O13" t="str">
            <v>Dulces y Paquetes-Diario</v>
          </cell>
          <cell r="P13">
            <v>4</v>
          </cell>
        </row>
        <row r="14">
          <cell r="O14" t="str">
            <v>Dulces y Paquetes-Mensual</v>
          </cell>
          <cell r="P14">
            <v>17</v>
          </cell>
        </row>
        <row r="15">
          <cell r="O15" t="str">
            <v>Dulces y Paquetes-Quincenal</v>
          </cell>
          <cell r="P15">
            <v>6</v>
          </cell>
        </row>
        <row r="16">
          <cell r="O16" t="str">
            <v>Dulces y Paquetes-Semanal</v>
          </cell>
          <cell r="P16">
            <v>22</v>
          </cell>
        </row>
        <row r="17">
          <cell r="O17" t="str">
            <v>Farmacia-Mensual</v>
          </cell>
          <cell r="P17">
            <v>17</v>
          </cell>
        </row>
        <row r="18">
          <cell r="O18" t="str">
            <v>Farmacia-Quincenal</v>
          </cell>
          <cell r="P18">
            <v>17</v>
          </cell>
        </row>
        <row r="19">
          <cell r="O19" t="str">
            <v>Farmacia-Semanal</v>
          </cell>
          <cell r="P19">
            <v>23</v>
          </cell>
        </row>
        <row r="20">
          <cell r="O20" t="str">
            <v>Limpieza-Depende de la Provisión</v>
          </cell>
          <cell r="P20">
            <v>3</v>
          </cell>
        </row>
        <row r="21">
          <cell r="O21" t="str">
            <v>Limpieza-Mensual</v>
          </cell>
          <cell r="P21">
            <v>3</v>
          </cell>
        </row>
        <row r="22">
          <cell r="O22" t="str">
            <v>Limpieza-Quincenal</v>
          </cell>
          <cell r="P22">
            <v>9</v>
          </cell>
        </row>
        <row r="23">
          <cell r="O23" t="str">
            <v>Limpieza-Semanal</v>
          </cell>
          <cell r="P23">
            <v>7</v>
          </cell>
        </row>
      </sheetData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fe2000@hotmail.com" TargetMode="External"/><Relationship Id="rId13" Type="http://schemas.openxmlformats.org/officeDocument/2006/relationships/hyperlink" Target="mailto:leonardopulidomahecha@gmail.com" TargetMode="External"/><Relationship Id="rId18" Type="http://schemas.openxmlformats.org/officeDocument/2006/relationships/hyperlink" Target="mailto:marisolnavasramirez@gmail.com" TargetMode="External"/><Relationship Id="rId3" Type="http://schemas.openxmlformats.org/officeDocument/2006/relationships/hyperlink" Target="mailto:estefanny14112@gmail.com" TargetMode="External"/><Relationship Id="rId21" Type="http://schemas.openxmlformats.org/officeDocument/2006/relationships/hyperlink" Target="mailto:lenoleins@hotmail.com" TargetMode="External"/><Relationship Id="rId7" Type="http://schemas.openxmlformats.org/officeDocument/2006/relationships/hyperlink" Target="mailto:carlogonzalez04@gmail.com" TargetMode="External"/><Relationship Id="rId12" Type="http://schemas.openxmlformats.org/officeDocument/2006/relationships/hyperlink" Target="mailto:vivanaalarcon.856@gmail.com" TargetMode="External"/><Relationship Id="rId17" Type="http://schemas.openxmlformats.org/officeDocument/2006/relationships/hyperlink" Target="mailto:astrid.tour@hotmail.com" TargetMode="External"/><Relationship Id="rId2" Type="http://schemas.openxmlformats.org/officeDocument/2006/relationships/hyperlink" Target="mailto:arisbelgaraba@gmail.com" TargetMode="External"/><Relationship Id="rId16" Type="http://schemas.openxmlformats.org/officeDocument/2006/relationships/hyperlink" Target="mailto:mireyaurquijo190@gmail.com" TargetMode="External"/><Relationship Id="rId20" Type="http://schemas.openxmlformats.org/officeDocument/2006/relationships/hyperlink" Target="mailto:laura.oyode26@hotmail.com" TargetMode="External"/><Relationship Id="rId1" Type="http://schemas.openxmlformats.org/officeDocument/2006/relationships/hyperlink" Target="mailto:rubimarin2028@hotmail.com" TargetMode="External"/><Relationship Id="rId6" Type="http://schemas.openxmlformats.org/officeDocument/2006/relationships/hyperlink" Target="mailto:andresfelipelopez@gmail.com" TargetMode="External"/><Relationship Id="rId11" Type="http://schemas.openxmlformats.org/officeDocument/2006/relationships/hyperlink" Target="mailto:luis.calderon101010@gmail.com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tatianarodriguez073@gmail.com" TargetMode="External"/><Relationship Id="rId15" Type="http://schemas.openxmlformats.org/officeDocument/2006/relationships/hyperlink" Target="mailto:lixon.gaviria@misena.edu.co" TargetMode="External"/><Relationship Id="rId23" Type="http://schemas.openxmlformats.org/officeDocument/2006/relationships/hyperlink" Target="mailto:katherinerodriguez@hotmail.com" TargetMode="External"/><Relationship Id="rId10" Type="http://schemas.openxmlformats.org/officeDocument/2006/relationships/hyperlink" Target="mailto:jhonace263@hotmail.com" TargetMode="External"/><Relationship Id="rId19" Type="http://schemas.openxmlformats.org/officeDocument/2006/relationships/hyperlink" Target="mailto:supert.da@gmail.com" TargetMode="External"/><Relationship Id="rId4" Type="http://schemas.openxmlformats.org/officeDocument/2006/relationships/hyperlink" Target="mailto:helenporodar2345@gmail.com" TargetMode="External"/><Relationship Id="rId9" Type="http://schemas.openxmlformats.org/officeDocument/2006/relationships/hyperlink" Target="mailto:yamithoo@hotmail.com" TargetMode="External"/><Relationship Id="rId14" Type="http://schemas.openxmlformats.org/officeDocument/2006/relationships/hyperlink" Target="mailto:marisoltriana@yahoo.es" TargetMode="External"/><Relationship Id="rId22" Type="http://schemas.openxmlformats.org/officeDocument/2006/relationships/hyperlink" Target="mailto:leidy_ospina93@hotmail.com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324"/>
  <sheetViews>
    <sheetView zoomScale="93" zoomScaleNormal="93" zoomScaleSheetLayoutView="95" workbookViewId="0">
      <pane xSplit="1" ySplit="4" topLeftCell="AI305" activePane="bottomRight" state="frozen"/>
      <selection pane="topRight" activeCell="B1" sqref="B1"/>
      <selection pane="bottomLeft" activeCell="A15" sqref="A15"/>
      <selection pane="bottomRight" activeCell="AM313" sqref="AM313"/>
    </sheetView>
  </sheetViews>
  <sheetFormatPr baseColWidth="10" defaultRowHeight="15" x14ac:dyDescent="0.25"/>
  <cols>
    <col min="1" max="1" width="13.140625" customWidth="1"/>
    <col min="2" max="2" width="11.7109375" customWidth="1"/>
    <col min="3" max="3" width="36.85546875" bestFit="1" customWidth="1"/>
    <col min="4" max="4" width="9.42578125" customWidth="1"/>
    <col min="5" max="5" width="10.85546875" customWidth="1"/>
    <col min="6" max="6" width="14.5703125" bestFit="1" customWidth="1"/>
    <col min="7" max="7" width="12" bestFit="1" customWidth="1"/>
    <col min="8" max="8" width="27" customWidth="1"/>
    <col min="9" max="9" width="13" customWidth="1"/>
    <col min="10" max="10" width="22.85546875" customWidth="1"/>
    <col min="11" max="11" width="19.5703125" customWidth="1"/>
    <col min="12" max="12" width="19.42578125" customWidth="1"/>
    <col min="13" max="13" width="18.140625" customWidth="1"/>
    <col min="14" max="14" width="22" customWidth="1"/>
    <col min="15" max="15" width="18.5703125" customWidth="1"/>
    <col min="16" max="16" width="13.5703125" bestFit="1" customWidth="1"/>
    <col min="17" max="20" width="19.85546875" customWidth="1"/>
    <col min="21" max="21" width="29.42578125" customWidth="1"/>
    <col min="22" max="22" width="18.85546875" customWidth="1"/>
    <col min="23" max="23" width="25.5703125" bestFit="1" customWidth="1"/>
    <col min="24" max="25" width="18.85546875" customWidth="1"/>
    <col min="26" max="26" width="20.7109375" style="34" customWidth="1"/>
    <col min="27" max="27" width="27.7109375" style="34" customWidth="1"/>
    <col min="28" max="28" width="26.5703125" style="34" customWidth="1"/>
    <col min="29" max="29" width="29.7109375" bestFit="1" customWidth="1"/>
    <col min="30" max="30" width="20.42578125" customWidth="1"/>
    <col min="31" max="31" width="18.85546875" style="34" customWidth="1"/>
    <col min="32" max="33" width="24.85546875" style="34" customWidth="1"/>
    <col min="34" max="34" width="40" style="34" customWidth="1"/>
    <col min="35" max="35" width="18.42578125" customWidth="1"/>
    <col min="36" max="36" width="44.140625" bestFit="1" customWidth="1"/>
    <col min="37" max="37" width="18.5703125" style="34" customWidth="1"/>
    <col min="38" max="38" width="23.42578125" style="34" bestFit="1" customWidth="1"/>
    <col min="39" max="39" width="32.7109375" style="34" customWidth="1"/>
    <col min="40" max="40" width="27.85546875" bestFit="1" customWidth="1"/>
    <col min="41" max="41" width="18.140625" customWidth="1"/>
    <col min="42" max="42" width="17" customWidth="1"/>
    <col min="43" max="43" width="20.7109375" bestFit="1" customWidth="1"/>
    <col min="44" max="44" width="17" bestFit="1" customWidth="1"/>
    <col min="45" max="45" width="21.5703125" bestFit="1" customWidth="1"/>
    <col min="46" max="46" width="12.5703125" bestFit="1" customWidth="1"/>
    <col min="47" max="47" width="18.7109375" bestFit="1" customWidth="1"/>
    <col min="48" max="48" width="17.7109375" bestFit="1" customWidth="1"/>
    <col min="49" max="49" width="18.140625" bestFit="1" customWidth="1"/>
    <col min="50" max="50" width="18.7109375" customWidth="1"/>
    <col min="51" max="51" width="18.140625" bestFit="1" customWidth="1"/>
    <col min="52" max="52" width="26.28515625" customWidth="1"/>
    <col min="53" max="53" width="18.140625" bestFit="1" customWidth="1"/>
    <col min="54" max="54" width="18" bestFit="1" customWidth="1"/>
    <col min="55" max="55" width="18.140625" bestFit="1" customWidth="1"/>
    <col min="56" max="56" width="25.140625" customWidth="1"/>
    <col min="57" max="57" width="18.140625" bestFit="1" customWidth="1"/>
    <col min="58" max="58" width="20.42578125" bestFit="1" customWidth="1"/>
    <col min="59" max="59" width="18.140625" bestFit="1" customWidth="1"/>
    <col min="60" max="60" width="22.5703125" customWidth="1"/>
    <col min="61" max="61" width="22.42578125" customWidth="1"/>
    <col min="62" max="62" width="18.5703125" customWidth="1"/>
    <col min="63" max="63" width="26.28515625" customWidth="1"/>
    <col min="64" max="64" width="18.140625" bestFit="1" customWidth="1"/>
    <col min="65" max="65" width="32.5703125" customWidth="1"/>
    <col min="66" max="66" width="16.42578125" customWidth="1"/>
    <col min="67" max="67" width="28.7109375" bestFit="1" customWidth="1"/>
  </cols>
  <sheetData>
    <row r="1" spans="1:68" ht="15.75" thickBot="1" x14ac:dyDescent="0.3">
      <c r="Z1"/>
      <c r="AA1"/>
      <c r="AB1"/>
      <c r="AE1"/>
      <c r="AF1"/>
      <c r="AG1"/>
      <c r="AH1"/>
      <c r="AK1"/>
      <c r="AL1"/>
      <c r="AM1"/>
      <c r="BK1" s="11"/>
    </row>
    <row r="2" spans="1:68" ht="49.5" customHeight="1" thickBot="1" x14ac:dyDescent="0.3">
      <c r="A2" s="145" t="s">
        <v>411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146"/>
      <c r="AL2" s="146"/>
      <c r="AM2" s="146"/>
      <c r="AN2" s="146"/>
      <c r="AO2" s="146"/>
      <c r="AP2" s="146"/>
      <c r="AQ2" s="146"/>
      <c r="AR2" s="146"/>
      <c r="AS2" s="146"/>
      <c r="AT2" s="146"/>
      <c r="AU2" s="146"/>
      <c r="AV2" s="146"/>
      <c r="AW2" s="146"/>
      <c r="AX2" s="146"/>
      <c r="AY2" s="146"/>
      <c r="AZ2" s="146"/>
      <c r="BA2" s="146"/>
      <c r="BB2" s="146"/>
      <c r="BC2" s="146"/>
      <c r="BD2" s="146"/>
      <c r="BE2" s="146"/>
      <c r="BF2" s="146"/>
      <c r="BG2" s="146"/>
      <c r="BH2" s="146"/>
      <c r="BI2" s="146"/>
      <c r="BJ2" s="146"/>
      <c r="BK2" s="146"/>
      <c r="BL2" s="146"/>
      <c r="BM2" s="146"/>
      <c r="BN2" s="146"/>
      <c r="BO2" s="146"/>
      <c r="BP2" s="147"/>
    </row>
    <row r="3" spans="1:68" ht="30" customHeight="1" thickBot="1" x14ac:dyDescent="0.3">
      <c r="A3" s="158" t="s">
        <v>51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60"/>
      <c r="Z3" s="151" t="s">
        <v>57</v>
      </c>
      <c r="AA3" s="152"/>
      <c r="AB3" s="152"/>
      <c r="AC3" s="152"/>
      <c r="AD3" s="152"/>
      <c r="AE3" s="152"/>
      <c r="AF3" s="152"/>
      <c r="AG3" s="152"/>
      <c r="AH3" s="152"/>
      <c r="AI3" s="152"/>
      <c r="AJ3" s="152"/>
      <c r="AK3" s="153" t="s">
        <v>58</v>
      </c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61" t="s">
        <v>60</v>
      </c>
      <c r="AW3" s="162"/>
      <c r="AX3" s="162"/>
      <c r="AY3" s="162"/>
      <c r="AZ3" s="162"/>
      <c r="BA3" s="162"/>
      <c r="BB3" s="163" t="s">
        <v>62</v>
      </c>
      <c r="BC3" s="164"/>
      <c r="BD3" s="164"/>
      <c r="BE3" s="164"/>
      <c r="BF3" s="164"/>
      <c r="BG3" s="164"/>
      <c r="BH3" s="148" t="s">
        <v>63</v>
      </c>
      <c r="BI3" s="149"/>
      <c r="BJ3" s="149"/>
      <c r="BK3" s="149"/>
      <c r="BL3" s="149"/>
      <c r="BM3" s="149"/>
      <c r="BN3" s="149"/>
      <c r="BO3" s="149"/>
      <c r="BP3" s="150"/>
    </row>
    <row r="4" spans="1:68" ht="27.75" customHeight="1" x14ac:dyDescent="0.25">
      <c r="A4" s="17" t="s">
        <v>55</v>
      </c>
      <c r="B4" s="18" t="s">
        <v>7</v>
      </c>
      <c r="C4" s="18" t="s">
        <v>9</v>
      </c>
      <c r="D4" s="18" t="s">
        <v>8</v>
      </c>
      <c r="E4" s="18" t="s">
        <v>10</v>
      </c>
      <c r="F4" s="18" t="s">
        <v>11</v>
      </c>
      <c r="G4" s="18" t="s">
        <v>12</v>
      </c>
      <c r="H4" s="19" t="s">
        <v>13</v>
      </c>
      <c r="I4" s="19" t="s">
        <v>14</v>
      </c>
      <c r="J4" s="19" t="s">
        <v>15</v>
      </c>
      <c r="K4" s="19" t="s">
        <v>56</v>
      </c>
      <c r="L4" s="19" t="s">
        <v>52</v>
      </c>
      <c r="M4" s="19" t="s">
        <v>53</v>
      </c>
      <c r="N4" s="19" t="s">
        <v>16</v>
      </c>
      <c r="O4" s="19" t="s">
        <v>64</v>
      </c>
      <c r="P4" s="19" t="s">
        <v>65</v>
      </c>
      <c r="Q4" s="19" t="s">
        <v>66</v>
      </c>
      <c r="R4" s="155" t="s">
        <v>67</v>
      </c>
      <c r="S4" s="156"/>
      <c r="T4" s="156"/>
      <c r="U4" s="157"/>
      <c r="V4" s="155" t="s">
        <v>54</v>
      </c>
      <c r="W4" s="156"/>
      <c r="X4" s="156"/>
      <c r="Y4" s="157"/>
      <c r="Z4" s="122" t="s">
        <v>20</v>
      </c>
      <c r="AA4" s="122" t="s">
        <v>17</v>
      </c>
      <c r="AB4" s="122" t="s">
        <v>663</v>
      </c>
      <c r="AC4" s="20" t="s">
        <v>18</v>
      </c>
      <c r="AD4" s="20" t="s">
        <v>19</v>
      </c>
      <c r="AE4" s="122" t="s">
        <v>438</v>
      </c>
      <c r="AF4" s="122" t="s">
        <v>69</v>
      </c>
      <c r="AG4" s="122" t="s">
        <v>664</v>
      </c>
      <c r="AH4" s="122" t="s">
        <v>68</v>
      </c>
      <c r="AI4" s="20" t="s">
        <v>22</v>
      </c>
      <c r="AJ4" s="21" t="s">
        <v>21</v>
      </c>
      <c r="AK4" s="141" t="s">
        <v>23</v>
      </c>
      <c r="AL4" s="142" t="s">
        <v>70</v>
      </c>
      <c r="AM4" s="142" t="s">
        <v>665</v>
      </c>
      <c r="AN4" s="22" t="s">
        <v>24</v>
      </c>
      <c r="AO4" s="22" t="s">
        <v>25</v>
      </c>
      <c r="AP4" s="22" t="s">
        <v>26</v>
      </c>
      <c r="AQ4" s="23" t="s">
        <v>27</v>
      </c>
      <c r="AR4" s="22" t="s">
        <v>28</v>
      </c>
      <c r="AS4" s="23" t="s">
        <v>29</v>
      </c>
      <c r="AT4" s="22" t="s">
        <v>30</v>
      </c>
      <c r="AU4" s="23" t="s">
        <v>31</v>
      </c>
      <c r="AV4" s="24" t="s">
        <v>32</v>
      </c>
      <c r="AW4" s="25" t="s">
        <v>33</v>
      </c>
      <c r="AX4" s="24" t="s">
        <v>59</v>
      </c>
      <c r="AY4" s="25" t="s">
        <v>34</v>
      </c>
      <c r="AZ4" s="24" t="s">
        <v>61</v>
      </c>
      <c r="BA4" s="25" t="s">
        <v>35</v>
      </c>
      <c r="BB4" s="26" t="s">
        <v>37</v>
      </c>
      <c r="BC4" s="27" t="s">
        <v>36</v>
      </c>
      <c r="BD4" s="26" t="s">
        <v>39</v>
      </c>
      <c r="BE4" s="27" t="s">
        <v>38</v>
      </c>
      <c r="BF4" s="26" t="s">
        <v>40</v>
      </c>
      <c r="BG4" s="27" t="s">
        <v>41</v>
      </c>
      <c r="BH4" s="28" t="s">
        <v>42</v>
      </c>
      <c r="BI4" s="28" t="s">
        <v>44</v>
      </c>
      <c r="BJ4" s="28" t="s">
        <v>43</v>
      </c>
      <c r="BK4" s="28" t="s">
        <v>45</v>
      </c>
      <c r="BL4" s="29" t="s">
        <v>46</v>
      </c>
      <c r="BM4" s="28" t="s">
        <v>47</v>
      </c>
      <c r="BN4" s="28" t="s">
        <v>48</v>
      </c>
      <c r="BO4" s="28" t="s">
        <v>49</v>
      </c>
      <c r="BP4" s="30" t="s">
        <v>50</v>
      </c>
    </row>
    <row r="5" spans="1:68" s="10" customFormat="1" x14ac:dyDescent="0.25">
      <c r="A5" s="35">
        <v>1</v>
      </c>
      <c r="B5" s="36">
        <v>44804</v>
      </c>
      <c r="C5" s="37" t="s">
        <v>71</v>
      </c>
      <c r="D5" s="56">
        <v>2</v>
      </c>
      <c r="E5" s="56">
        <v>2</v>
      </c>
      <c r="F5" s="56">
        <v>1</v>
      </c>
      <c r="G5" s="56">
        <v>12</v>
      </c>
      <c r="H5" s="57">
        <v>1</v>
      </c>
      <c r="I5" s="57">
        <v>1</v>
      </c>
      <c r="J5" s="57">
        <v>3</v>
      </c>
      <c r="K5" s="57">
        <v>3</v>
      </c>
      <c r="L5" s="57">
        <v>1</v>
      </c>
      <c r="M5" s="57">
        <v>3</v>
      </c>
      <c r="N5" s="57">
        <v>3</v>
      </c>
      <c r="O5" s="57">
        <v>1</v>
      </c>
      <c r="P5" s="57" t="s">
        <v>72</v>
      </c>
      <c r="Q5" s="57">
        <v>3</v>
      </c>
      <c r="R5" s="57" t="s">
        <v>73</v>
      </c>
      <c r="S5" s="57" t="s">
        <v>123</v>
      </c>
      <c r="T5" s="57" t="s">
        <v>289</v>
      </c>
      <c r="U5" s="57"/>
      <c r="V5" s="57" t="s">
        <v>74</v>
      </c>
      <c r="W5" s="57" t="s">
        <v>75</v>
      </c>
      <c r="X5" s="57" t="s">
        <v>76</v>
      </c>
      <c r="Y5" s="57"/>
      <c r="Z5" s="123" t="s">
        <v>433</v>
      </c>
      <c r="AA5" s="123" t="s">
        <v>436</v>
      </c>
      <c r="AB5" s="123" t="str">
        <f>+CONCATENATE(Z5,"-",AA5)</f>
        <v>Droguería-Semanal</v>
      </c>
      <c r="AC5" s="38" t="s">
        <v>77</v>
      </c>
      <c r="AD5" s="38" t="s">
        <v>78</v>
      </c>
      <c r="AE5" s="123" t="s">
        <v>439</v>
      </c>
      <c r="AF5" s="123" t="s">
        <v>442</v>
      </c>
      <c r="AG5" s="123" t="str">
        <f>+CONCATENATE(AE5,"-",AF5)</f>
        <v>Descuento-Mensual</v>
      </c>
      <c r="AH5" s="123" t="s">
        <v>443</v>
      </c>
      <c r="AI5" s="57">
        <v>2</v>
      </c>
      <c r="AJ5" s="38"/>
      <c r="AK5" s="123" t="s">
        <v>435</v>
      </c>
      <c r="AL5" s="123" t="s">
        <v>436</v>
      </c>
      <c r="AM5" s="123" t="str">
        <f>CONCATENATE(AK5,"-",AL5)</f>
        <v>Dulces y Paquetes-Semanal</v>
      </c>
      <c r="AN5" s="38" t="s">
        <v>79</v>
      </c>
      <c r="AO5" s="38">
        <v>1</v>
      </c>
      <c r="AP5" s="38">
        <v>2</v>
      </c>
      <c r="AQ5" s="38"/>
      <c r="AR5" s="38">
        <v>2</v>
      </c>
      <c r="AS5" s="38"/>
      <c r="AT5" s="38">
        <v>1</v>
      </c>
      <c r="AU5" s="38"/>
      <c r="AV5" s="38">
        <v>1</v>
      </c>
      <c r="AW5" s="38"/>
      <c r="AX5" s="38">
        <v>2</v>
      </c>
      <c r="AY5" s="38"/>
      <c r="AZ5" s="38">
        <v>2</v>
      </c>
      <c r="BA5" s="38"/>
      <c r="BB5" s="38">
        <v>3</v>
      </c>
      <c r="BC5" s="38"/>
      <c r="BD5" s="38">
        <v>7</v>
      </c>
      <c r="BE5" s="38"/>
      <c r="BF5" s="39">
        <v>4</v>
      </c>
      <c r="BG5" s="40"/>
      <c r="BH5" s="38">
        <v>3</v>
      </c>
      <c r="BI5" s="38" t="s">
        <v>80</v>
      </c>
      <c r="BJ5" s="38" t="s">
        <v>81</v>
      </c>
      <c r="BK5" s="38">
        <v>3</v>
      </c>
      <c r="BL5" s="40"/>
      <c r="BM5" s="40" t="s">
        <v>82</v>
      </c>
      <c r="BN5" s="40">
        <v>3188645895</v>
      </c>
      <c r="BO5" s="41" t="s">
        <v>83</v>
      </c>
      <c r="BP5" s="42" t="s">
        <v>84</v>
      </c>
    </row>
    <row r="6" spans="1:68" s="10" customFormat="1" x14ac:dyDescent="0.25">
      <c r="A6" s="43"/>
      <c r="B6" s="44"/>
      <c r="C6" s="45"/>
      <c r="D6" s="58"/>
      <c r="E6" s="58"/>
      <c r="F6" s="58"/>
      <c r="G6" s="58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124" t="s">
        <v>434</v>
      </c>
      <c r="AA6" s="124" t="s">
        <v>437</v>
      </c>
      <c r="AB6" s="124" t="str">
        <f t="shared" ref="AB6:AB14" si="0">+CONCATENATE(Z6,"-",AA6)</f>
        <v>Aseo Personal-Diario</v>
      </c>
      <c r="AC6" s="39"/>
      <c r="AD6" s="39"/>
      <c r="AE6" s="124" t="s">
        <v>195</v>
      </c>
      <c r="AF6" s="124" t="s">
        <v>437</v>
      </c>
      <c r="AG6" s="124" t="str">
        <f t="shared" ref="AG6:AG69" si="1">+CONCATENATE(AE6,"-",AF6)</f>
        <v>Ofertas-Diario</v>
      </c>
      <c r="AH6" s="124" t="s">
        <v>444</v>
      </c>
      <c r="AI6" s="59"/>
      <c r="AJ6" s="39"/>
      <c r="AK6" s="124" t="s">
        <v>434</v>
      </c>
      <c r="AL6" s="124" t="s">
        <v>436</v>
      </c>
      <c r="AM6" s="124" t="str">
        <f t="shared" ref="AM6:AM69" si="2">CONCATENATE(AK6,"-",AL6)</f>
        <v>Aseo Personal-Semanal</v>
      </c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46"/>
      <c r="BH6" s="39"/>
      <c r="BI6" s="39"/>
      <c r="BJ6" s="39"/>
      <c r="BK6" s="39"/>
      <c r="BL6" s="46"/>
      <c r="BM6" s="46"/>
      <c r="BN6" s="46"/>
      <c r="BO6" s="47"/>
      <c r="BP6" s="48"/>
    </row>
    <row r="7" spans="1:68" s="10" customFormat="1" x14ac:dyDescent="0.25">
      <c r="A7" s="43"/>
      <c r="B7" s="44"/>
      <c r="C7" s="45"/>
      <c r="D7" s="58"/>
      <c r="E7" s="58"/>
      <c r="F7" s="58"/>
      <c r="G7" s="58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124" t="s">
        <v>77</v>
      </c>
      <c r="AA7" s="124" t="s">
        <v>437</v>
      </c>
      <c r="AB7" s="124" t="str">
        <f t="shared" si="0"/>
        <v>Limpieza-Diario</v>
      </c>
      <c r="AC7" s="39"/>
      <c r="AD7" s="39"/>
      <c r="AE7" s="124" t="s">
        <v>440</v>
      </c>
      <c r="AF7" s="124" t="s">
        <v>437</v>
      </c>
      <c r="AG7" s="124" t="str">
        <f t="shared" si="1"/>
        <v>Domicilios-Diario</v>
      </c>
      <c r="AH7" s="124" t="s">
        <v>553</v>
      </c>
      <c r="AI7" s="59"/>
      <c r="AJ7" s="39"/>
      <c r="AK7" s="124" t="s">
        <v>77</v>
      </c>
      <c r="AL7" s="124" t="s">
        <v>436</v>
      </c>
      <c r="AM7" s="124" t="str">
        <f t="shared" si="2"/>
        <v>Limpieza-Semanal</v>
      </c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46"/>
      <c r="BH7" s="39"/>
      <c r="BI7" s="39"/>
      <c r="BJ7" s="39"/>
      <c r="BK7" s="39"/>
      <c r="BL7" s="46"/>
      <c r="BM7" s="46"/>
      <c r="BN7" s="46"/>
      <c r="BO7" s="47"/>
      <c r="BP7" s="48"/>
    </row>
    <row r="8" spans="1:68" s="10" customFormat="1" x14ac:dyDescent="0.25">
      <c r="A8" s="49"/>
      <c r="B8" s="50"/>
      <c r="C8" s="51"/>
      <c r="D8" s="60"/>
      <c r="E8" s="60"/>
      <c r="F8" s="60"/>
      <c r="G8" s="60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125" t="s">
        <v>435</v>
      </c>
      <c r="AA8" s="125" t="s">
        <v>437</v>
      </c>
      <c r="AB8" s="124" t="str">
        <f t="shared" si="0"/>
        <v>Dulces y Paquetes-Diario</v>
      </c>
      <c r="AC8" s="7"/>
      <c r="AD8" s="7"/>
      <c r="AE8" s="125" t="s">
        <v>441</v>
      </c>
      <c r="AF8" s="125" t="s">
        <v>437</v>
      </c>
      <c r="AG8" s="125" t="str">
        <f t="shared" si="1"/>
        <v>Atención al Cliente-Diario</v>
      </c>
      <c r="AH8" s="125" t="s">
        <v>446</v>
      </c>
      <c r="AI8" s="61"/>
      <c r="AJ8" s="7"/>
      <c r="AK8" s="125" t="s">
        <v>433</v>
      </c>
      <c r="AL8" s="125" t="s">
        <v>509</v>
      </c>
      <c r="AM8" s="125" t="str">
        <f t="shared" si="2"/>
        <v>Droguería-Quincenal</v>
      </c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52"/>
      <c r="BH8" s="7"/>
      <c r="BI8" s="7"/>
      <c r="BJ8" s="7"/>
      <c r="BK8" s="7"/>
      <c r="BL8" s="52"/>
      <c r="BM8" s="52"/>
      <c r="BN8" s="52"/>
      <c r="BO8" s="53"/>
      <c r="BP8" s="54"/>
    </row>
    <row r="9" spans="1:68" s="10" customFormat="1" x14ac:dyDescent="0.25">
      <c r="A9" s="35">
        <v>2</v>
      </c>
      <c r="B9" s="36">
        <v>44804</v>
      </c>
      <c r="C9" s="37" t="s">
        <v>85</v>
      </c>
      <c r="D9" s="56">
        <v>2</v>
      </c>
      <c r="E9" s="56">
        <v>2</v>
      </c>
      <c r="F9" s="56">
        <v>1</v>
      </c>
      <c r="G9" s="56">
        <v>12</v>
      </c>
      <c r="H9" s="57">
        <v>4</v>
      </c>
      <c r="I9" s="57">
        <v>1</v>
      </c>
      <c r="J9" s="57">
        <v>3</v>
      </c>
      <c r="K9" s="57">
        <v>3</v>
      </c>
      <c r="L9" s="57">
        <v>1</v>
      </c>
      <c r="M9" s="57">
        <v>2</v>
      </c>
      <c r="N9" s="57">
        <v>3</v>
      </c>
      <c r="O9" s="57">
        <v>2</v>
      </c>
      <c r="P9" s="57"/>
      <c r="Q9" s="57">
        <v>3</v>
      </c>
      <c r="R9" s="57" t="s">
        <v>86</v>
      </c>
      <c r="S9" s="57" t="s">
        <v>87</v>
      </c>
      <c r="T9" s="57" t="s">
        <v>88</v>
      </c>
      <c r="U9" s="57"/>
      <c r="V9" s="57"/>
      <c r="W9" s="57"/>
      <c r="X9" s="57"/>
      <c r="Y9" s="57"/>
      <c r="Z9" s="123" t="s">
        <v>433</v>
      </c>
      <c r="AA9" s="123" t="s">
        <v>436</v>
      </c>
      <c r="AB9" s="123" t="str">
        <f t="shared" si="0"/>
        <v>Droguería-Semanal</v>
      </c>
      <c r="AC9" s="38" t="s">
        <v>89</v>
      </c>
      <c r="AD9" s="38" t="s">
        <v>401</v>
      </c>
      <c r="AE9" s="123" t="s">
        <v>448</v>
      </c>
      <c r="AF9" s="123" t="s">
        <v>437</v>
      </c>
      <c r="AG9" s="123" t="str">
        <f t="shared" si="1"/>
        <v>Asesoramiento-Diario</v>
      </c>
      <c r="AH9" s="123"/>
      <c r="AI9" s="57">
        <v>2</v>
      </c>
      <c r="AJ9" s="38"/>
      <c r="AK9" s="123" t="s">
        <v>433</v>
      </c>
      <c r="AL9" s="123" t="s">
        <v>449</v>
      </c>
      <c r="AM9" s="123" t="str">
        <f>CONCATENATE(AK9,"-",AL9)</f>
        <v>Droguería-Depende de la Provisión</v>
      </c>
      <c r="AN9" s="38" t="s">
        <v>90</v>
      </c>
      <c r="AO9" s="38">
        <v>1</v>
      </c>
      <c r="AP9" s="38">
        <v>2</v>
      </c>
      <c r="AQ9" s="38"/>
      <c r="AR9" s="38">
        <v>2</v>
      </c>
      <c r="AS9" s="38"/>
      <c r="AT9" s="38">
        <v>3</v>
      </c>
      <c r="AU9" s="38"/>
      <c r="AV9" s="38">
        <v>1</v>
      </c>
      <c r="AW9" s="38"/>
      <c r="AX9" s="38">
        <v>1</v>
      </c>
      <c r="AY9" s="38"/>
      <c r="AZ9" s="38">
        <v>2</v>
      </c>
      <c r="BA9" s="38"/>
      <c r="BB9" s="38">
        <v>6</v>
      </c>
      <c r="BC9" s="38"/>
      <c r="BD9" s="38">
        <v>4</v>
      </c>
      <c r="BE9" s="38"/>
      <c r="BF9" s="39">
        <v>6</v>
      </c>
      <c r="BG9" s="40"/>
      <c r="BH9" s="38">
        <v>3</v>
      </c>
      <c r="BI9" s="40"/>
      <c r="BJ9" s="40"/>
      <c r="BK9" s="38">
        <v>1</v>
      </c>
      <c r="BL9" s="40"/>
      <c r="BM9" s="40" t="s">
        <v>91</v>
      </c>
      <c r="BN9" s="40">
        <v>3197883038</v>
      </c>
      <c r="BO9" s="40" t="s">
        <v>83</v>
      </c>
      <c r="BP9" s="42" t="s">
        <v>84</v>
      </c>
    </row>
    <row r="10" spans="1:68" s="10" customFormat="1" x14ac:dyDescent="0.25">
      <c r="A10" s="43"/>
      <c r="B10" s="44"/>
      <c r="C10" s="45"/>
      <c r="D10" s="58"/>
      <c r="E10" s="58"/>
      <c r="F10" s="58"/>
      <c r="G10" s="58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124" t="s">
        <v>434</v>
      </c>
      <c r="AA10" s="124" t="s">
        <v>437</v>
      </c>
      <c r="AB10" s="124" t="str">
        <f t="shared" si="0"/>
        <v>Aseo Personal-Diario</v>
      </c>
      <c r="AC10" s="39"/>
      <c r="AD10" s="39"/>
      <c r="AE10" s="124" t="s">
        <v>440</v>
      </c>
      <c r="AF10" s="124" t="s">
        <v>437</v>
      </c>
      <c r="AG10" s="124" t="str">
        <f t="shared" si="1"/>
        <v>Domicilios-Diario</v>
      </c>
      <c r="AH10" s="124"/>
      <c r="AI10" s="59"/>
      <c r="AJ10" s="39"/>
      <c r="AK10" s="124" t="s">
        <v>435</v>
      </c>
      <c r="AL10" s="124" t="s">
        <v>436</v>
      </c>
      <c r="AM10" s="124" t="str">
        <f t="shared" si="2"/>
        <v>Dulces y Paquetes-Semanal</v>
      </c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46"/>
      <c r="BH10" s="39"/>
      <c r="BI10" s="46"/>
      <c r="BJ10" s="46"/>
      <c r="BK10" s="39"/>
      <c r="BL10" s="46"/>
      <c r="BM10" s="46"/>
      <c r="BN10" s="46"/>
      <c r="BO10" s="46"/>
      <c r="BP10" s="48"/>
    </row>
    <row r="11" spans="1:68" s="10" customFormat="1" x14ac:dyDescent="0.25">
      <c r="A11" s="43"/>
      <c r="B11" s="44"/>
      <c r="C11" s="45"/>
      <c r="D11" s="58"/>
      <c r="E11" s="58"/>
      <c r="F11" s="58"/>
      <c r="G11" s="58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124" t="s">
        <v>77</v>
      </c>
      <c r="AA11" s="124" t="s">
        <v>437</v>
      </c>
      <c r="AB11" s="124" t="str">
        <f t="shared" si="0"/>
        <v>Limpieza-Diario</v>
      </c>
      <c r="AC11" s="39"/>
      <c r="AD11" s="39"/>
      <c r="AE11" s="124" t="s">
        <v>441</v>
      </c>
      <c r="AF11" s="124" t="s">
        <v>437</v>
      </c>
      <c r="AG11" s="124" t="str">
        <f t="shared" si="1"/>
        <v>Atención al Cliente-Diario</v>
      </c>
      <c r="AH11" s="124"/>
      <c r="AI11" s="59"/>
      <c r="AJ11" s="39"/>
      <c r="AK11" s="124" t="s">
        <v>434</v>
      </c>
      <c r="AL11" s="124" t="s">
        <v>509</v>
      </c>
      <c r="AM11" s="124" t="str">
        <f t="shared" si="2"/>
        <v>Aseo Personal-Quincenal</v>
      </c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46"/>
      <c r="BH11" s="39"/>
      <c r="BI11" s="46"/>
      <c r="BJ11" s="46"/>
      <c r="BK11" s="39"/>
      <c r="BL11" s="46"/>
      <c r="BM11" s="46"/>
      <c r="BN11" s="46"/>
      <c r="BO11" s="46"/>
      <c r="BP11" s="48"/>
    </row>
    <row r="12" spans="1:68" s="10" customFormat="1" x14ac:dyDescent="0.25">
      <c r="A12" s="49"/>
      <c r="B12" s="50"/>
      <c r="C12" s="51"/>
      <c r="D12" s="60"/>
      <c r="E12" s="60"/>
      <c r="F12" s="60"/>
      <c r="G12" s="60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125" t="s">
        <v>435</v>
      </c>
      <c r="AA12" s="125" t="s">
        <v>437</v>
      </c>
      <c r="AB12" s="124" t="str">
        <f t="shared" si="0"/>
        <v>Dulces y Paquetes-Diario</v>
      </c>
      <c r="AC12" s="7"/>
      <c r="AD12" s="7"/>
      <c r="AE12" s="125"/>
      <c r="AF12" s="125"/>
      <c r="AG12" s="125" t="str">
        <f t="shared" si="1"/>
        <v>-</v>
      </c>
      <c r="AH12" s="125"/>
      <c r="AI12" s="61"/>
      <c r="AJ12" s="7"/>
      <c r="AK12" s="125" t="s">
        <v>77</v>
      </c>
      <c r="AL12" s="125" t="s">
        <v>442</v>
      </c>
      <c r="AM12" s="125" t="str">
        <f t="shared" si="2"/>
        <v>Limpieza-Mensual</v>
      </c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52"/>
      <c r="BH12" s="7"/>
      <c r="BI12" s="52"/>
      <c r="BJ12" s="52"/>
      <c r="BK12" s="7"/>
      <c r="BL12" s="52"/>
      <c r="BM12" s="52"/>
      <c r="BN12" s="52"/>
      <c r="BO12" s="52"/>
      <c r="BP12" s="54"/>
    </row>
    <row r="13" spans="1:68" x14ac:dyDescent="0.25">
      <c r="A13" s="35">
        <v>3</v>
      </c>
      <c r="B13" s="36">
        <v>44804</v>
      </c>
      <c r="C13" s="37" t="s">
        <v>92</v>
      </c>
      <c r="D13" s="56">
        <v>2</v>
      </c>
      <c r="E13" s="56">
        <v>2</v>
      </c>
      <c r="F13" s="56">
        <v>1</v>
      </c>
      <c r="G13" s="56">
        <v>12</v>
      </c>
      <c r="H13" s="57">
        <v>3</v>
      </c>
      <c r="I13" s="57">
        <v>1</v>
      </c>
      <c r="J13" s="57">
        <v>3</v>
      </c>
      <c r="K13" s="57">
        <v>1</v>
      </c>
      <c r="L13" s="57">
        <v>2</v>
      </c>
      <c r="M13" s="57">
        <v>3</v>
      </c>
      <c r="N13" s="57">
        <v>3</v>
      </c>
      <c r="O13" s="57">
        <v>1</v>
      </c>
      <c r="P13" s="57"/>
      <c r="Q13" s="57">
        <v>2</v>
      </c>
      <c r="R13" s="57" t="s">
        <v>93</v>
      </c>
      <c r="S13" s="57" t="s">
        <v>94</v>
      </c>
      <c r="T13" s="57"/>
      <c r="U13" s="57"/>
      <c r="V13" s="57" t="s">
        <v>79</v>
      </c>
      <c r="W13" s="57" t="s">
        <v>95</v>
      </c>
      <c r="X13" s="57" t="s">
        <v>96</v>
      </c>
      <c r="Y13" s="57"/>
      <c r="Z13" s="123" t="s">
        <v>434</v>
      </c>
      <c r="AA13" s="123" t="s">
        <v>437</v>
      </c>
      <c r="AB13" s="123" t="str">
        <f t="shared" si="0"/>
        <v>Aseo Personal-Diario</v>
      </c>
      <c r="AC13" s="38" t="s">
        <v>97</v>
      </c>
      <c r="AD13" s="38" t="s">
        <v>98</v>
      </c>
      <c r="AE13" s="123" t="s">
        <v>178</v>
      </c>
      <c r="AF13" s="123" t="s">
        <v>436</v>
      </c>
      <c r="AG13" s="123" t="str">
        <f t="shared" si="1"/>
        <v>Promociones-Semanal</v>
      </c>
      <c r="AH13" s="123" t="s">
        <v>538</v>
      </c>
      <c r="AI13" s="57">
        <v>2</v>
      </c>
      <c r="AJ13" s="38" t="s">
        <v>99</v>
      </c>
      <c r="AK13" s="123" t="s">
        <v>433</v>
      </c>
      <c r="AL13" s="123" t="s">
        <v>442</v>
      </c>
      <c r="AM13" s="123" t="str">
        <f t="shared" si="2"/>
        <v>Droguería-Mensual</v>
      </c>
      <c r="AN13" s="38" t="s">
        <v>100</v>
      </c>
      <c r="AO13" s="38">
        <v>1</v>
      </c>
      <c r="AP13" s="38">
        <v>1</v>
      </c>
      <c r="AQ13" s="38"/>
      <c r="AR13" s="38">
        <v>1</v>
      </c>
      <c r="AS13" s="38" t="s">
        <v>101</v>
      </c>
      <c r="AT13" s="38">
        <v>1</v>
      </c>
      <c r="AU13" s="38"/>
      <c r="AV13" s="38">
        <v>1</v>
      </c>
      <c r="AW13" s="38"/>
      <c r="AX13" s="38">
        <v>2</v>
      </c>
      <c r="AY13" s="38"/>
      <c r="AZ13" s="38">
        <v>2</v>
      </c>
      <c r="BA13" s="38"/>
      <c r="BB13" s="38">
        <v>1</v>
      </c>
      <c r="BC13" s="38"/>
      <c r="BD13" s="38">
        <v>7</v>
      </c>
      <c r="BE13" s="38"/>
      <c r="BF13" s="38">
        <v>1</v>
      </c>
      <c r="BG13" s="40"/>
      <c r="BH13" s="38">
        <v>3</v>
      </c>
      <c r="BI13" s="40"/>
      <c r="BJ13" s="40"/>
      <c r="BK13" s="40"/>
      <c r="BL13" s="40"/>
      <c r="BM13" s="40" t="s">
        <v>91</v>
      </c>
      <c r="BN13" s="40">
        <v>3174820744</v>
      </c>
      <c r="BO13" s="40" t="s">
        <v>83</v>
      </c>
      <c r="BP13" s="42" t="s">
        <v>84</v>
      </c>
    </row>
    <row r="14" spans="1:68" x14ac:dyDescent="0.25">
      <c r="A14" s="43"/>
      <c r="B14" s="44"/>
      <c r="C14" s="45"/>
      <c r="D14" s="58"/>
      <c r="E14" s="58"/>
      <c r="F14" s="58"/>
      <c r="G14" s="58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124" t="s">
        <v>435</v>
      </c>
      <c r="AA14" s="124" t="s">
        <v>437</v>
      </c>
      <c r="AB14" s="124" t="str">
        <f t="shared" si="0"/>
        <v>Dulces y Paquetes-Diario</v>
      </c>
      <c r="AC14" s="39"/>
      <c r="AD14" s="39"/>
      <c r="AE14" s="124" t="s">
        <v>439</v>
      </c>
      <c r="AF14" s="124" t="s">
        <v>509</v>
      </c>
      <c r="AG14" s="124" t="str">
        <f t="shared" si="1"/>
        <v>Descuento-Quincenal</v>
      </c>
      <c r="AH14" s="124" t="s">
        <v>539</v>
      </c>
      <c r="AI14" s="59"/>
      <c r="AJ14" s="39"/>
      <c r="AK14" s="124" t="s">
        <v>435</v>
      </c>
      <c r="AL14" s="124" t="s">
        <v>437</v>
      </c>
      <c r="AM14" s="124" t="str">
        <f t="shared" si="2"/>
        <v>Dulces y Paquetes-Diario</v>
      </c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46"/>
      <c r="BH14" s="39"/>
      <c r="BI14" s="46"/>
      <c r="BJ14" s="46"/>
      <c r="BK14" s="46"/>
      <c r="BL14" s="46"/>
      <c r="BM14" s="46"/>
      <c r="BN14" s="46"/>
      <c r="BO14" s="46"/>
      <c r="BP14" s="48"/>
    </row>
    <row r="15" spans="1:68" x14ac:dyDescent="0.25">
      <c r="A15" s="49"/>
      <c r="B15" s="50"/>
      <c r="C15" s="51"/>
      <c r="D15" s="60"/>
      <c r="E15" s="60"/>
      <c r="F15" s="60"/>
      <c r="G15" s="60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125"/>
      <c r="AA15" s="125"/>
      <c r="AB15" s="125"/>
      <c r="AC15" s="7"/>
      <c r="AD15" s="7"/>
      <c r="AE15" s="125" t="s">
        <v>195</v>
      </c>
      <c r="AF15" s="125" t="s">
        <v>442</v>
      </c>
      <c r="AG15" s="125" t="str">
        <f t="shared" si="1"/>
        <v>Ofertas-Mensual</v>
      </c>
      <c r="AH15" s="125" t="s">
        <v>540</v>
      </c>
      <c r="AI15" s="61"/>
      <c r="AJ15" s="7"/>
      <c r="AK15" s="125" t="s">
        <v>434</v>
      </c>
      <c r="AL15" s="125" t="s">
        <v>509</v>
      </c>
      <c r="AM15" s="125" t="str">
        <f t="shared" si="2"/>
        <v>Aseo Personal-Quincenal</v>
      </c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52"/>
      <c r="BH15" s="7"/>
      <c r="BI15" s="52"/>
      <c r="BJ15" s="52"/>
      <c r="BK15" s="52"/>
      <c r="BL15" s="52"/>
      <c r="BM15" s="52"/>
      <c r="BN15" s="52"/>
      <c r="BO15" s="52"/>
      <c r="BP15" s="54"/>
    </row>
    <row r="16" spans="1:68" x14ac:dyDescent="0.25">
      <c r="A16" s="35">
        <v>4</v>
      </c>
      <c r="B16" s="36">
        <v>44804</v>
      </c>
      <c r="C16" s="37" t="s">
        <v>102</v>
      </c>
      <c r="D16" s="56">
        <v>2</v>
      </c>
      <c r="E16" s="56">
        <v>2</v>
      </c>
      <c r="F16" s="56">
        <v>1</v>
      </c>
      <c r="G16" s="56">
        <v>12</v>
      </c>
      <c r="H16" s="57">
        <v>3</v>
      </c>
      <c r="I16" s="57">
        <v>1</v>
      </c>
      <c r="J16" s="57">
        <v>3</v>
      </c>
      <c r="K16" s="57">
        <v>2</v>
      </c>
      <c r="L16" s="57">
        <v>1</v>
      </c>
      <c r="M16" s="57">
        <v>3</v>
      </c>
      <c r="N16" s="57">
        <v>3</v>
      </c>
      <c r="O16" s="57">
        <v>2</v>
      </c>
      <c r="P16" s="57"/>
      <c r="Q16" s="57">
        <v>3</v>
      </c>
      <c r="R16" s="57" t="s">
        <v>93</v>
      </c>
      <c r="S16" s="57" t="s">
        <v>103</v>
      </c>
      <c r="T16" s="57" t="s">
        <v>111</v>
      </c>
      <c r="U16" s="57"/>
      <c r="V16" s="57"/>
      <c r="W16" s="57"/>
      <c r="X16" s="57"/>
      <c r="Y16" s="57"/>
      <c r="Z16" s="123" t="s">
        <v>433</v>
      </c>
      <c r="AA16" s="123" t="s">
        <v>442</v>
      </c>
      <c r="AB16" s="123" t="str">
        <f>+CONCATENATE(Z16,"-",AA16)</f>
        <v>Droguería-Mensual</v>
      </c>
      <c r="AC16" s="38" t="s">
        <v>77</v>
      </c>
      <c r="AD16" s="38" t="s">
        <v>78</v>
      </c>
      <c r="AE16" s="123" t="s">
        <v>441</v>
      </c>
      <c r="AF16" s="123" t="s">
        <v>437</v>
      </c>
      <c r="AG16" s="123" t="str">
        <f t="shared" si="1"/>
        <v>Atención al Cliente-Diario</v>
      </c>
      <c r="AH16" s="123"/>
      <c r="AI16" s="57">
        <v>2</v>
      </c>
      <c r="AJ16" s="38"/>
      <c r="AK16" s="123" t="s">
        <v>433</v>
      </c>
      <c r="AL16" s="123" t="s">
        <v>449</v>
      </c>
      <c r="AM16" s="123" t="str">
        <f t="shared" si="2"/>
        <v>Droguería-Depende de la Provisión</v>
      </c>
      <c r="AN16" s="38" t="s">
        <v>104</v>
      </c>
      <c r="AO16" s="38">
        <v>1</v>
      </c>
      <c r="AP16" s="38">
        <v>2</v>
      </c>
      <c r="AQ16" s="38"/>
      <c r="AR16" s="38">
        <v>2</v>
      </c>
      <c r="AS16" s="38"/>
      <c r="AT16" s="38">
        <v>3</v>
      </c>
      <c r="AU16" s="38"/>
      <c r="AV16" s="38">
        <v>1</v>
      </c>
      <c r="AW16" s="38"/>
      <c r="AX16" s="38">
        <v>1</v>
      </c>
      <c r="AY16" s="38"/>
      <c r="AZ16" s="38">
        <v>2</v>
      </c>
      <c r="BA16" s="38"/>
      <c r="BB16" s="38">
        <v>3</v>
      </c>
      <c r="BC16" s="38"/>
      <c r="BD16" s="38">
        <v>5</v>
      </c>
      <c r="BE16" s="38"/>
      <c r="BF16" s="38">
        <v>4</v>
      </c>
      <c r="BG16" s="40"/>
      <c r="BH16" s="38">
        <v>3</v>
      </c>
      <c r="BI16" s="40"/>
      <c r="BJ16" s="40"/>
      <c r="BK16" s="38">
        <v>3</v>
      </c>
      <c r="BL16" s="40"/>
      <c r="BM16" s="40" t="s">
        <v>91</v>
      </c>
      <c r="BN16" s="40">
        <v>3208036185</v>
      </c>
      <c r="BO16" s="40" t="s">
        <v>83</v>
      </c>
      <c r="BP16" s="42" t="s">
        <v>84</v>
      </c>
    </row>
    <row r="17" spans="1:68" x14ac:dyDescent="0.25">
      <c r="A17" s="43"/>
      <c r="B17" s="44"/>
      <c r="C17" s="45"/>
      <c r="D17" s="58"/>
      <c r="E17" s="58"/>
      <c r="F17" s="58"/>
      <c r="G17" s="58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124" t="s">
        <v>434</v>
      </c>
      <c r="AA17" s="124" t="s">
        <v>437</v>
      </c>
      <c r="AB17" s="124" t="str">
        <f t="shared" ref="AB17:AB33" si="3">+CONCATENATE(Z17,"-",AA17)</f>
        <v>Aseo Personal-Diario</v>
      </c>
      <c r="AC17" s="39"/>
      <c r="AD17" s="39"/>
      <c r="AE17" s="124"/>
      <c r="AF17" s="124"/>
      <c r="AG17" s="124" t="str">
        <f t="shared" si="1"/>
        <v>-</v>
      </c>
      <c r="AH17" s="124"/>
      <c r="AI17" s="59"/>
      <c r="AJ17" s="39"/>
      <c r="AK17" s="124" t="s">
        <v>434</v>
      </c>
      <c r="AL17" s="124" t="s">
        <v>436</v>
      </c>
      <c r="AM17" s="124" t="str">
        <f t="shared" si="2"/>
        <v>Aseo Personal-Semanal</v>
      </c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46"/>
      <c r="BH17" s="39"/>
      <c r="BI17" s="46"/>
      <c r="BJ17" s="46"/>
      <c r="BK17" s="39"/>
      <c r="BL17" s="46"/>
      <c r="BM17" s="46"/>
      <c r="BN17" s="46"/>
      <c r="BO17" s="46"/>
      <c r="BP17" s="48"/>
    </row>
    <row r="18" spans="1:68" x14ac:dyDescent="0.25">
      <c r="A18" s="49"/>
      <c r="B18" s="50"/>
      <c r="C18" s="51"/>
      <c r="D18" s="60"/>
      <c r="E18" s="60"/>
      <c r="F18" s="60"/>
      <c r="G18" s="60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125" t="s">
        <v>77</v>
      </c>
      <c r="AA18" s="125" t="s">
        <v>437</v>
      </c>
      <c r="AB18" s="125" t="str">
        <f t="shared" si="3"/>
        <v>Limpieza-Diario</v>
      </c>
      <c r="AC18" s="7"/>
      <c r="AD18" s="7"/>
      <c r="AE18" s="125"/>
      <c r="AF18" s="125"/>
      <c r="AG18" s="125" t="str">
        <f t="shared" si="1"/>
        <v>-</v>
      </c>
      <c r="AH18" s="125"/>
      <c r="AI18" s="61"/>
      <c r="AJ18" s="7"/>
      <c r="AK18" s="125" t="s">
        <v>77</v>
      </c>
      <c r="AL18" s="125" t="s">
        <v>442</v>
      </c>
      <c r="AM18" s="125" t="str">
        <f t="shared" si="2"/>
        <v>Limpieza-Mensual</v>
      </c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52"/>
      <c r="BH18" s="7"/>
      <c r="BI18" s="52"/>
      <c r="BJ18" s="52"/>
      <c r="BK18" s="7"/>
      <c r="BL18" s="52"/>
      <c r="BM18" s="52"/>
      <c r="BN18" s="52"/>
      <c r="BO18" s="52"/>
      <c r="BP18" s="54"/>
    </row>
    <row r="19" spans="1:68" x14ac:dyDescent="0.25">
      <c r="A19" s="35">
        <v>5</v>
      </c>
      <c r="B19" s="36">
        <v>44804</v>
      </c>
      <c r="C19" s="37" t="s">
        <v>105</v>
      </c>
      <c r="D19" s="56">
        <v>2</v>
      </c>
      <c r="E19" s="56">
        <v>2</v>
      </c>
      <c r="F19" s="56">
        <v>1</v>
      </c>
      <c r="G19" s="56">
        <v>12</v>
      </c>
      <c r="H19" s="57">
        <v>3</v>
      </c>
      <c r="I19" s="57">
        <v>1</v>
      </c>
      <c r="J19" s="57">
        <v>3</v>
      </c>
      <c r="K19" s="57">
        <v>2</v>
      </c>
      <c r="L19" s="57">
        <v>1</v>
      </c>
      <c r="M19" s="57">
        <v>3</v>
      </c>
      <c r="N19" s="57">
        <v>3</v>
      </c>
      <c r="O19" s="57">
        <v>2</v>
      </c>
      <c r="P19" s="57"/>
      <c r="Q19" s="57">
        <v>3</v>
      </c>
      <c r="R19" s="57"/>
      <c r="S19" s="57"/>
      <c r="T19" s="57"/>
      <c r="U19" s="57"/>
      <c r="V19" s="57"/>
      <c r="W19" s="57"/>
      <c r="X19" s="57"/>
      <c r="Y19" s="57"/>
      <c r="Z19" s="123" t="s">
        <v>434</v>
      </c>
      <c r="AA19" s="123" t="s">
        <v>437</v>
      </c>
      <c r="AB19" s="123" t="str">
        <f t="shared" si="3"/>
        <v>Aseo Personal-Diario</v>
      </c>
      <c r="AC19" s="38" t="s">
        <v>89</v>
      </c>
      <c r="AD19" s="38" t="s">
        <v>78</v>
      </c>
      <c r="AE19" s="123"/>
      <c r="AF19" s="123"/>
      <c r="AG19" s="123" t="str">
        <f t="shared" si="1"/>
        <v>-</v>
      </c>
      <c r="AH19" s="123"/>
      <c r="AI19" s="57">
        <v>1</v>
      </c>
      <c r="AJ19" s="38" t="s">
        <v>106</v>
      </c>
      <c r="AK19" s="123"/>
      <c r="AL19" s="123"/>
      <c r="AM19" s="123"/>
      <c r="AN19" s="38" t="s">
        <v>104</v>
      </c>
      <c r="AO19" s="38">
        <v>1</v>
      </c>
      <c r="AP19" s="38">
        <v>2</v>
      </c>
      <c r="AQ19" s="38"/>
      <c r="AR19" s="38">
        <v>2</v>
      </c>
      <c r="AS19" s="38"/>
      <c r="AT19" s="38">
        <v>3</v>
      </c>
      <c r="AU19" s="38"/>
      <c r="AV19" s="38">
        <v>4</v>
      </c>
      <c r="AW19" s="38"/>
      <c r="AX19" s="38">
        <v>4</v>
      </c>
      <c r="AY19" s="38"/>
      <c r="AZ19" s="38">
        <v>2</v>
      </c>
      <c r="BA19" s="38"/>
      <c r="BB19" s="38">
        <v>3</v>
      </c>
      <c r="BC19" s="38"/>
      <c r="BD19" s="38">
        <v>4</v>
      </c>
      <c r="BE19" s="38"/>
      <c r="BF19" s="38">
        <v>4</v>
      </c>
      <c r="BG19" s="40"/>
      <c r="BH19" s="38">
        <v>3</v>
      </c>
      <c r="BI19" s="38" t="s">
        <v>78</v>
      </c>
      <c r="BJ19" s="38" t="s">
        <v>107</v>
      </c>
      <c r="BK19" s="38">
        <v>4</v>
      </c>
      <c r="BL19" s="40"/>
      <c r="BM19" s="40" t="s">
        <v>108</v>
      </c>
      <c r="BN19" s="40">
        <v>3156840575</v>
      </c>
      <c r="BO19" s="40" t="s">
        <v>83</v>
      </c>
      <c r="BP19" s="42" t="s">
        <v>84</v>
      </c>
    </row>
    <row r="20" spans="1:68" x14ac:dyDescent="0.25">
      <c r="A20" s="43"/>
      <c r="B20" s="44"/>
      <c r="C20" s="45"/>
      <c r="D20" s="58"/>
      <c r="E20" s="58"/>
      <c r="F20" s="58"/>
      <c r="G20" s="58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124" t="s">
        <v>433</v>
      </c>
      <c r="AA20" s="124" t="s">
        <v>437</v>
      </c>
      <c r="AB20" s="124" t="str">
        <f t="shared" si="3"/>
        <v>Droguería-Diario</v>
      </c>
      <c r="AC20" s="39"/>
      <c r="AD20" s="39"/>
      <c r="AE20" s="124" t="s">
        <v>439</v>
      </c>
      <c r="AF20" s="124" t="s">
        <v>442</v>
      </c>
      <c r="AG20" s="124" t="str">
        <f t="shared" si="1"/>
        <v>Descuento-Mensual</v>
      </c>
      <c r="AH20" s="124" t="s">
        <v>541</v>
      </c>
      <c r="AI20" s="59"/>
      <c r="AJ20" s="39"/>
      <c r="AK20" s="124" t="s">
        <v>433</v>
      </c>
      <c r="AL20" s="124" t="s">
        <v>509</v>
      </c>
      <c r="AM20" s="124" t="str">
        <f t="shared" si="2"/>
        <v>Droguería-Quincenal</v>
      </c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46"/>
      <c r="BH20" s="39"/>
      <c r="BI20" s="39"/>
      <c r="BJ20" s="39"/>
      <c r="BK20" s="39"/>
      <c r="BL20" s="46"/>
      <c r="BM20" s="46"/>
      <c r="BN20" s="46"/>
      <c r="BO20" s="46"/>
      <c r="BP20" s="48"/>
    </row>
    <row r="21" spans="1:68" x14ac:dyDescent="0.25">
      <c r="A21" s="43"/>
      <c r="B21" s="44"/>
      <c r="C21" s="45"/>
      <c r="D21" s="58"/>
      <c r="E21" s="58"/>
      <c r="F21" s="58"/>
      <c r="G21" s="58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124" t="s">
        <v>77</v>
      </c>
      <c r="AA21" s="124" t="s">
        <v>437</v>
      </c>
      <c r="AB21" s="124" t="str">
        <f t="shared" si="3"/>
        <v>Limpieza-Diario</v>
      </c>
      <c r="AC21" s="39"/>
      <c r="AD21" s="39"/>
      <c r="AE21" s="124" t="s">
        <v>440</v>
      </c>
      <c r="AF21" s="124" t="s">
        <v>437</v>
      </c>
      <c r="AG21" s="124" t="str">
        <f t="shared" si="1"/>
        <v>Domicilios-Diario</v>
      </c>
      <c r="AH21" s="124" t="s">
        <v>553</v>
      </c>
      <c r="AI21" s="59"/>
      <c r="AJ21" s="39"/>
      <c r="AK21" s="124" t="s">
        <v>435</v>
      </c>
      <c r="AL21" s="124" t="s">
        <v>509</v>
      </c>
      <c r="AM21" s="124" t="str">
        <f t="shared" si="2"/>
        <v>Dulces y Paquetes-Quincenal</v>
      </c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46"/>
      <c r="BH21" s="39"/>
      <c r="BI21" s="39"/>
      <c r="BJ21" s="39"/>
      <c r="BK21" s="39"/>
      <c r="BL21" s="46"/>
      <c r="BM21" s="46"/>
      <c r="BN21" s="46"/>
      <c r="BO21" s="46"/>
      <c r="BP21" s="48"/>
    </row>
    <row r="22" spans="1:68" x14ac:dyDescent="0.25">
      <c r="A22" s="49"/>
      <c r="B22" s="50"/>
      <c r="C22" s="51"/>
      <c r="D22" s="60"/>
      <c r="E22" s="60"/>
      <c r="F22" s="60"/>
      <c r="G22" s="60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125" t="s">
        <v>435</v>
      </c>
      <c r="AA22" s="125" t="s">
        <v>437</v>
      </c>
      <c r="AB22" s="125" t="str">
        <f t="shared" si="3"/>
        <v>Dulces y Paquetes-Diario</v>
      </c>
      <c r="AC22" s="7"/>
      <c r="AD22" s="7"/>
      <c r="AE22" s="125" t="s">
        <v>441</v>
      </c>
      <c r="AF22" s="125" t="s">
        <v>437</v>
      </c>
      <c r="AG22" s="125" t="str">
        <f t="shared" si="1"/>
        <v>Atención al Cliente-Diario</v>
      </c>
      <c r="AH22" s="125" t="s">
        <v>542</v>
      </c>
      <c r="AI22" s="61"/>
      <c r="AJ22" s="7"/>
      <c r="AK22" s="125" t="s">
        <v>434</v>
      </c>
      <c r="AL22" s="125" t="s">
        <v>436</v>
      </c>
      <c r="AM22" s="125" t="str">
        <f t="shared" si="2"/>
        <v>Aseo Personal-Semanal</v>
      </c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52"/>
      <c r="BH22" s="7"/>
      <c r="BI22" s="7"/>
      <c r="BJ22" s="7"/>
      <c r="BK22" s="7"/>
      <c r="BL22" s="52"/>
      <c r="BM22" s="52"/>
      <c r="BN22" s="52"/>
      <c r="BO22" s="52"/>
      <c r="BP22" s="54"/>
    </row>
    <row r="23" spans="1:68" x14ac:dyDescent="0.25">
      <c r="A23" s="35">
        <v>6</v>
      </c>
      <c r="B23" s="36">
        <v>44804</v>
      </c>
      <c r="C23" s="37" t="s">
        <v>109</v>
      </c>
      <c r="D23" s="56">
        <v>2</v>
      </c>
      <c r="E23" s="56">
        <v>2</v>
      </c>
      <c r="F23" s="56">
        <v>1</v>
      </c>
      <c r="G23" s="56">
        <v>12</v>
      </c>
      <c r="H23" s="57">
        <v>1</v>
      </c>
      <c r="I23" s="57">
        <v>1</v>
      </c>
      <c r="J23" s="57">
        <v>2</v>
      </c>
      <c r="K23" s="57">
        <v>2</v>
      </c>
      <c r="L23" s="57">
        <v>1</v>
      </c>
      <c r="M23" s="57">
        <v>2</v>
      </c>
      <c r="N23" s="57">
        <v>3</v>
      </c>
      <c r="O23" s="57">
        <v>2</v>
      </c>
      <c r="P23" s="57"/>
      <c r="Q23" s="57">
        <v>3</v>
      </c>
      <c r="R23" s="57" t="s">
        <v>86</v>
      </c>
      <c r="S23" s="57" t="s">
        <v>88</v>
      </c>
      <c r="T23" s="57" t="s">
        <v>110</v>
      </c>
      <c r="U23" s="57"/>
      <c r="V23" s="57"/>
      <c r="W23" s="57"/>
      <c r="X23" s="57"/>
      <c r="Y23" s="57"/>
      <c r="Z23" s="123" t="s">
        <v>433</v>
      </c>
      <c r="AA23" s="123" t="s">
        <v>442</v>
      </c>
      <c r="AB23" s="123" t="str">
        <f t="shared" si="3"/>
        <v>Droguería-Mensual</v>
      </c>
      <c r="AC23" s="38" t="s">
        <v>97</v>
      </c>
      <c r="AD23" s="38" t="s">
        <v>78</v>
      </c>
      <c r="AE23" s="123" t="s">
        <v>441</v>
      </c>
      <c r="AF23" s="123" t="s">
        <v>437</v>
      </c>
      <c r="AG23" s="123" t="str">
        <f t="shared" si="1"/>
        <v>Atención al Cliente-Diario</v>
      </c>
      <c r="AH23" s="123"/>
      <c r="AI23" s="57">
        <v>2</v>
      </c>
      <c r="AJ23" s="38"/>
      <c r="AK23" s="123" t="s">
        <v>433</v>
      </c>
      <c r="AL23" s="123" t="s">
        <v>449</v>
      </c>
      <c r="AM23" s="123" t="str">
        <f t="shared" si="2"/>
        <v>Droguería-Depende de la Provisión</v>
      </c>
      <c r="AN23" s="38" t="s">
        <v>104</v>
      </c>
      <c r="AO23" s="38">
        <v>1</v>
      </c>
      <c r="AP23" s="38">
        <v>2</v>
      </c>
      <c r="AQ23" s="38"/>
      <c r="AR23" s="38">
        <v>2</v>
      </c>
      <c r="AS23" s="38"/>
      <c r="AT23" s="38">
        <v>3</v>
      </c>
      <c r="AU23" s="38"/>
      <c r="AV23" s="38">
        <v>1</v>
      </c>
      <c r="AW23" s="38"/>
      <c r="AX23" s="38">
        <v>1</v>
      </c>
      <c r="AY23" s="38"/>
      <c r="AZ23" s="38">
        <v>1</v>
      </c>
      <c r="BA23" s="38"/>
      <c r="BB23" s="38">
        <v>3</v>
      </c>
      <c r="BC23" s="38"/>
      <c r="BD23" s="38">
        <v>5</v>
      </c>
      <c r="BE23" s="38"/>
      <c r="BF23" s="38">
        <v>4</v>
      </c>
      <c r="BG23" s="40"/>
      <c r="BH23" s="38">
        <v>3</v>
      </c>
      <c r="BI23" s="38"/>
      <c r="BJ23" s="38"/>
      <c r="BK23" s="38">
        <v>1</v>
      </c>
      <c r="BL23" s="40"/>
      <c r="BM23" s="40" t="s">
        <v>91</v>
      </c>
      <c r="BN23" s="40">
        <v>3193723873</v>
      </c>
      <c r="BO23" s="40" t="s">
        <v>83</v>
      </c>
      <c r="BP23" s="42" t="s">
        <v>84</v>
      </c>
    </row>
    <row r="24" spans="1:68" x14ac:dyDescent="0.25">
      <c r="A24" s="43"/>
      <c r="B24" s="44"/>
      <c r="C24" s="45"/>
      <c r="D24" s="58"/>
      <c r="E24" s="58"/>
      <c r="F24" s="58"/>
      <c r="G24" s="58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124" t="s">
        <v>434</v>
      </c>
      <c r="AA24" s="124" t="s">
        <v>437</v>
      </c>
      <c r="AB24" s="124" t="str">
        <f t="shared" si="3"/>
        <v>Aseo Personal-Diario</v>
      </c>
      <c r="AC24" s="39"/>
      <c r="AD24" s="39"/>
      <c r="AE24" s="124"/>
      <c r="AF24" s="124"/>
      <c r="AG24" s="124" t="str">
        <f t="shared" si="1"/>
        <v>-</v>
      </c>
      <c r="AH24" s="124"/>
      <c r="AI24" s="59"/>
      <c r="AJ24" s="39"/>
      <c r="AK24" s="124" t="s">
        <v>435</v>
      </c>
      <c r="AL24" s="124" t="s">
        <v>436</v>
      </c>
      <c r="AM24" s="124" t="str">
        <f t="shared" si="2"/>
        <v>Dulces y Paquetes-Semanal</v>
      </c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46"/>
      <c r="BH24" s="39"/>
      <c r="BI24" s="39"/>
      <c r="BJ24" s="39"/>
      <c r="BK24" s="39"/>
      <c r="BL24" s="46"/>
      <c r="BM24" s="46"/>
      <c r="BN24" s="46"/>
      <c r="BO24" s="46"/>
      <c r="BP24" s="48"/>
    </row>
    <row r="25" spans="1:68" x14ac:dyDescent="0.25">
      <c r="A25" s="43"/>
      <c r="B25" s="44"/>
      <c r="C25" s="45"/>
      <c r="D25" s="58"/>
      <c r="E25" s="58"/>
      <c r="F25" s="58"/>
      <c r="G25" s="58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124" t="s">
        <v>77</v>
      </c>
      <c r="AA25" s="124" t="s">
        <v>437</v>
      </c>
      <c r="AB25" s="124" t="str">
        <f t="shared" si="3"/>
        <v>Limpieza-Diario</v>
      </c>
      <c r="AC25" s="39"/>
      <c r="AD25" s="39"/>
      <c r="AE25" s="124"/>
      <c r="AF25" s="124"/>
      <c r="AG25" s="124" t="str">
        <f t="shared" si="1"/>
        <v>-</v>
      </c>
      <c r="AH25" s="124"/>
      <c r="AI25" s="59"/>
      <c r="AJ25" s="39"/>
      <c r="AK25" s="124" t="s">
        <v>434</v>
      </c>
      <c r="AL25" s="124" t="s">
        <v>442</v>
      </c>
      <c r="AM25" s="124" t="str">
        <f t="shared" si="2"/>
        <v>Aseo Personal-Mensual</v>
      </c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46"/>
      <c r="BH25" s="39"/>
      <c r="BI25" s="39"/>
      <c r="BJ25" s="39"/>
      <c r="BK25" s="39"/>
      <c r="BL25" s="46"/>
      <c r="BM25" s="46"/>
      <c r="BN25" s="46"/>
      <c r="BO25" s="46"/>
      <c r="BP25" s="48"/>
    </row>
    <row r="26" spans="1:68" x14ac:dyDescent="0.25">
      <c r="A26" s="49"/>
      <c r="B26" s="50"/>
      <c r="C26" s="51"/>
      <c r="D26" s="60"/>
      <c r="E26" s="60"/>
      <c r="F26" s="60"/>
      <c r="G26" s="60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125" t="s">
        <v>435</v>
      </c>
      <c r="AA26" s="125" t="s">
        <v>437</v>
      </c>
      <c r="AB26" s="125" t="str">
        <f t="shared" si="3"/>
        <v>Dulces y Paquetes-Diario</v>
      </c>
      <c r="AC26" s="7"/>
      <c r="AD26" s="7"/>
      <c r="AE26" s="125"/>
      <c r="AF26" s="125"/>
      <c r="AG26" s="125" t="str">
        <f t="shared" si="1"/>
        <v>-</v>
      </c>
      <c r="AH26" s="125"/>
      <c r="AI26" s="61"/>
      <c r="AJ26" s="7"/>
      <c r="AK26" s="125" t="s">
        <v>77</v>
      </c>
      <c r="AL26" s="125" t="s">
        <v>449</v>
      </c>
      <c r="AM26" s="125" t="str">
        <f t="shared" si="2"/>
        <v>Limpieza-Depende de la Provisión</v>
      </c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52"/>
      <c r="BH26" s="7"/>
      <c r="BI26" s="7"/>
      <c r="BJ26" s="7"/>
      <c r="BK26" s="7"/>
      <c r="BL26" s="52"/>
      <c r="BM26" s="52"/>
      <c r="BN26" s="52"/>
      <c r="BO26" s="52"/>
      <c r="BP26" s="54"/>
    </row>
    <row r="27" spans="1:68" x14ac:dyDescent="0.25">
      <c r="A27" s="35">
        <v>7</v>
      </c>
      <c r="B27" s="36">
        <v>44804</v>
      </c>
      <c r="C27" s="37" t="s">
        <v>112</v>
      </c>
      <c r="D27" s="56">
        <v>2</v>
      </c>
      <c r="E27" s="56">
        <v>2</v>
      </c>
      <c r="F27" s="56">
        <v>1</v>
      </c>
      <c r="G27" s="56">
        <v>12</v>
      </c>
      <c r="H27" s="57">
        <v>3</v>
      </c>
      <c r="I27" s="57">
        <v>1</v>
      </c>
      <c r="J27" s="57">
        <v>2</v>
      </c>
      <c r="K27" s="57">
        <v>1</v>
      </c>
      <c r="L27" s="57">
        <v>1</v>
      </c>
      <c r="M27" s="57">
        <v>3</v>
      </c>
      <c r="N27" s="57">
        <v>3</v>
      </c>
      <c r="O27" s="57">
        <v>2</v>
      </c>
      <c r="P27" s="57"/>
      <c r="Q27" s="57">
        <v>3</v>
      </c>
      <c r="R27" s="57" t="s">
        <v>73</v>
      </c>
      <c r="S27" s="57" t="s">
        <v>87</v>
      </c>
      <c r="T27" s="57" t="s">
        <v>93</v>
      </c>
      <c r="U27" s="57"/>
      <c r="V27" s="57"/>
      <c r="W27" s="57"/>
      <c r="X27" s="57"/>
      <c r="Y27" s="57"/>
      <c r="Z27" s="123" t="s">
        <v>433</v>
      </c>
      <c r="AA27" s="123" t="s">
        <v>442</v>
      </c>
      <c r="AB27" s="123" t="str">
        <f t="shared" si="3"/>
        <v>Droguería-Mensual</v>
      </c>
      <c r="AC27" s="38" t="s">
        <v>89</v>
      </c>
      <c r="AD27" s="38" t="s">
        <v>78</v>
      </c>
      <c r="AE27" s="123" t="s">
        <v>448</v>
      </c>
      <c r="AF27" s="123" t="s">
        <v>437</v>
      </c>
      <c r="AG27" s="123" t="str">
        <f t="shared" si="1"/>
        <v>Asesoramiento-Diario</v>
      </c>
      <c r="AH27" s="123"/>
      <c r="AI27" s="57">
        <v>2</v>
      </c>
      <c r="AJ27" s="38"/>
      <c r="AK27" s="123" t="s">
        <v>433</v>
      </c>
      <c r="AL27" s="123" t="s">
        <v>449</v>
      </c>
      <c r="AM27" s="123" t="str">
        <f t="shared" si="2"/>
        <v>Droguería-Depende de la Provisión</v>
      </c>
      <c r="AN27" s="38" t="s">
        <v>104</v>
      </c>
      <c r="AO27" s="38">
        <v>1</v>
      </c>
      <c r="AP27" s="38">
        <v>2</v>
      </c>
      <c r="AQ27" s="38"/>
      <c r="AR27" s="38">
        <v>2</v>
      </c>
      <c r="AS27" s="38"/>
      <c r="AT27" s="38">
        <v>1</v>
      </c>
      <c r="AU27" s="38"/>
      <c r="AV27" s="38">
        <v>1</v>
      </c>
      <c r="AW27" s="38"/>
      <c r="AX27" s="38">
        <v>1</v>
      </c>
      <c r="AY27" s="38"/>
      <c r="AZ27" s="38">
        <v>2</v>
      </c>
      <c r="BA27" s="38"/>
      <c r="BB27" s="38">
        <v>4</v>
      </c>
      <c r="BC27" s="38"/>
      <c r="BD27" s="38">
        <v>4</v>
      </c>
      <c r="BE27" s="38"/>
      <c r="BF27" s="38">
        <v>4</v>
      </c>
      <c r="BG27" s="40"/>
      <c r="BH27" s="38">
        <v>3</v>
      </c>
      <c r="BI27" s="38"/>
      <c r="BJ27" s="38"/>
      <c r="BK27" s="38">
        <v>1</v>
      </c>
      <c r="BL27" s="40"/>
      <c r="BM27" s="40" t="s">
        <v>91</v>
      </c>
      <c r="BN27" s="40">
        <v>3152243999</v>
      </c>
      <c r="BO27" s="40" t="s">
        <v>83</v>
      </c>
      <c r="BP27" s="42" t="s">
        <v>84</v>
      </c>
    </row>
    <row r="28" spans="1:68" x14ac:dyDescent="0.25">
      <c r="A28" s="43"/>
      <c r="B28" s="44"/>
      <c r="C28" s="45"/>
      <c r="D28" s="58"/>
      <c r="E28" s="58"/>
      <c r="F28" s="58"/>
      <c r="G28" s="58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124" t="s">
        <v>434</v>
      </c>
      <c r="AA28" s="124" t="s">
        <v>437</v>
      </c>
      <c r="AB28" s="124" t="str">
        <f t="shared" si="3"/>
        <v>Aseo Personal-Diario</v>
      </c>
      <c r="AC28" s="39"/>
      <c r="AD28" s="39"/>
      <c r="AE28" s="124" t="s">
        <v>440</v>
      </c>
      <c r="AF28" s="124" t="s">
        <v>437</v>
      </c>
      <c r="AG28" s="124" t="str">
        <f t="shared" si="1"/>
        <v>Domicilios-Diario</v>
      </c>
      <c r="AH28" s="124"/>
      <c r="AI28" s="59"/>
      <c r="AJ28" s="39"/>
      <c r="AK28" s="124" t="s">
        <v>435</v>
      </c>
      <c r="AL28" s="124" t="s">
        <v>436</v>
      </c>
      <c r="AM28" s="124" t="str">
        <f t="shared" si="2"/>
        <v>Dulces y Paquetes-Semanal</v>
      </c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46"/>
      <c r="BH28" s="39"/>
      <c r="BI28" s="39"/>
      <c r="BJ28" s="39"/>
      <c r="BK28" s="39"/>
      <c r="BL28" s="46"/>
      <c r="BM28" s="46"/>
      <c r="BN28" s="46"/>
      <c r="BO28" s="46"/>
      <c r="BP28" s="48"/>
    </row>
    <row r="29" spans="1:68" x14ac:dyDescent="0.25">
      <c r="A29" s="43"/>
      <c r="B29" s="44"/>
      <c r="C29" s="45"/>
      <c r="D29" s="58"/>
      <c r="E29" s="58"/>
      <c r="F29" s="58"/>
      <c r="G29" s="58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124" t="s">
        <v>77</v>
      </c>
      <c r="AA29" s="124" t="s">
        <v>437</v>
      </c>
      <c r="AB29" s="124" t="str">
        <f t="shared" si="3"/>
        <v>Limpieza-Diario</v>
      </c>
      <c r="AC29" s="39"/>
      <c r="AD29" s="39"/>
      <c r="AE29" s="124" t="s">
        <v>441</v>
      </c>
      <c r="AF29" s="124" t="s">
        <v>437</v>
      </c>
      <c r="AG29" s="124" t="str">
        <f t="shared" si="1"/>
        <v>Atención al Cliente-Diario</v>
      </c>
      <c r="AH29" s="124"/>
      <c r="AI29" s="59"/>
      <c r="AJ29" s="39"/>
      <c r="AK29" s="124" t="s">
        <v>434</v>
      </c>
      <c r="AL29" s="124" t="s">
        <v>442</v>
      </c>
      <c r="AM29" s="124" t="str">
        <f t="shared" si="2"/>
        <v>Aseo Personal-Mensual</v>
      </c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46"/>
      <c r="BH29" s="39"/>
      <c r="BI29" s="39"/>
      <c r="BJ29" s="39"/>
      <c r="BK29" s="39"/>
      <c r="BL29" s="46"/>
      <c r="BM29" s="46"/>
      <c r="BN29" s="46"/>
      <c r="BO29" s="46"/>
      <c r="BP29" s="48"/>
    </row>
    <row r="30" spans="1:68" x14ac:dyDescent="0.25">
      <c r="A30" s="49"/>
      <c r="B30" s="50"/>
      <c r="C30" s="51"/>
      <c r="D30" s="60"/>
      <c r="E30" s="60"/>
      <c r="F30" s="60"/>
      <c r="G30" s="60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125" t="s">
        <v>435</v>
      </c>
      <c r="AA30" s="125" t="s">
        <v>437</v>
      </c>
      <c r="AB30" s="125" t="str">
        <f t="shared" si="3"/>
        <v>Dulces y Paquetes-Diario</v>
      </c>
      <c r="AC30" s="7"/>
      <c r="AD30" s="7"/>
      <c r="AE30" s="125"/>
      <c r="AF30" s="125"/>
      <c r="AG30" s="125" t="str">
        <f t="shared" si="1"/>
        <v>-</v>
      </c>
      <c r="AH30" s="125"/>
      <c r="AI30" s="61"/>
      <c r="AJ30" s="7"/>
      <c r="AK30" s="125"/>
      <c r="AL30" s="125"/>
      <c r="AM30" s="125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52"/>
      <c r="BH30" s="7"/>
      <c r="BI30" s="7"/>
      <c r="BJ30" s="7"/>
      <c r="BK30" s="7"/>
      <c r="BL30" s="52"/>
      <c r="BM30" s="52"/>
      <c r="BN30" s="52"/>
      <c r="BO30" s="52"/>
      <c r="BP30" s="54"/>
    </row>
    <row r="31" spans="1:68" x14ac:dyDescent="0.25">
      <c r="A31" s="35">
        <v>8</v>
      </c>
      <c r="B31" s="36">
        <v>44804</v>
      </c>
      <c r="C31" s="37" t="s">
        <v>113</v>
      </c>
      <c r="D31" s="56">
        <v>2</v>
      </c>
      <c r="E31" s="56">
        <v>2</v>
      </c>
      <c r="F31" s="56">
        <v>1</v>
      </c>
      <c r="G31" s="56">
        <v>12</v>
      </c>
      <c r="H31" s="57">
        <v>4</v>
      </c>
      <c r="I31" s="57">
        <v>1</v>
      </c>
      <c r="J31" s="57">
        <v>2</v>
      </c>
      <c r="K31" s="57">
        <v>2</v>
      </c>
      <c r="L31" s="57">
        <v>1</v>
      </c>
      <c r="M31" s="57">
        <v>3</v>
      </c>
      <c r="N31" s="57">
        <v>3</v>
      </c>
      <c r="O31" s="57">
        <v>2</v>
      </c>
      <c r="P31" s="57"/>
      <c r="Q31" s="57">
        <v>3</v>
      </c>
      <c r="R31" s="57" t="s">
        <v>114</v>
      </c>
      <c r="S31" s="57" t="s">
        <v>93</v>
      </c>
      <c r="T31" s="57" t="s">
        <v>73</v>
      </c>
      <c r="U31" s="57"/>
      <c r="V31" s="57" t="s">
        <v>79</v>
      </c>
      <c r="W31" s="57" t="s">
        <v>115</v>
      </c>
      <c r="X31" s="57" t="s">
        <v>0</v>
      </c>
      <c r="Y31" s="57"/>
      <c r="Z31" s="123" t="s">
        <v>433</v>
      </c>
      <c r="AA31" s="123" t="s">
        <v>437</v>
      </c>
      <c r="AB31" s="123" t="str">
        <f t="shared" si="3"/>
        <v>Droguería-Diario</v>
      </c>
      <c r="AC31" s="38" t="s">
        <v>77</v>
      </c>
      <c r="AD31" s="38" t="s">
        <v>78</v>
      </c>
      <c r="AE31" s="123"/>
      <c r="AF31" s="123"/>
      <c r="AG31" s="123" t="str">
        <f t="shared" si="1"/>
        <v>-</v>
      </c>
      <c r="AH31" s="123"/>
      <c r="AI31" s="57">
        <v>2</v>
      </c>
      <c r="AJ31" s="38"/>
      <c r="AK31" s="123" t="s">
        <v>433</v>
      </c>
      <c r="AL31" s="123" t="s">
        <v>442</v>
      </c>
      <c r="AM31" s="123" t="str">
        <f t="shared" si="2"/>
        <v>Droguería-Mensual</v>
      </c>
      <c r="AN31" s="38" t="s">
        <v>104</v>
      </c>
      <c r="AO31" s="38">
        <v>4</v>
      </c>
      <c r="AP31" s="38">
        <v>2</v>
      </c>
      <c r="AQ31" s="38"/>
      <c r="AR31" s="38">
        <v>2</v>
      </c>
      <c r="AS31" s="38" t="s">
        <v>116</v>
      </c>
      <c r="AT31" s="38">
        <v>5</v>
      </c>
      <c r="AU31" s="38"/>
      <c r="AV31" s="38">
        <v>4</v>
      </c>
      <c r="AW31" s="38"/>
      <c r="AX31" s="38">
        <v>1</v>
      </c>
      <c r="AY31" s="38"/>
      <c r="AZ31" s="38">
        <v>2</v>
      </c>
      <c r="BA31" s="38"/>
      <c r="BB31" s="38">
        <v>1</v>
      </c>
      <c r="BC31" s="38"/>
      <c r="BD31" s="38">
        <v>7</v>
      </c>
      <c r="BE31" s="38"/>
      <c r="BF31" s="38">
        <v>4</v>
      </c>
      <c r="BG31" s="40"/>
      <c r="BH31" s="38">
        <v>3</v>
      </c>
      <c r="BI31" s="38" t="s">
        <v>117</v>
      </c>
      <c r="BJ31" s="38" t="s">
        <v>107</v>
      </c>
      <c r="BK31" s="38">
        <v>4</v>
      </c>
      <c r="BL31" s="40"/>
      <c r="BM31" s="40" t="s">
        <v>118</v>
      </c>
      <c r="BN31" s="40">
        <v>3208036185</v>
      </c>
      <c r="BO31" s="40" t="s">
        <v>83</v>
      </c>
      <c r="BP31" s="42" t="s">
        <v>84</v>
      </c>
    </row>
    <row r="32" spans="1:68" x14ac:dyDescent="0.25">
      <c r="A32" s="43"/>
      <c r="B32" s="44"/>
      <c r="C32" s="45"/>
      <c r="D32" s="58"/>
      <c r="E32" s="58"/>
      <c r="F32" s="58"/>
      <c r="G32" s="58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124" t="s">
        <v>434</v>
      </c>
      <c r="AA32" s="124" t="s">
        <v>437</v>
      </c>
      <c r="AB32" s="124" t="str">
        <f t="shared" si="3"/>
        <v>Aseo Personal-Diario</v>
      </c>
      <c r="AC32" s="39"/>
      <c r="AD32" s="39"/>
      <c r="AE32" s="124"/>
      <c r="AF32" s="124"/>
      <c r="AG32" s="124" t="str">
        <f t="shared" si="1"/>
        <v>-</v>
      </c>
      <c r="AH32" s="124"/>
      <c r="AI32" s="59"/>
      <c r="AJ32" s="39"/>
      <c r="AK32" s="124" t="s">
        <v>435</v>
      </c>
      <c r="AL32" s="124" t="s">
        <v>509</v>
      </c>
      <c r="AM32" s="124" t="str">
        <f t="shared" si="2"/>
        <v>Dulces y Paquetes-Quincenal</v>
      </c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46"/>
      <c r="BH32" s="39"/>
      <c r="BI32" s="39"/>
      <c r="BJ32" s="39"/>
      <c r="BK32" s="39"/>
      <c r="BL32" s="46"/>
      <c r="BM32" s="46"/>
      <c r="BN32" s="46"/>
      <c r="BO32" s="46"/>
      <c r="BP32" s="48"/>
    </row>
    <row r="33" spans="1:68" x14ac:dyDescent="0.25">
      <c r="A33" s="43"/>
      <c r="B33" s="44"/>
      <c r="C33" s="45"/>
      <c r="D33" s="58"/>
      <c r="E33" s="58"/>
      <c r="F33" s="58"/>
      <c r="G33" s="58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124" t="s">
        <v>435</v>
      </c>
      <c r="AA33" s="124" t="s">
        <v>437</v>
      </c>
      <c r="AB33" s="124" t="str">
        <f t="shared" si="3"/>
        <v>Dulces y Paquetes-Diario</v>
      </c>
      <c r="AC33" s="39"/>
      <c r="AD33" s="39"/>
      <c r="AE33" s="124"/>
      <c r="AF33" s="124"/>
      <c r="AG33" s="124" t="str">
        <f t="shared" si="1"/>
        <v>-</v>
      </c>
      <c r="AH33" s="124"/>
      <c r="AI33" s="59"/>
      <c r="AJ33" s="39"/>
      <c r="AK33" s="124" t="s">
        <v>434</v>
      </c>
      <c r="AL33" s="124" t="s">
        <v>509</v>
      </c>
      <c r="AM33" s="124" t="str">
        <f t="shared" si="2"/>
        <v>Aseo Personal-Quincenal</v>
      </c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46"/>
      <c r="BH33" s="39"/>
      <c r="BI33" s="39"/>
      <c r="BJ33" s="39"/>
      <c r="BK33" s="39"/>
      <c r="BL33" s="46"/>
      <c r="BM33" s="46"/>
      <c r="BN33" s="46"/>
      <c r="BO33" s="46"/>
      <c r="BP33" s="48"/>
    </row>
    <row r="34" spans="1:68" x14ac:dyDescent="0.25">
      <c r="A34" s="49"/>
      <c r="B34" s="50"/>
      <c r="C34" s="51"/>
      <c r="D34" s="60"/>
      <c r="E34" s="60"/>
      <c r="F34" s="60"/>
      <c r="G34" s="60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125"/>
      <c r="AA34" s="125"/>
      <c r="AB34" s="125"/>
      <c r="AC34" s="7"/>
      <c r="AD34" s="7"/>
      <c r="AE34" s="125"/>
      <c r="AF34" s="125"/>
      <c r="AG34" s="125" t="str">
        <f t="shared" si="1"/>
        <v>-</v>
      </c>
      <c r="AH34" s="125"/>
      <c r="AI34" s="61"/>
      <c r="AJ34" s="7"/>
      <c r="AK34" s="125" t="s">
        <v>77</v>
      </c>
      <c r="AL34" s="125" t="s">
        <v>436</v>
      </c>
      <c r="AM34" s="125" t="str">
        <f t="shared" si="2"/>
        <v>Limpieza-Semanal</v>
      </c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52"/>
      <c r="BH34" s="7"/>
      <c r="BI34" s="7"/>
      <c r="BJ34" s="7"/>
      <c r="BK34" s="7"/>
      <c r="BL34" s="52"/>
      <c r="BM34" s="52"/>
      <c r="BN34" s="52"/>
      <c r="BO34" s="52"/>
      <c r="BP34" s="54"/>
    </row>
    <row r="35" spans="1:68" x14ac:dyDescent="0.25">
      <c r="A35" s="35">
        <v>9</v>
      </c>
      <c r="B35" s="36">
        <v>44804</v>
      </c>
      <c r="C35" s="37" t="s">
        <v>119</v>
      </c>
      <c r="D35" s="56">
        <v>2</v>
      </c>
      <c r="E35" s="56">
        <v>2</v>
      </c>
      <c r="F35" s="56">
        <v>1</v>
      </c>
      <c r="G35" s="56">
        <v>11</v>
      </c>
      <c r="H35" s="57">
        <v>1</v>
      </c>
      <c r="I35" s="57">
        <v>2</v>
      </c>
      <c r="J35" s="57">
        <v>2</v>
      </c>
      <c r="K35" s="57">
        <v>1</v>
      </c>
      <c r="L35" s="57">
        <v>1</v>
      </c>
      <c r="M35" s="57">
        <v>2</v>
      </c>
      <c r="N35" s="57">
        <v>3</v>
      </c>
      <c r="O35" s="57">
        <v>2</v>
      </c>
      <c r="P35" s="57"/>
      <c r="Q35" s="57">
        <v>3</v>
      </c>
      <c r="R35" s="57" t="s">
        <v>93</v>
      </c>
      <c r="S35" s="57" t="s">
        <v>120</v>
      </c>
      <c r="T35" s="57" t="s">
        <v>121</v>
      </c>
      <c r="U35" s="57"/>
      <c r="V35" s="57"/>
      <c r="W35" s="57"/>
      <c r="X35" s="57"/>
      <c r="Y35" s="57"/>
      <c r="Z35" s="123" t="s">
        <v>433</v>
      </c>
      <c r="AA35" s="123" t="s">
        <v>436</v>
      </c>
      <c r="AB35" s="123" t="str">
        <f>+CONCATENATE(Z35,"-",AA35)</f>
        <v>Droguería-Semanal</v>
      </c>
      <c r="AC35" s="38" t="s">
        <v>77</v>
      </c>
      <c r="AD35" s="38" t="s">
        <v>78</v>
      </c>
      <c r="AE35" s="123" t="s">
        <v>441</v>
      </c>
      <c r="AF35" s="123" t="s">
        <v>437</v>
      </c>
      <c r="AG35" s="123" t="str">
        <f t="shared" si="1"/>
        <v>Atención al Cliente-Diario</v>
      </c>
      <c r="AH35" s="123"/>
      <c r="AI35" s="57">
        <v>2</v>
      </c>
      <c r="AJ35" s="38"/>
      <c r="AK35" s="123" t="s">
        <v>433</v>
      </c>
      <c r="AL35" s="123" t="s">
        <v>449</v>
      </c>
      <c r="AM35" s="123" t="str">
        <f t="shared" si="2"/>
        <v>Droguería-Depende de la Provisión</v>
      </c>
      <c r="AN35" s="38" t="s">
        <v>104</v>
      </c>
      <c r="AO35" s="38">
        <v>1</v>
      </c>
      <c r="AP35" s="38">
        <v>2</v>
      </c>
      <c r="AQ35" s="38"/>
      <c r="AR35" s="38">
        <v>2</v>
      </c>
      <c r="AS35" s="38"/>
      <c r="AT35" s="38">
        <v>1</v>
      </c>
      <c r="AU35" s="38"/>
      <c r="AV35" s="38">
        <v>1</v>
      </c>
      <c r="AW35" s="38"/>
      <c r="AX35" s="38">
        <v>1</v>
      </c>
      <c r="AY35" s="38"/>
      <c r="AZ35" s="38">
        <v>2</v>
      </c>
      <c r="BA35" s="38"/>
      <c r="BB35" s="38">
        <v>6</v>
      </c>
      <c r="BC35" s="38"/>
      <c r="BD35" s="38">
        <v>4</v>
      </c>
      <c r="BE35" s="38"/>
      <c r="BF35" s="38">
        <v>4</v>
      </c>
      <c r="BG35" s="40"/>
      <c r="BH35" s="38">
        <v>3</v>
      </c>
      <c r="BI35" s="40"/>
      <c r="BJ35" s="40"/>
      <c r="BK35" s="38">
        <v>1</v>
      </c>
      <c r="BL35" s="40"/>
      <c r="BM35" s="40" t="s">
        <v>91</v>
      </c>
      <c r="BN35" s="40">
        <v>3195842598</v>
      </c>
      <c r="BO35" s="40" t="s">
        <v>83</v>
      </c>
      <c r="BP35" s="42" t="s">
        <v>84</v>
      </c>
    </row>
    <row r="36" spans="1:68" x14ac:dyDescent="0.25">
      <c r="A36" s="43"/>
      <c r="B36" s="44"/>
      <c r="C36" s="45"/>
      <c r="D36" s="58"/>
      <c r="E36" s="58"/>
      <c r="F36" s="58"/>
      <c r="G36" s="58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124" t="s">
        <v>434</v>
      </c>
      <c r="AA36" s="124" t="s">
        <v>437</v>
      </c>
      <c r="AB36" s="124" t="str">
        <f t="shared" ref="AB36:AB42" si="4">+CONCATENATE(Z36,"-",AA36)</f>
        <v>Aseo Personal-Diario</v>
      </c>
      <c r="AC36" s="39"/>
      <c r="AD36" s="39"/>
      <c r="AE36" s="124"/>
      <c r="AF36" s="124"/>
      <c r="AG36" s="124" t="str">
        <f t="shared" si="1"/>
        <v>-</v>
      </c>
      <c r="AH36" s="124"/>
      <c r="AI36" s="59"/>
      <c r="AJ36" s="39"/>
      <c r="AK36" s="124" t="s">
        <v>435</v>
      </c>
      <c r="AL36" s="124" t="s">
        <v>436</v>
      </c>
      <c r="AM36" s="124" t="str">
        <f t="shared" si="2"/>
        <v>Dulces y Paquetes-Semanal</v>
      </c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46"/>
      <c r="BH36" s="39"/>
      <c r="BI36" s="46"/>
      <c r="BJ36" s="46"/>
      <c r="BK36" s="39"/>
      <c r="BL36" s="46"/>
      <c r="BM36" s="46"/>
      <c r="BN36" s="46"/>
      <c r="BO36" s="46"/>
      <c r="BP36" s="48"/>
    </row>
    <row r="37" spans="1:68" x14ac:dyDescent="0.25">
      <c r="A37" s="43"/>
      <c r="B37" s="44"/>
      <c r="C37" s="45"/>
      <c r="D37" s="58"/>
      <c r="E37" s="58"/>
      <c r="F37" s="58"/>
      <c r="G37" s="58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124" t="s">
        <v>77</v>
      </c>
      <c r="AA37" s="124" t="s">
        <v>437</v>
      </c>
      <c r="AB37" s="124" t="str">
        <f t="shared" si="4"/>
        <v>Limpieza-Diario</v>
      </c>
      <c r="AC37" s="39"/>
      <c r="AD37" s="39"/>
      <c r="AE37" s="124"/>
      <c r="AF37" s="124"/>
      <c r="AG37" s="124" t="str">
        <f t="shared" si="1"/>
        <v>-</v>
      </c>
      <c r="AH37" s="124"/>
      <c r="AI37" s="59"/>
      <c r="AJ37" s="39"/>
      <c r="AK37" s="124" t="s">
        <v>434</v>
      </c>
      <c r="AL37" s="124" t="s">
        <v>509</v>
      </c>
      <c r="AM37" s="124" t="str">
        <f t="shared" si="2"/>
        <v>Aseo Personal-Quincenal</v>
      </c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46"/>
      <c r="BH37" s="39"/>
      <c r="BI37" s="46"/>
      <c r="BJ37" s="46"/>
      <c r="BK37" s="39"/>
      <c r="BL37" s="46"/>
      <c r="BM37" s="46"/>
      <c r="BN37" s="46"/>
      <c r="BO37" s="46"/>
      <c r="BP37" s="48"/>
    </row>
    <row r="38" spans="1:68" x14ac:dyDescent="0.25">
      <c r="A38" s="49"/>
      <c r="B38" s="50"/>
      <c r="C38" s="51"/>
      <c r="D38" s="60"/>
      <c r="E38" s="60"/>
      <c r="F38" s="60"/>
      <c r="G38" s="60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125" t="s">
        <v>435</v>
      </c>
      <c r="AA38" s="125" t="s">
        <v>437</v>
      </c>
      <c r="AB38" s="125" t="str">
        <f t="shared" si="4"/>
        <v>Dulces y Paquetes-Diario</v>
      </c>
      <c r="AC38" s="7"/>
      <c r="AD38" s="7"/>
      <c r="AE38" s="125"/>
      <c r="AF38" s="125"/>
      <c r="AG38" s="125" t="str">
        <f t="shared" si="1"/>
        <v>-</v>
      </c>
      <c r="AH38" s="125"/>
      <c r="AI38" s="61"/>
      <c r="AJ38" s="7"/>
      <c r="AK38" s="125" t="s">
        <v>77</v>
      </c>
      <c r="AL38" s="125" t="s">
        <v>442</v>
      </c>
      <c r="AM38" s="125" t="str">
        <f t="shared" si="2"/>
        <v>Limpieza-Mensual</v>
      </c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52"/>
      <c r="BH38" s="7"/>
      <c r="BI38" s="52"/>
      <c r="BJ38" s="52"/>
      <c r="BK38" s="7"/>
      <c r="BL38" s="52"/>
      <c r="BM38" s="52"/>
      <c r="BN38" s="52"/>
      <c r="BO38" s="52"/>
      <c r="BP38" s="54"/>
    </row>
    <row r="39" spans="1:68" x14ac:dyDescent="0.25">
      <c r="A39" s="35">
        <v>10</v>
      </c>
      <c r="B39" s="36">
        <v>44803</v>
      </c>
      <c r="C39" s="37" t="s">
        <v>122</v>
      </c>
      <c r="D39" s="56">
        <v>2</v>
      </c>
      <c r="E39" s="56">
        <v>2</v>
      </c>
      <c r="F39" s="56">
        <v>1</v>
      </c>
      <c r="G39" s="56">
        <v>12</v>
      </c>
      <c r="H39" s="57">
        <v>3</v>
      </c>
      <c r="I39" s="57">
        <v>1</v>
      </c>
      <c r="J39" s="57">
        <v>3</v>
      </c>
      <c r="K39" s="57">
        <v>2</v>
      </c>
      <c r="L39" s="57">
        <v>1</v>
      </c>
      <c r="M39" s="57">
        <v>3</v>
      </c>
      <c r="N39" s="57">
        <v>3</v>
      </c>
      <c r="O39" s="57">
        <v>3</v>
      </c>
      <c r="P39" s="57"/>
      <c r="Q39" s="57">
        <v>2</v>
      </c>
      <c r="R39" s="57" t="s">
        <v>93</v>
      </c>
      <c r="S39" s="57" t="s">
        <v>123</v>
      </c>
      <c r="T39" s="57" t="s">
        <v>73</v>
      </c>
      <c r="U39" s="57"/>
      <c r="V39" s="57" t="s">
        <v>79</v>
      </c>
      <c r="W39" s="57" t="s">
        <v>125</v>
      </c>
      <c r="X39" s="57" t="s">
        <v>124</v>
      </c>
      <c r="Y39" s="57"/>
      <c r="Z39" s="123" t="s">
        <v>433</v>
      </c>
      <c r="AA39" s="123" t="s">
        <v>436</v>
      </c>
      <c r="AB39" s="123" t="str">
        <f t="shared" si="4"/>
        <v>Droguería-Semanal</v>
      </c>
      <c r="AC39" s="38" t="s">
        <v>126</v>
      </c>
      <c r="AD39" s="38" t="s">
        <v>237</v>
      </c>
      <c r="AE39" s="123" t="s">
        <v>195</v>
      </c>
      <c r="AF39" s="123" t="s">
        <v>442</v>
      </c>
      <c r="AG39" s="123" t="str">
        <f t="shared" si="1"/>
        <v>Ofertas-Mensual</v>
      </c>
      <c r="AH39" s="123" t="s">
        <v>544</v>
      </c>
      <c r="AI39" s="57">
        <v>2</v>
      </c>
      <c r="AJ39" s="38"/>
      <c r="AK39" s="123" t="s">
        <v>433</v>
      </c>
      <c r="AL39" s="123" t="s">
        <v>442</v>
      </c>
      <c r="AM39" s="123" t="str">
        <f t="shared" si="2"/>
        <v>Droguería-Mensual</v>
      </c>
      <c r="AN39" s="38" t="s">
        <v>104</v>
      </c>
      <c r="AO39" s="38">
        <v>1</v>
      </c>
      <c r="AP39" s="38">
        <v>2</v>
      </c>
      <c r="AQ39" s="38"/>
      <c r="AR39" s="38">
        <v>2</v>
      </c>
      <c r="AS39" s="38"/>
      <c r="AT39" s="38">
        <v>3</v>
      </c>
      <c r="AU39" s="38"/>
      <c r="AV39" s="38">
        <v>1</v>
      </c>
      <c r="AW39" s="38"/>
      <c r="AX39" s="38">
        <v>1</v>
      </c>
      <c r="AY39" s="38"/>
      <c r="AZ39" s="38">
        <v>2</v>
      </c>
      <c r="BA39" s="38"/>
      <c r="BB39" s="38">
        <v>3</v>
      </c>
      <c r="BC39" s="38"/>
      <c r="BD39" s="38">
        <v>4</v>
      </c>
      <c r="BE39" s="38"/>
      <c r="BF39" s="38">
        <v>6</v>
      </c>
      <c r="BG39" s="40"/>
      <c r="BH39" s="38">
        <v>2</v>
      </c>
      <c r="BI39" s="38" t="s">
        <v>78</v>
      </c>
      <c r="BJ39" s="38" t="s">
        <v>107</v>
      </c>
      <c r="BK39" s="38">
        <v>8</v>
      </c>
      <c r="BL39" s="40"/>
      <c r="BM39" s="40" t="s">
        <v>108</v>
      </c>
      <c r="BN39" s="40">
        <v>3163633472</v>
      </c>
      <c r="BO39" s="40" t="s">
        <v>83</v>
      </c>
      <c r="BP39" s="42" t="s">
        <v>84</v>
      </c>
    </row>
    <row r="40" spans="1:68" x14ac:dyDescent="0.25">
      <c r="A40" s="43"/>
      <c r="B40" s="44"/>
      <c r="C40" s="45"/>
      <c r="D40" s="58"/>
      <c r="E40" s="58"/>
      <c r="F40" s="58"/>
      <c r="G40" s="58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124" t="s">
        <v>434</v>
      </c>
      <c r="AA40" s="124" t="s">
        <v>437</v>
      </c>
      <c r="AB40" s="124" t="str">
        <f t="shared" si="4"/>
        <v>Aseo Personal-Diario</v>
      </c>
      <c r="AC40" s="39"/>
      <c r="AD40" s="39"/>
      <c r="AE40" s="124" t="s">
        <v>440</v>
      </c>
      <c r="AF40" s="124" t="s">
        <v>436</v>
      </c>
      <c r="AG40" s="124" t="str">
        <f t="shared" si="1"/>
        <v>Domicilios-Semanal</v>
      </c>
      <c r="AH40" s="124" t="s">
        <v>545</v>
      </c>
      <c r="AI40" s="59"/>
      <c r="AJ40" s="39"/>
      <c r="AK40" s="124" t="s">
        <v>435</v>
      </c>
      <c r="AL40" s="124" t="s">
        <v>436</v>
      </c>
      <c r="AM40" s="124" t="str">
        <f t="shared" si="2"/>
        <v>Dulces y Paquetes-Semanal</v>
      </c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46"/>
      <c r="BH40" s="39"/>
      <c r="BI40" s="39"/>
      <c r="BJ40" s="39"/>
      <c r="BK40" s="39"/>
      <c r="BL40" s="46"/>
      <c r="BM40" s="46"/>
      <c r="BN40" s="46"/>
      <c r="BO40" s="46"/>
      <c r="BP40" s="48"/>
    </row>
    <row r="41" spans="1:68" x14ac:dyDescent="0.25">
      <c r="A41" s="43"/>
      <c r="B41" s="44"/>
      <c r="C41" s="45"/>
      <c r="D41" s="58"/>
      <c r="E41" s="58"/>
      <c r="F41" s="58"/>
      <c r="G41" s="58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124" t="s">
        <v>77</v>
      </c>
      <c r="AA41" s="124" t="s">
        <v>437</v>
      </c>
      <c r="AB41" s="124" t="str">
        <f t="shared" si="4"/>
        <v>Limpieza-Diario</v>
      </c>
      <c r="AC41" s="39"/>
      <c r="AD41" s="39"/>
      <c r="AE41" s="124" t="s">
        <v>441</v>
      </c>
      <c r="AF41" s="124" t="s">
        <v>437</v>
      </c>
      <c r="AG41" s="124" t="str">
        <f t="shared" si="1"/>
        <v>Atención al Cliente-Diario</v>
      </c>
      <c r="AH41" s="124" t="s">
        <v>546</v>
      </c>
      <c r="AI41" s="59"/>
      <c r="AJ41" s="39"/>
      <c r="AK41" s="124" t="s">
        <v>434</v>
      </c>
      <c r="AL41" s="124" t="s">
        <v>509</v>
      </c>
      <c r="AM41" s="124" t="str">
        <f t="shared" si="2"/>
        <v>Aseo Personal-Quincenal</v>
      </c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46"/>
      <c r="BH41" s="39"/>
      <c r="BI41" s="39"/>
      <c r="BJ41" s="39"/>
      <c r="BK41" s="39"/>
      <c r="BL41" s="46"/>
      <c r="BM41" s="46"/>
      <c r="BN41" s="46"/>
      <c r="BO41" s="46"/>
      <c r="BP41" s="48"/>
    </row>
    <row r="42" spans="1:68" x14ac:dyDescent="0.25">
      <c r="A42" s="49"/>
      <c r="B42" s="50"/>
      <c r="C42" s="51"/>
      <c r="D42" s="60"/>
      <c r="E42" s="60"/>
      <c r="F42" s="60"/>
      <c r="G42" s="60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125" t="s">
        <v>435</v>
      </c>
      <c r="AA42" s="125" t="s">
        <v>437</v>
      </c>
      <c r="AB42" s="125" t="str">
        <f t="shared" si="4"/>
        <v>Dulces y Paquetes-Diario</v>
      </c>
      <c r="AC42" s="7"/>
      <c r="AD42" s="7"/>
      <c r="AE42" s="125"/>
      <c r="AF42" s="125"/>
      <c r="AG42" s="125" t="str">
        <f t="shared" si="1"/>
        <v>-</v>
      </c>
      <c r="AH42" s="125"/>
      <c r="AI42" s="61"/>
      <c r="AJ42" s="7"/>
      <c r="AK42" s="125" t="s">
        <v>77</v>
      </c>
      <c r="AL42" s="125" t="s">
        <v>436</v>
      </c>
      <c r="AM42" s="125" t="str">
        <f t="shared" si="2"/>
        <v>Limpieza-Semanal</v>
      </c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52"/>
      <c r="BH42" s="7"/>
      <c r="BI42" s="7"/>
      <c r="BJ42" s="7"/>
      <c r="BK42" s="7"/>
      <c r="BL42" s="52"/>
      <c r="BM42" s="52"/>
      <c r="BN42" s="52"/>
      <c r="BO42" s="52"/>
      <c r="BP42" s="54"/>
    </row>
    <row r="43" spans="1:68" x14ac:dyDescent="0.25">
      <c r="A43" s="35">
        <v>11</v>
      </c>
      <c r="B43" s="36">
        <v>44803</v>
      </c>
      <c r="C43" s="37" t="s">
        <v>127</v>
      </c>
      <c r="D43" s="56">
        <v>2</v>
      </c>
      <c r="E43" s="56">
        <v>2</v>
      </c>
      <c r="F43" s="56">
        <v>1</v>
      </c>
      <c r="G43" s="56">
        <v>12</v>
      </c>
      <c r="H43" s="57">
        <v>1</v>
      </c>
      <c r="I43" s="57">
        <v>1</v>
      </c>
      <c r="J43" s="57">
        <v>1</v>
      </c>
      <c r="K43" s="57">
        <v>2</v>
      </c>
      <c r="L43" s="57">
        <v>1</v>
      </c>
      <c r="M43" s="57">
        <v>3</v>
      </c>
      <c r="N43" s="57">
        <v>3</v>
      </c>
      <c r="O43" s="57">
        <v>2</v>
      </c>
      <c r="P43" s="57"/>
      <c r="Q43" s="57">
        <v>3</v>
      </c>
      <c r="R43" s="57" t="s">
        <v>93</v>
      </c>
      <c r="S43" s="57" t="s">
        <v>88</v>
      </c>
      <c r="T43" s="57" t="s">
        <v>121</v>
      </c>
      <c r="U43" s="57"/>
      <c r="V43" s="57"/>
      <c r="W43" s="57"/>
      <c r="X43" s="57"/>
      <c r="Y43" s="57"/>
      <c r="Z43" s="123" t="s">
        <v>77</v>
      </c>
      <c r="AA43" s="123" t="s">
        <v>437</v>
      </c>
      <c r="AB43" s="123" t="str">
        <f>+CONCATENATE(Z43,"-",AA43)</f>
        <v>Limpieza-Diario</v>
      </c>
      <c r="AC43" s="38" t="s">
        <v>77</v>
      </c>
      <c r="AD43" s="38" t="s">
        <v>401</v>
      </c>
      <c r="AE43" s="123" t="s">
        <v>448</v>
      </c>
      <c r="AF43" s="123" t="s">
        <v>437</v>
      </c>
      <c r="AG43" s="123" t="str">
        <f t="shared" si="1"/>
        <v>Asesoramiento-Diario</v>
      </c>
      <c r="AH43" s="123"/>
      <c r="AI43" s="57">
        <v>2</v>
      </c>
      <c r="AJ43" s="38"/>
      <c r="AK43" s="123" t="s">
        <v>77</v>
      </c>
      <c r="AL43" s="123" t="s">
        <v>449</v>
      </c>
      <c r="AM43" s="123" t="str">
        <f t="shared" si="2"/>
        <v>Limpieza-Depende de la Provisión</v>
      </c>
      <c r="AN43" s="38" t="s">
        <v>100</v>
      </c>
      <c r="AO43" s="38">
        <v>1</v>
      </c>
      <c r="AP43" s="38">
        <v>2</v>
      </c>
      <c r="AQ43" s="38"/>
      <c r="AR43" s="38">
        <v>2</v>
      </c>
      <c r="AS43" s="38"/>
      <c r="AT43" s="38">
        <v>3</v>
      </c>
      <c r="AU43" s="38"/>
      <c r="AV43" s="38">
        <v>1</v>
      </c>
      <c r="AW43" s="38"/>
      <c r="AX43" s="38">
        <v>1</v>
      </c>
      <c r="AY43" s="38"/>
      <c r="AZ43" s="38">
        <v>2</v>
      </c>
      <c r="BA43" s="38"/>
      <c r="BB43" s="38">
        <v>6</v>
      </c>
      <c r="BC43" s="38"/>
      <c r="BD43" s="38">
        <v>4</v>
      </c>
      <c r="BE43" s="38"/>
      <c r="BF43" s="38">
        <v>6</v>
      </c>
      <c r="BG43" s="40"/>
      <c r="BH43" s="38">
        <v>3</v>
      </c>
      <c r="BI43" s="40" t="s">
        <v>128</v>
      </c>
      <c r="BJ43" s="38" t="s">
        <v>107</v>
      </c>
      <c r="BK43" s="38">
        <v>1</v>
      </c>
      <c r="BL43" s="40"/>
      <c r="BM43" s="40" t="s">
        <v>91</v>
      </c>
      <c r="BN43" s="40">
        <v>3213988980</v>
      </c>
      <c r="BO43" s="40" t="s">
        <v>83</v>
      </c>
      <c r="BP43" s="42" t="s">
        <v>84</v>
      </c>
    </row>
    <row r="44" spans="1:68" x14ac:dyDescent="0.25">
      <c r="A44" s="43"/>
      <c r="B44" s="44"/>
      <c r="C44" s="45"/>
      <c r="D44" s="58"/>
      <c r="E44" s="58"/>
      <c r="F44" s="58"/>
      <c r="G44" s="58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124"/>
      <c r="AA44" s="124"/>
      <c r="AB44" s="124"/>
      <c r="AC44" s="39"/>
      <c r="AD44" s="39"/>
      <c r="AE44" s="124" t="s">
        <v>440</v>
      </c>
      <c r="AF44" s="124" t="s">
        <v>437</v>
      </c>
      <c r="AG44" s="124" t="str">
        <f t="shared" si="1"/>
        <v>Domicilios-Diario</v>
      </c>
      <c r="AH44" s="124"/>
      <c r="AI44" s="59"/>
      <c r="AJ44" s="39"/>
      <c r="AK44" s="124"/>
      <c r="AL44" s="124"/>
      <c r="AM44" s="124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46"/>
      <c r="BH44" s="39"/>
      <c r="BI44" s="46"/>
      <c r="BJ44" s="39"/>
      <c r="BK44" s="39"/>
      <c r="BL44" s="46"/>
      <c r="BM44" s="46"/>
      <c r="BN44" s="46"/>
      <c r="BO44" s="46"/>
      <c r="BP44" s="48"/>
    </row>
    <row r="45" spans="1:68" x14ac:dyDescent="0.25">
      <c r="A45" s="49"/>
      <c r="B45" s="50"/>
      <c r="C45" s="51"/>
      <c r="D45" s="60"/>
      <c r="E45" s="60"/>
      <c r="F45" s="60"/>
      <c r="G45" s="60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125"/>
      <c r="AA45" s="125"/>
      <c r="AB45" s="125"/>
      <c r="AC45" s="7"/>
      <c r="AD45" s="7"/>
      <c r="AE45" s="125" t="s">
        <v>441</v>
      </c>
      <c r="AF45" s="125" t="s">
        <v>437</v>
      </c>
      <c r="AG45" s="125" t="str">
        <f t="shared" si="1"/>
        <v>Atención al Cliente-Diario</v>
      </c>
      <c r="AH45" s="125"/>
      <c r="AI45" s="61"/>
      <c r="AJ45" s="7"/>
      <c r="AK45" s="125"/>
      <c r="AL45" s="125"/>
      <c r="AM45" s="125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52"/>
      <c r="BH45" s="7"/>
      <c r="BI45" s="52"/>
      <c r="BJ45" s="7"/>
      <c r="BK45" s="7"/>
      <c r="BL45" s="52"/>
      <c r="BM45" s="52"/>
      <c r="BN45" s="52"/>
      <c r="BO45" s="52"/>
      <c r="BP45" s="54"/>
    </row>
    <row r="46" spans="1:68" x14ac:dyDescent="0.25">
      <c r="A46" s="35">
        <v>12</v>
      </c>
      <c r="B46" s="36">
        <v>44803</v>
      </c>
      <c r="C46" s="37" t="s">
        <v>129</v>
      </c>
      <c r="D46" s="56">
        <v>1</v>
      </c>
      <c r="E46" s="56">
        <v>2</v>
      </c>
      <c r="F46" s="56">
        <v>1</v>
      </c>
      <c r="G46" s="56">
        <v>12</v>
      </c>
      <c r="H46" s="57">
        <v>3</v>
      </c>
      <c r="I46" s="57">
        <v>1</v>
      </c>
      <c r="J46" s="57">
        <v>1</v>
      </c>
      <c r="K46" s="57">
        <v>2</v>
      </c>
      <c r="L46" s="57">
        <v>1</v>
      </c>
      <c r="M46" s="57">
        <v>3</v>
      </c>
      <c r="N46" s="57">
        <v>3</v>
      </c>
      <c r="O46" s="57">
        <v>2</v>
      </c>
      <c r="P46" s="57"/>
      <c r="Q46" s="57">
        <v>3</v>
      </c>
      <c r="R46" s="57" t="s">
        <v>73</v>
      </c>
      <c r="S46" s="57" t="s">
        <v>93</v>
      </c>
      <c r="T46" s="57" t="s">
        <v>121</v>
      </c>
      <c r="U46" s="57" t="s">
        <v>88</v>
      </c>
      <c r="V46" s="57"/>
      <c r="W46" s="57"/>
      <c r="X46" s="57"/>
      <c r="Y46" s="57"/>
      <c r="Z46" s="123" t="s">
        <v>433</v>
      </c>
      <c r="AA46" s="123" t="s">
        <v>436</v>
      </c>
      <c r="AB46" s="123" t="str">
        <f>+CONCATENATE(Z46,"-",AA46)</f>
        <v>Droguería-Semanal</v>
      </c>
      <c r="AC46" s="38" t="s">
        <v>188</v>
      </c>
      <c r="AD46" s="38" t="s">
        <v>78</v>
      </c>
      <c r="AE46" s="123" t="s">
        <v>448</v>
      </c>
      <c r="AF46" s="123" t="s">
        <v>437</v>
      </c>
      <c r="AG46" s="123" t="str">
        <f t="shared" si="1"/>
        <v>Asesoramiento-Diario</v>
      </c>
      <c r="AH46" s="123"/>
      <c r="AI46" s="57">
        <v>2</v>
      </c>
      <c r="AJ46" s="38"/>
      <c r="AK46" s="123" t="s">
        <v>433</v>
      </c>
      <c r="AL46" s="123" t="s">
        <v>449</v>
      </c>
      <c r="AM46" s="123" t="str">
        <f t="shared" si="2"/>
        <v>Droguería-Depende de la Provisión</v>
      </c>
      <c r="AN46" s="38" t="s">
        <v>100</v>
      </c>
      <c r="AO46" s="38">
        <v>1</v>
      </c>
      <c r="AP46" s="38">
        <v>2</v>
      </c>
      <c r="AQ46" s="38"/>
      <c r="AR46" s="38">
        <v>2</v>
      </c>
      <c r="AS46" s="38"/>
      <c r="AT46" s="38">
        <v>1</v>
      </c>
      <c r="AU46" s="38"/>
      <c r="AV46" s="38">
        <v>1</v>
      </c>
      <c r="AW46" s="38"/>
      <c r="AX46" s="38">
        <v>1</v>
      </c>
      <c r="AY46" s="38"/>
      <c r="AZ46" s="38">
        <v>2</v>
      </c>
      <c r="BA46" s="38"/>
      <c r="BB46" s="38">
        <v>6</v>
      </c>
      <c r="BC46" s="38"/>
      <c r="BD46" s="38">
        <v>4</v>
      </c>
      <c r="BE46" s="38"/>
      <c r="BF46" s="38">
        <v>6</v>
      </c>
      <c r="BG46" s="40"/>
      <c r="BH46" s="38">
        <v>3</v>
      </c>
      <c r="BI46" s="40" t="s">
        <v>130</v>
      </c>
      <c r="BJ46" s="40" t="s">
        <v>131</v>
      </c>
      <c r="BK46" s="38">
        <v>1</v>
      </c>
      <c r="BL46" s="40"/>
      <c r="BM46" s="40" t="s">
        <v>91</v>
      </c>
      <c r="BN46" s="40">
        <v>3188071770</v>
      </c>
      <c r="BO46" s="40" t="s">
        <v>83</v>
      </c>
      <c r="BP46" s="42" t="s">
        <v>84</v>
      </c>
    </row>
    <row r="47" spans="1:68" x14ac:dyDescent="0.25">
      <c r="A47" s="43"/>
      <c r="B47" s="44"/>
      <c r="C47" s="45"/>
      <c r="D47" s="58"/>
      <c r="E47" s="58"/>
      <c r="F47" s="58"/>
      <c r="G47" s="58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124" t="s">
        <v>434</v>
      </c>
      <c r="AA47" s="124" t="s">
        <v>509</v>
      </c>
      <c r="AB47" s="124" t="str">
        <f t="shared" ref="AB47:AB69" si="5">+CONCATENATE(Z47,"-",AA47)</f>
        <v>Aseo Personal-Quincenal</v>
      </c>
      <c r="AC47" s="39"/>
      <c r="AD47" s="39"/>
      <c r="AE47" s="124" t="s">
        <v>441</v>
      </c>
      <c r="AF47" s="124" t="s">
        <v>437</v>
      </c>
      <c r="AG47" s="124" t="str">
        <f t="shared" si="1"/>
        <v>Atención al Cliente-Diario</v>
      </c>
      <c r="AH47" s="124"/>
      <c r="AI47" s="59"/>
      <c r="AJ47" s="39"/>
      <c r="AK47" s="124" t="s">
        <v>435</v>
      </c>
      <c r="AL47" s="124" t="s">
        <v>436</v>
      </c>
      <c r="AM47" s="124" t="str">
        <f t="shared" si="2"/>
        <v>Dulces y Paquetes-Semanal</v>
      </c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46"/>
      <c r="BH47" s="39"/>
      <c r="BI47" s="46"/>
      <c r="BJ47" s="46"/>
      <c r="BK47" s="39"/>
      <c r="BL47" s="46"/>
      <c r="BM47" s="46"/>
      <c r="BN47" s="46"/>
      <c r="BO47" s="46"/>
      <c r="BP47" s="48"/>
    </row>
    <row r="48" spans="1:68" x14ac:dyDescent="0.25">
      <c r="A48" s="43"/>
      <c r="B48" s="44"/>
      <c r="C48" s="45"/>
      <c r="D48" s="58"/>
      <c r="E48" s="58"/>
      <c r="F48" s="58"/>
      <c r="G48" s="58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124" t="s">
        <v>77</v>
      </c>
      <c r="AA48" s="124" t="s">
        <v>436</v>
      </c>
      <c r="AB48" s="124" t="str">
        <f t="shared" si="5"/>
        <v>Limpieza-Semanal</v>
      </c>
      <c r="AC48" s="39"/>
      <c r="AD48" s="39"/>
      <c r="AE48" s="124"/>
      <c r="AF48" s="124"/>
      <c r="AG48" s="124" t="str">
        <f t="shared" si="1"/>
        <v>-</v>
      </c>
      <c r="AH48" s="124"/>
      <c r="AI48" s="59"/>
      <c r="AJ48" s="39"/>
      <c r="AK48" s="124" t="s">
        <v>434</v>
      </c>
      <c r="AL48" s="124" t="s">
        <v>442</v>
      </c>
      <c r="AM48" s="124" t="str">
        <f t="shared" si="2"/>
        <v>Aseo Personal-Mensual</v>
      </c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46"/>
      <c r="BH48" s="39"/>
      <c r="BI48" s="46"/>
      <c r="BJ48" s="46"/>
      <c r="BK48" s="39"/>
      <c r="BL48" s="46"/>
      <c r="BM48" s="46"/>
      <c r="BN48" s="46"/>
      <c r="BO48" s="46"/>
      <c r="BP48" s="48"/>
    </row>
    <row r="49" spans="1:68" x14ac:dyDescent="0.25">
      <c r="A49" s="49"/>
      <c r="B49" s="50"/>
      <c r="C49" s="51"/>
      <c r="D49" s="60"/>
      <c r="E49" s="60"/>
      <c r="F49" s="60"/>
      <c r="G49" s="60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125" t="s">
        <v>435</v>
      </c>
      <c r="AA49" s="125" t="s">
        <v>509</v>
      </c>
      <c r="AB49" s="125" t="str">
        <f t="shared" si="5"/>
        <v>Dulces y Paquetes-Quincenal</v>
      </c>
      <c r="AC49" s="7"/>
      <c r="AD49" s="7"/>
      <c r="AE49" s="125"/>
      <c r="AF49" s="125"/>
      <c r="AG49" s="125" t="str">
        <f t="shared" si="1"/>
        <v>-</v>
      </c>
      <c r="AH49" s="125"/>
      <c r="AI49" s="61"/>
      <c r="AJ49" s="7"/>
      <c r="AK49" s="125" t="s">
        <v>77</v>
      </c>
      <c r="AL49" s="125" t="s">
        <v>442</v>
      </c>
      <c r="AM49" s="125" t="str">
        <f t="shared" si="2"/>
        <v>Limpieza-Mensual</v>
      </c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52"/>
      <c r="BH49" s="7"/>
      <c r="BI49" s="52"/>
      <c r="BJ49" s="52"/>
      <c r="BK49" s="7"/>
      <c r="BL49" s="52"/>
      <c r="BM49" s="52"/>
      <c r="BN49" s="52"/>
      <c r="BO49" s="52"/>
      <c r="BP49" s="54"/>
    </row>
    <row r="50" spans="1:68" x14ac:dyDescent="0.25">
      <c r="A50" s="35">
        <v>13</v>
      </c>
      <c r="B50" s="36">
        <v>44803</v>
      </c>
      <c r="C50" s="37" t="s">
        <v>132</v>
      </c>
      <c r="D50" s="56">
        <v>2</v>
      </c>
      <c r="E50" s="56">
        <v>1</v>
      </c>
      <c r="F50" s="56">
        <v>1</v>
      </c>
      <c r="G50" s="56">
        <v>12</v>
      </c>
      <c r="H50" s="57">
        <v>3</v>
      </c>
      <c r="I50" s="57">
        <v>1</v>
      </c>
      <c r="J50" s="57">
        <v>2</v>
      </c>
      <c r="K50" s="57">
        <v>2</v>
      </c>
      <c r="L50" s="57">
        <v>1</v>
      </c>
      <c r="M50" s="57">
        <v>3</v>
      </c>
      <c r="N50" s="57">
        <v>3</v>
      </c>
      <c r="O50" s="57">
        <v>2</v>
      </c>
      <c r="P50" s="57"/>
      <c r="Q50" s="57">
        <v>3</v>
      </c>
      <c r="R50" s="57" t="s">
        <v>133</v>
      </c>
      <c r="S50" s="57" t="s">
        <v>134</v>
      </c>
      <c r="T50" s="57" t="s">
        <v>135</v>
      </c>
      <c r="U50" s="57" t="s">
        <v>111</v>
      </c>
      <c r="V50" s="57"/>
      <c r="W50" s="57"/>
      <c r="X50" s="57"/>
      <c r="Y50" s="57"/>
      <c r="Z50" s="123" t="s">
        <v>433</v>
      </c>
      <c r="AA50" s="123" t="s">
        <v>436</v>
      </c>
      <c r="AB50" s="123" t="str">
        <f t="shared" si="5"/>
        <v>Droguería-Semanal</v>
      </c>
      <c r="AC50" s="38" t="s">
        <v>77</v>
      </c>
      <c r="AD50" s="38" t="s">
        <v>97</v>
      </c>
      <c r="AE50" s="123" t="s">
        <v>441</v>
      </c>
      <c r="AF50" s="123" t="s">
        <v>437</v>
      </c>
      <c r="AG50" s="123" t="str">
        <f t="shared" si="1"/>
        <v>Atención al Cliente-Diario</v>
      </c>
      <c r="AH50" s="123"/>
      <c r="AI50" s="57">
        <v>2</v>
      </c>
      <c r="AJ50" s="38"/>
      <c r="AK50" s="123" t="s">
        <v>433</v>
      </c>
      <c r="AL50" s="123" t="s">
        <v>449</v>
      </c>
      <c r="AM50" s="123" t="str">
        <f t="shared" si="2"/>
        <v>Droguería-Depende de la Provisión</v>
      </c>
      <c r="AN50" s="38" t="s">
        <v>100</v>
      </c>
      <c r="AO50" s="38">
        <v>1</v>
      </c>
      <c r="AP50" s="38">
        <v>2</v>
      </c>
      <c r="AQ50" s="38"/>
      <c r="AR50" s="38">
        <v>2</v>
      </c>
      <c r="AS50" s="38"/>
      <c r="AT50" s="38">
        <v>3</v>
      </c>
      <c r="AU50" s="38"/>
      <c r="AV50" s="38">
        <v>1</v>
      </c>
      <c r="AW50" s="38"/>
      <c r="AX50" s="38">
        <v>1</v>
      </c>
      <c r="AY50" s="38"/>
      <c r="AZ50" s="38">
        <v>1</v>
      </c>
      <c r="BA50" s="38"/>
      <c r="BB50" s="38">
        <v>6</v>
      </c>
      <c r="BC50" s="38"/>
      <c r="BD50" s="38">
        <v>4</v>
      </c>
      <c r="BE50" s="38"/>
      <c r="BF50" s="38">
        <v>6</v>
      </c>
      <c r="BG50" s="40"/>
      <c r="BH50" s="38">
        <v>3</v>
      </c>
      <c r="BI50" s="38" t="s">
        <v>136</v>
      </c>
      <c r="BJ50" s="38" t="s">
        <v>107</v>
      </c>
      <c r="BK50" s="38">
        <v>3</v>
      </c>
      <c r="BL50" s="40"/>
      <c r="BM50" s="40" t="s">
        <v>91</v>
      </c>
      <c r="BN50" s="40">
        <v>3162460146</v>
      </c>
      <c r="BO50" s="40" t="s">
        <v>83</v>
      </c>
      <c r="BP50" s="42" t="s">
        <v>84</v>
      </c>
    </row>
    <row r="51" spans="1:68" x14ac:dyDescent="0.25">
      <c r="A51" s="43"/>
      <c r="B51" s="44"/>
      <c r="C51" s="45"/>
      <c r="D51" s="58"/>
      <c r="E51" s="58"/>
      <c r="F51" s="58"/>
      <c r="G51" s="58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124" t="s">
        <v>434</v>
      </c>
      <c r="AA51" s="124" t="s">
        <v>437</v>
      </c>
      <c r="AB51" s="124" t="str">
        <f t="shared" si="5"/>
        <v>Aseo Personal-Diario</v>
      </c>
      <c r="AC51" s="39"/>
      <c r="AD51" s="39"/>
      <c r="AE51" s="124"/>
      <c r="AF51" s="124"/>
      <c r="AG51" s="124" t="str">
        <f t="shared" si="1"/>
        <v>-</v>
      </c>
      <c r="AH51" s="124"/>
      <c r="AI51" s="59"/>
      <c r="AJ51" s="39"/>
      <c r="AK51" s="124" t="s">
        <v>435</v>
      </c>
      <c r="AL51" s="124" t="s">
        <v>436</v>
      </c>
      <c r="AM51" s="124" t="str">
        <f t="shared" si="2"/>
        <v>Dulces y Paquetes-Semanal</v>
      </c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46"/>
      <c r="BH51" s="39"/>
      <c r="BI51" s="39"/>
      <c r="BJ51" s="39"/>
      <c r="BK51" s="39"/>
      <c r="BL51" s="46"/>
      <c r="BM51" s="46"/>
      <c r="BN51" s="46"/>
      <c r="BO51" s="46"/>
      <c r="BP51" s="48"/>
    </row>
    <row r="52" spans="1:68" x14ac:dyDescent="0.25">
      <c r="A52" s="43"/>
      <c r="B52" s="44"/>
      <c r="C52" s="45"/>
      <c r="D52" s="58"/>
      <c r="E52" s="58"/>
      <c r="F52" s="58"/>
      <c r="G52" s="58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124" t="s">
        <v>77</v>
      </c>
      <c r="AA52" s="124" t="s">
        <v>437</v>
      </c>
      <c r="AB52" s="124" t="str">
        <f t="shared" si="5"/>
        <v>Limpieza-Diario</v>
      </c>
      <c r="AC52" s="39"/>
      <c r="AD52" s="39"/>
      <c r="AE52" s="124"/>
      <c r="AF52" s="124"/>
      <c r="AG52" s="124" t="str">
        <f t="shared" si="1"/>
        <v>-</v>
      </c>
      <c r="AH52" s="124"/>
      <c r="AI52" s="59"/>
      <c r="AJ52" s="39"/>
      <c r="AK52" s="124" t="s">
        <v>434</v>
      </c>
      <c r="AL52" s="124" t="s">
        <v>442</v>
      </c>
      <c r="AM52" s="124" t="str">
        <f t="shared" si="2"/>
        <v>Aseo Personal-Mensual</v>
      </c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46"/>
      <c r="BH52" s="39"/>
      <c r="BI52" s="39"/>
      <c r="BJ52" s="39"/>
      <c r="BK52" s="39"/>
      <c r="BL52" s="46"/>
      <c r="BM52" s="46"/>
      <c r="BN52" s="46"/>
      <c r="BO52" s="46"/>
      <c r="BP52" s="48"/>
    </row>
    <row r="53" spans="1:68" x14ac:dyDescent="0.25">
      <c r="A53" s="49"/>
      <c r="B53" s="50"/>
      <c r="C53" s="51"/>
      <c r="D53" s="60"/>
      <c r="E53" s="60"/>
      <c r="F53" s="60"/>
      <c r="G53" s="60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125" t="s">
        <v>435</v>
      </c>
      <c r="AA53" s="125" t="s">
        <v>437</v>
      </c>
      <c r="AB53" s="125" t="str">
        <f t="shared" si="5"/>
        <v>Dulces y Paquetes-Diario</v>
      </c>
      <c r="AC53" s="7"/>
      <c r="AD53" s="7"/>
      <c r="AE53" s="125"/>
      <c r="AF53" s="125"/>
      <c r="AG53" s="125" t="str">
        <f t="shared" si="1"/>
        <v>-</v>
      </c>
      <c r="AH53" s="125"/>
      <c r="AI53" s="61"/>
      <c r="AJ53" s="7"/>
      <c r="AK53" s="125" t="s">
        <v>77</v>
      </c>
      <c r="AL53" s="125" t="s">
        <v>442</v>
      </c>
      <c r="AM53" s="125" t="str">
        <f t="shared" si="2"/>
        <v>Limpieza-Mensual</v>
      </c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52"/>
      <c r="BH53" s="7"/>
      <c r="BI53" s="7"/>
      <c r="BJ53" s="7"/>
      <c r="BK53" s="7"/>
      <c r="BL53" s="52"/>
      <c r="BM53" s="52"/>
      <c r="BN53" s="52"/>
      <c r="BO53" s="52"/>
      <c r="BP53" s="54"/>
    </row>
    <row r="54" spans="1:68" x14ac:dyDescent="0.25">
      <c r="A54" s="35">
        <v>14</v>
      </c>
      <c r="B54" s="36">
        <v>44804</v>
      </c>
      <c r="C54" s="37" t="s">
        <v>137</v>
      </c>
      <c r="D54" s="56">
        <v>2</v>
      </c>
      <c r="E54" s="56">
        <v>2</v>
      </c>
      <c r="F54" s="56">
        <v>1</v>
      </c>
      <c r="G54" s="56">
        <v>12</v>
      </c>
      <c r="H54" s="57">
        <v>3</v>
      </c>
      <c r="I54" s="57">
        <v>1</v>
      </c>
      <c r="J54" s="57">
        <v>2</v>
      </c>
      <c r="K54" s="57">
        <v>2</v>
      </c>
      <c r="L54" s="57">
        <v>1</v>
      </c>
      <c r="M54" s="57">
        <v>2</v>
      </c>
      <c r="N54" s="57">
        <v>3</v>
      </c>
      <c r="O54" s="57">
        <v>2</v>
      </c>
      <c r="P54" s="57"/>
      <c r="Q54" s="57">
        <v>3</v>
      </c>
      <c r="R54" s="57" t="s">
        <v>133</v>
      </c>
      <c r="S54" s="57" t="s">
        <v>138</v>
      </c>
      <c r="T54" s="57" t="s">
        <v>135</v>
      </c>
      <c r="U54" s="57"/>
      <c r="V54" s="57"/>
      <c r="W54" s="57"/>
      <c r="X54" s="57"/>
      <c r="Y54" s="57"/>
      <c r="Z54" s="123" t="s">
        <v>433</v>
      </c>
      <c r="AA54" s="123" t="s">
        <v>442</v>
      </c>
      <c r="AB54" s="123" t="str">
        <f t="shared" si="5"/>
        <v>Droguería-Mensual</v>
      </c>
      <c r="AC54" s="38" t="s">
        <v>188</v>
      </c>
      <c r="AD54" s="38" t="s">
        <v>78</v>
      </c>
      <c r="AE54" s="123" t="s">
        <v>448</v>
      </c>
      <c r="AF54" s="123" t="s">
        <v>437</v>
      </c>
      <c r="AG54" s="123" t="str">
        <f t="shared" si="1"/>
        <v>Asesoramiento-Diario</v>
      </c>
      <c r="AH54" s="123"/>
      <c r="AI54" s="57">
        <v>2</v>
      </c>
      <c r="AJ54" s="38"/>
      <c r="AK54" s="123" t="s">
        <v>433</v>
      </c>
      <c r="AL54" s="123" t="s">
        <v>449</v>
      </c>
      <c r="AM54" s="123" t="str">
        <f t="shared" si="2"/>
        <v>Droguería-Depende de la Provisión</v>
      </c>
      <c r="AN54" s="38" t="s">
        <v>90</v>
      </c>
      <c r="AO54" s="38">
        <v>1</v>
      </c>
      <c r="AP54" s="38">
        <v>2</v>
      </c>
      <c r="AQ54" s="38"/>
      <c r="AR54" s="38">
        <v>2</v>
      </c>
      <c r="AS54" s="38"/>
      <c r="AT54" s="38">
        <v>3</v>
      </c>
      <c r="AU54" s="38"/>
      <c r="AV54" s="38">
        <v>1</v>
      </c>
      <c r="AW54" s="38"/>
      <c r="AX54" s="38">
        <v>1</v>
      </c>
      <c r="AY54" s="38"/>
      <c r="AZ54" s="38">
        <v>1</v>
      </c>
      <c r="BA54" s="38"/>
      <c r="BB54" s="38">
        <v>4</v>
      </c>
      <c r="BC54" s="38"/>
      <c r="BD54" s="38">
        <v>4</v>
      </c>
      <c r="BE54" s="38"/>
      <c r="BF54" s="38">
        <v>4</v>
      </c>
      <c r="BG54" s="40"/>
      <c r="BH54" s="38">
        <v>3</v>
      </c>
      <c r="BI54" s="40"/>
      <c r="BJ54" s="40"/>
      <c r="BK54" s="38">
        <v>1</v>
      </c>
      <c r="BL54" s="40"/>
      <c r="BM54" s="40" t="s">
        <v>139</v>
      </c>
      <c r="BN54" s="40">
        <v>3188645895</v>
      </c>
      <c r="BO54" s="40" t="s">
        <v>83</v>
      </c>
      <c r="BP54" s="42" t="s">
        <v>84</v>
      </c>
    </row>
    <row r="55" spans="1:68" x14ac:dyDescent="0.25">
      <c r="A55" s="43"/>
      <c r="B55" s="44"/>
      <c r="C55" s="45"/>
      <c r="D55" s="58"/>
      <c r="E55" s="58"/>
      <c r="F55" s="58"/>
      <c r="G55" s="58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124" t="s">
        <v>434</v>
      </c>
      <c r="AA55" s="124" t="s">
        <v>509</v>
      </c>
      <c r="AB55" s="124" t="str">
        <f t="shared" si="5"/>
        <v>Aseo Personal-Quincenal</v>
      </c>
      <c r="AC55" s="39"/>
      <c r="AD55" s="39"/>
      <c r="AE55" s="124" t="s">
        <v>441</v>
      </c>
      <c r="AF55" s="124" t="s">
        <v>437</v>
      </c>
      <c r="AG55" s="124" t="str">
        <f t="shared" si="1"/>
        <v>Atención al Cliente-Diario</v>
      </c>
      <c r="AH55" s="124"/>
      <c r="AI55" s="59"/>
      <c r="AJ55" s="39"/>
      <c r="AK55" s="124" t="s">
        <v>435</v>
      </c>
      <c r="AL55" s="124" t="s">
        <v>436</v>
      </c>
      <c r="AM55" s="124" t="str">
        <f t="shared" si="2"/>
        <v>Dulces y Paquetes-Semanal</v>
      </c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46"/>
      <c r="BH55" s="39"/>
      <c r="BI55" s="46"/>
      <c r="BJ55" s="46"/>
      <c r="BK55" s="39"/>
      <c r="BL55" s="46"/>
      <c r="BM55" s="46"/>
      <c r="BN55" s="46"/>
      <c r="BO55" s="46"/>
      <c r="BP55" s="48"/>
    </row>
    <row r="56" spans="1:68" x14ac:dyDescent="0.25">
      <c r="A56" s="43"/>
      <c r="B56" s="44"/>
      <c r="C56" s="45"/>
      <c r="D56" s="58"/>
      <c r="E56" s="58"/>
      <c r="F56" s="58"/>
      <c r="G56" s="58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124" t="s">
        <v>77</v>
      </c>
      <c r="AA56" s="124" t="s">
        <v>509</v>
      </c>
      <c r="AB56" s="124" t="str">
        <f t="shared" si="5"/>
        <v>Limpieza-Quincenal</v>
      </c>
      <c r="AC56" s="39"/>
      <c r="AD56" s="39"/>
      <c r="AE56" s="124"/>
      <c r="AF56" s="124"/>
      <c r="AG56" s="124" t="str">
        <f t="shared" si="1"/>
        <v>-</v>
      </c>
      <c r="AH56" s="124"/>
      <c r="AI56" s="59"/>
      <c r="AJ56" s="39"/>
      <c r="AK56" s="124" t="s">
        <v>434</v>
      </c>
      <c r="AL56" s="124" t="s">
        <v>509</v>
      </c>
      <c r="AM56" s="124" t="str">
        <f t="shared" si="2"/>
        <v>Aseo Personal-Quincenal</v>
      </c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46"/>
      <c r="BH56" s="39"/>
      <c r="BI56" s="46"/>
      <c r="BJ56" s="46"/>
      <c r="BK56" s="39"/>
      <c r="BL56" s="46"/>
      <c r="BM56" s="46"/>
      <c r="BN56" s="46"/>
      <c r="BO56" s="46"/>
      <c r="BP56" s="48"/>
    </row>
    <row r="57" spans="1:68" x14ac:dyDescent="0.25">
      <c r="A57" s="49"/>
      <c r="B57" s="50"/>
      <c r="C57" s="51"/>
      <c r="D57" s="60"/>
      <c r="E57" s="60"/>
      <c r="F57" s="60"/>
      <c r="G57" s="60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125" t="s">
        <v>435</v>
      </c>
      <c r="AA57" s="125" t="s">
        <v>436</v>
      </c>
      <c r="AB57" s="125" t="str">
        <f t="shared" si="5"/>
        <v>Dulces y Paquetes-Semanal</v>
      </c>
      <c r="AC57" s="7"/>
      <c r="AD57" s="7"/>
      <c r="AE57" s="125"/>
      <c r="AF57" s="125"/>
      <c r="AG57" s="125" t="str">
        <f t="shared" si="1"/>
        <v>-</v>
      </c>
      <c r="AH57" s="125"/>
      <c r="AI57" s="61"/>
      <c r="AJ57" s="7"/>
      <c r="AK57" s="125" t="s">
        <v>77</v>
      </c>
      <c r="AL57" s="125" t="s">
        <v>509</v>
      </c>
      <c r="AM57" s="125" t="str">
        <f t="shared" si="2"/>
        <v>Limpieza-Quincenal</v>
      </c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52"/>
      <c r="BH57" s="7"/>
      <c r="BI57" s="52"/>
      <c r="BJ57" s="52"/>
      <c r="BK57" s="7"/>
      <c r="BL57" s="52"/>
      <c r="BM57" s="52"/>
      <c r="BN57" s="52"/>
      <c r="BO57" s="52"/>
      <c r="BP57" s="54"/>
    </row>
    <row r="58" spans="1:68" x14ac:dyDescent="0.25">
      <c r="A58" s="35">
        <v>15</v>
      </c>
      <c r="B58" s="36">
        <v>44804</v>
      </c>
      <c r="C58" s="37" t="s">
        <v>140</v>
      </c>
      <c r="D58" s="56">
        <v>2</v>
      </c>
      <c r="E58" s="56">
        <v>2</v>
      </c>
      <c r="F58" s="56">
        <v>1</v>
      </c>
      <c r="G58" s="56">
        <v>12</v>
      </c>
      <c r="H58" s="57">
        <v>2</v>
      </c>
      <c r="I58" s="57">
        <v>2</v>
      </c>
      <c r="J58" s="57">
        <v>1</v>
      </c>
      <c r="K58" s="57">
        <v>1</v>
      </c>
      <c r="L58" s="57">
        <v>1</v>
      </c>
      <c r="M58" s="57">
        <v>2</v>
      </c>
      <c r="N58" s="57">
        <v>3</v>
      </c>
      <c r="O58" s="57">
        <v>2</v>
      </c>
      <c r="P58" s="57"/>
      <c r="Q58" s="57">
        <v>3</v>
      </c>
      <c r="R58" s="57" t="s">
        <v>111</v>
      </c>
      <c r="S58" s="57" t="s">
        <v>110</v>
      </c>
      <c r="T58" s="57" t="s">
        <v>88</v>
      </c>
      <c r="U58" s="57"/>
      <c r="V58" s="57"/>
      <c r="W58" s="57"/>
      <c r="X58" s="57"/>
      <c r="Y58" s="57"/>
      <c r="Z58" s="123" t="s">
        <v>433</v>
      </c>
      <c r="AA58" s="123" t="s">
        <v>436</v>
      </c>
      <c r="AB58" s="123" t="str">
        <f t="shared" si="5"/>
        <v>Droguería-Semanal</v>
      </c>
      <c r="AC58" s="38" t="s">
        <v>89</v>
      </c>
      <c r="AD58" s="38" t="s">
        <v>78</v>
      </c>
      <c r="AE58" s="123" t="s">
        <v>441</v>
      </c>
      <c r="AF58" s="123" t="s">
        <v>437</v>
      </c>
      <c r="AG58" s="123" t="str">
        <f t="shared" si="1"/>
        <v>Atención al Cliente-Diario</v>
      </c>
      <c r="AH58" s="123"/>
      <c r="AI58" s="57"/>
      <c r="AJ58" s="38"/>
      <c r="AK58" s="123" t="s">
        <v>433</v>
      </c>
      <c r="AL58" s="123" t="s">
        <v>449</v>
      </c>
      <c r="AM58" s="123" t="str">
        <f t="shared" si="2"/>
        <v>Droguería-Depende de la Provisión</v>
      </c>
      <c r="AN58" s="38" t="s">
        <v>104</v>
      </c>
      <c r="AO58" s="38">
        <v>1</v>
      </c>
      <c r="AP58" s="38">
        <v>2</v>
      </c>
      <c r="AQ58" s="38"/>
      <c r="AR58" s="38">
        <v>2</v>
      </c>
      <c r="AS58" s="38"/>
      <c r="AT58" s="38">
        <v>3</v>
      </c>
      <c r="AU58" s="38"/>
      <c r="AV58" s="38">
        <v>1</v>
      </c>
      <c r="AW58" s="38"/>
      <c r="AX58" s="38">
        <v>1</v>
      </c>
      <c r="AY58" s="38"/>
      <c r="AZ58" s="38">
        <v>2</v>
      </c>
      <c r="BA58" s="38"/>
      <c r="BB58" s="38">
        <v>6</v>
      </c>
      <c r="BC58" s="38"/>
      <c r="BD58" s="38">
        <v>4</v>
      </c>
      <c r="BE58" s="38"/>
      <c r="BF58" s="38">
        <v>6</v>
      </c>
      <c r="BG58" s="40"/>
      <c r="BH58" s="38">
        <v>3</v>
      </c>
      <c r="BI58" s="40"/>
      <c r="BJ58" s="40"/>
      <c r="BK58" s="38">
        <v>1</v>
      </c>
      <c r="BL58" s="40"/>
      <c r="BM58" s="40" t="s">
        <v>91</v>
      </c>
      <c r="BN58" s="40">
        <v>3163633472</v>
      </c>
      <c r="BO58" s="40" t="s">
        <v>83</v>
      </c>
      <c r="BP58" s="42" t="s">
        <v>84</v>
      </c>
    </row>
    <row r="59" spans="1:68" x14ac:dyDescent="0.25">
      <c r="A59" s="43"/>
      <c r="B59" s="44"/>
      <c r="C59" s="45"/>
      <c r="D59" s="58"/>
      <c r="E59" s="58"/>
      <c r="F59" s="58"/>
      <c r="G59" s="58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124" t="s">
        <v>434</v>
      </c>
      <c r="AA59" s="124" t="s">
        <v>437</v>
      </c>
      <c r="AB59" s="124" t="str">
        <f t="shared" si="5"/>
        <v>Aseo Personal-Diario</v>
      </c>
      <c r="AC59" s="39"/>
      <c r="AD59" s="39"/>
      <c r="AE59" s="124"/>
      <c r="AF59" s="124"/>
      <c r="AG59" s="124" t="str">
        <f t="shared" si="1"/>
        <v>-</v>
      </c>
      <c r="AH59" s="124"/>
      <c r="AI59" s="59"/>
      <c r="AJ59" s="39"/>
      <c r="AK59" s="124" t="s">
        <v>435</v>
      </c>
      <c r="AL59" s="124" t="s">
        <v>436</v>
      </c>
      <c r="AM59" s="124" t="str">
        <f t="shared" si="2"/>
        <v>Dulces y Paquetes-Semanal</v>
      </c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39"/>
      <c r="BG59" s="46"/>
      <c r="BH59" s="39"/>
      <c r="BI59" s="46"/>
      <c r="BJ59" s="46"/>
      <c r="BK59" s="39"/>
      <c r="BL59" s="46"/>
      <c r="BM59" s="46"/>
      <c r="BN59" s="46"/>
      <c r="BO59" s="46"/>
      <c r="BP59" s="48"/>
    </row>
    <row r="60" spans="1:68" x14ac:dyDescent="0.25">
      <c r="A60" s="43"/>
      <c r="B60" s="44"/>
      <c r="C60" s="45"/>
      <c r="D60" s="58"/>
      <c r="E60" s="58"/>
      <c r="F60" s="58"/>
      <c r="G60" s="58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124" t="s">
        <v>77</v>
      </c>
      <c r="AA60" s="124" t="s">
        <v>437</v>
      </c>
      <c r="AB60" s="124" t="str">
        <f t="shared" si="5"/>
        <v>Limpieza-Diario</v>
      </c>
      <c r="AC60" s="39"/>
      <c r="AD60" s="39"/>
      <c r="AE60" s="124"/>
      <c r="AF60" s="124"/>
      <c r="AG60" s="124" t="str">
        <f t="shared" si="1"/>
        <v>-</v>
      </c>
      <c r="AH60" s="124"/>
      <c r="AI60" s="59"/>
      <c r="AJ60" s="39"/>
      <c r="AK60" s="124" t="s">
        <v>434</v>
      </c>
      <c r="AL60" s="124" t="s">
        <v>442</v>
      </c>
      <c r="AM60" s="124" t="str">
        <f t="shared" si="2"/>
        <v>Aseo Personal-Mensual</v>
      </c>
      <c r="AN60" s="39"/>
      <c r="AO60" s="39"/>
      <c r="AP60" s="39"/>
      <c r="AQ60" s="39"/>
      <c r="AR60" s="39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  <c r="BF60" s="39"/>
      <c r="BG60" s="46"/>
      <c r="BH60" s="39"/>
      <c r="BI60" s="46"/>
      <c r="BJ60" s="46"/>
      <c r="BK60" s="39"/>
      <c r="BL60" s="46"/>
      <c r="BM60" s="46"/>
      <c r="BN60" s="46"/>
      <c r="BO60" s="46"/>
      <c r="BP60" s="48"/>
    </row>
    <row r="61" spans="1:68" x14ac:dyDescent="0.25">
      <c r="A61" s="49"/>
      <c r="B61" s="50"/>
      <c r="C61" s="51"/>
      <c r="D61" s="60"/>
      <c r="E61" s="60"/>
      <c r="F61" s="60"/>
      <c r="G61" s="60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125" t="s">
        <v>435</v>
      </c>
      <c r="AA61" s="125" t="s">
        <v>437</v>
      </c>
      <c r="AB61" s="125" t="str">
        <f t="shared" si="5"/>
        <v>Dulces y Paquetes-Diario</v>
      </c>
      <c r="AC61" s="7"/>
      <c r="AD61" s="7"/>
      <c r="AE61" s="125"/>
      <c r="AF61" s="125"/>
      <c r="AG61" s="125" t="str">
        <f t="shared" si="1"/>
        <v>-</v>
      </c>
      <c r="AH61" s="125"/>
      <c r="AI61" s="61"/>
      <c r="AJ61" s="7"/>
      <c r="AK61" s="125" t="s">
        <v>77</v>
      </c>
      <c r="AL61" s="125" t="s">
        <v>442</v>
      </c>
      <c r="AM61" s="125" t="str">
        <f t="shared" si="2"/>
        <v>Limpieza-Mensual</v>
      </c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52"/>
      <c r="BH61" s="7"/>
      <c r="BI61" s="52"/>
      <c r="BJ61" s="52"/>
      <c r="BK61" s="7"/>
      <c r="BL61" s="52"/>
      <c r="BM61" s="52"/>
      <c r="BN61" s="52"/>
      <c r="BO61" s="52"/>
      <c r="BP61" s="54"/>
    </row>
    <row r="62" spans="1:68" x14ac:dyDescent="0.25">
      <c r="A62" s="35">
        <v>16</v>
      </c>
      <c r="B62" s="36">
        <v>44804</v>
      </c>
      <c r="C62" s="37" t="s">
        <v>141</v>
      </c>
      <c r="D62" s="56">
        <v>2</v>
      </c>
      <c r="E62" s="56">
        <v>2</v>
      </c>
      <c r="F62" s="56">
        <v>1</v>
      </c>
      <c r="G62" s="56">
        <v>12</v>
      </c>
      <c r="H62" s="57">
        <v>2</v>
      </c>
      <c r="I62" s="57">
        <v>1</v>
      </c>
      <c r="J62" s="57">
        <v>2</v>
      </c>
      <c r="K62" s="57">
        <v>2</v>
      </c>
      <c r="L62" s="57">
        <v>2</v>
      </c>
      <c r="M62" s="57">
        <v>3</v>
      </c>
      <c r="N62" s="57">
        <v>1</v>
      </c>
      <c r="O62" s="57">
        <v>2</v>
      </c>
      <c r="P62" s="57"/>
      <c r="Q62" s="57">
        <v>3</v>
      </c>
      <c r="R62" s="57"/>
      <c r="S62" s="57"/>
      <c r="T62" s="57"/>
      <c r="U62" s="57"/>
      <c r="V62" s="57"/>
      <c r="W62" s="57"/>
      <c r="X62" s="57"/>
      <c r="Y62" s="57"/>
      <c r="Z62" s="123" t="s">
        <v>433</v>
      </c>
      <c r="AA62" s="123" t="s">
        <v>436</v>
      </c>
      <c r="AB62" s="123" t="str">
        <f t="shared" si="5"/>
        <v>Droguería-Semanal</v>
      </c>
      <c r="AC62" s="38" t="s">
        <v>89</v>
      </c>
      <c r="AD62" s="38"/>
      <c r="AE62" s="123" t="s">
        <v>178</v>
      </c>
      <c r="AF62" s="123" t="s">
        <v>442</v>
      </c>
      <c r="AG62" s="123" t="str">
        <f t="shared" si="1"/>
        <v>Promociones-Mensual</v>
      </c>
      <c r="AH62" s="123"/>
      <c r="AI62" s="57"/>
      <c r="AJ62" s="38"/>
      <c r="AK62" s="123" t="s">
        <v>433</v>
      </c>
      <c r="AL62" s="123" t="s">
        <v>449</v>
      </c>
      <c r="AM62" s="123" t="str">
        <f t="shared" si="2"/>
        <v>Droguería-Depende de la Provisión</v>
      </c>
      <c r="AN62" s="38"/>
      <c r="AO62" s="38">
        <v>1</v>
      </c>
      <c r="AP62" s="38">
        <v>2</v>
      </c>
      <c r="AQ62" s="38"/>
      <c r="AR62" s="38">
        <v>2</v>
      </c>
      <c r="AS62" s="38"/>
      <c r="AT62" s="38">
        <v>1</v>
      </c>
      <c r="AU62" s="38"/>
      <c r="AV62" s="38">
        <v>1</v>
      </c>
      <c r="AW62" s="38"/>
      <c r="AX62" s="38">
        <v>1</v>
      </c>
      <c r="AY62" s="38"/>
      <c r="AZ62" s="38">
        <v>2</v>
      </c>
      <c r="BA62" s="38"/>
      <c r="BB62" s="38">
        <v>4</v>
      </c>
      <c r="BC62" s="38"/>
      <c r="BD62" s="38">
        <v>4</v>
      </c>
      <c r="BE62" s="38"/>
      <c r="BF62" s="38">
        <v>4</v>
      </c>
      <c r="BG62" s="40"/>
      <c r="BH62" s="38">
        <v>3</v>
      </c>
      <c r="BI62" s="40"/>
      <c r="BJ62" s="40"/>
      <c r="BK62" s="38">
        <v>1</v>
      </c>
      <c r="BL62" s="40"/>
      <c r="BM62" s="40" t="s">
        <v>91</v>
      </c>
      <c r="BN62" s="40">
        <v>3156840575</v>
      </c>
      <c r="BO62" s="40" t="s">
        <v>83</v>
      </c>
      <c r="BP62" s="42" t="s">
        <v>84</v>
      </c>
    </row>
    <row r="63" spans="1:68" x14ac:dyDescent="0.25">
      <c r="A63" s="43"/>
      <c r="B63" s="44"/>
      <c r="C63" s="45"/>
      <c r="D63" s="58"/>
      <c r="E63" s="58"/>
      <c r="F63" s="58"/>
      <c r="G63" s="58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124" t="s">
        <v>434</v>
      </c>
      <c r="AA63" s="124" t="s">
        <v>437</v>
      </c>
      <c r="AB63" s="124" t="str">
        <f t="shared" si="5"/>
        <v>Aseo Personal-Diario</v>
      </c>
      <c r="AC63" s="39"/>
      <c r="AD63" s="39"/>
      <c r="AE63" s="124" t="s">
        <v>448</v>
      </c>
      <c r="AF63" s="124" t="s">
        <v>437</v>
      </c>
      <c r="AG63" s="124" t="str">
        <f t="shared" si="1"/>
        <v>Asesoramiento-Diario</v>
      </c>
      <c r="AH63" s="124"/>
      <c r="AI63" s="59"/>
      <c r="AJ63" s="39"/>
      <c r="AK63" s="124" t="s">
        <v>435</v>
      </c>
      <c r="AL63" s="124" t="s">
        <v>436</v>
      </c>
      <c r="AM63" s="124" t="str">
        <f t="shared" si="2"/>
        <v>Dulces y Paquetes-Semanal</v>
      </c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46"/>
      <c r="BH63" s="39"/>
      <c r="BI63" s="46"/>
      <c r="BJ63" s="46"/>
      <c r="BK63" s="39"/>
      <c r="BL63" s="46"/>
      <c r="BM63" s="46"/>
      <c r="BN63" s="46"/>
      <c r="BO63" s="46"/>
      <c r="BP63" s="48"/>
    </row>
    <row r="64" spans="1:68" x14ac:dyDescent="0.25">
      <c r="A64" s="43"/>
      <c r="B64" s="44"/>
      <c r="C64" s="45"/>
      <c r="D64" s="58"/>
      <c r="E64" s="58"/>
      <c r="F64" s="58"/>
      <c r="G64" s="58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124" t="s">
        <v>77</v>
      </c>
      <c r="AA64" s="124" t="s">
        <v>437</v>
      </c>
      <c r="AB64" s="124" t="str">
        <f t="shared" si="5"/>
        <v>Limpieza-Diario</v>
      </c>
      <c r="AC64" s="39"/>
      <c r="AD64" s="39"/>
      <c r="AE64" s="124" t="s">
        <v>441</v>
      </c>
      <c r="AF64" s="124" t="s">
        <v>437</v>
      </c>
      <c r="AG64" s="124" t="str">
        <f t="shared" si="1"/>
        <v>Atención al Cliente-Diario</v>
      </c>
      <c r="AH64" s="124"/>
      <c r="AI64" s="59"/>
      <c r="AJ64" s="39"/>
      <c r="AK64" s="124" t="s">
        <v>434</v>
      </c>
      <c r="AL64" s="124" t="s">
        <v>442</v>
      </c>
      <c r="AM64" s="124" t="str">
        <f t="shared" si="2"/>
        <v>Aseo Personal-Mensual</v>
      </c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  <c r="BF64" s="39"/>
      <c r="BG64" s="46"/>
      <c r="BH64" s="39"/>
      <c r="BI64" s="46"/>
      <c r="BJ64" s="46"/>
      <c r="BK64" s="39"/>
      <c r="BL64" s="46"/>
      <c r="BM64" s="46"/>
      <c r="BN64" s="46"/>
      <c r="BO64" s="46"/>
      <c r="BP64" s="48"/>
    </row>
    <row r="65" spans="1:68" x14ac:dyDescent="0.25">
      <c r="A65" s="49"/>
      <c r="B65" s="50"/>
      <c r="C65" s="51"/>
      <c r="D65" s="60"/>
      <c r="E65" s="60"/>
      <c r="F65" s="60"/>
      <c r="G65" s="60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125" t="s">
        <v>435</v>
      </c>
      <c r="AA65" s="125" t="s">
        <v>437</v>
      </c>
      <c r="AB65" s="125" t="str">
        <f t="shared" si="5"/>
        <v>Dulces y Paquetes-Diario</v>
      </c>
      <c r="AC65" s="7"/>
      <c r="AD65" s="7"/>
      <c r="AE65" s="125"/>
      <c r="AF65" s="125"/>
      <c r="AG65" s="125" t="str">
        <f t="shared" si="1"/>
        <v>-</v>
      </c>
      <c r="AH65" s="125"/>
      <c r="AI65" s="61"/>
      <c r="AJ65" s="7"/>
      <c r="AK65" s="125" t="s">
        <v>77</v>
      </c>
      <c r="AL65" s="125" t="s">
        <v>442</v>
      </c>
      <c r="AM65" s="125" t="str">
        <f t="shared" si="2"/>
        <v>Limpieza-Mensual</v>
      </c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52"/>
      <c r="BH65" s="7"/>
      <c r="BI65" s="52"/>
      <c r="BJ65" s="52"/>
      <c r="BK65" s="7"/>
      <c r="BL65" s="52"/>
      <c r="BM65" s="52"/>
      <c r="BN65" s="52"/>
      <c r="BO65" s="52"/>
      <c r="BP65" s="54"/>
    </row>
    <row r="66" spans="1:68" x14ac:dyDescent="0.25">
      <c r="A66" s="35">
        <v>17</v>
      </c>
      <c r="B66" s="36">
        <v>44802</v>
      </c>
      <c r="C66" s="37" t="s">
        <v>142</v>
      </c>
      <c r="D66" s="56">
        <v>1</v>
      </c>
      <c r="E66" s="56">
        <v>2</v>
      </c>
      <c r="F66" s="56">
        <v>1</v>
      </c>
      <c r="G66" s="56">
        <v>12</v>
      </c>
      <c r="H66" s="57">
        <v>1</v>
      </c>
      <c r="I66" s="57">
        <v>1</v>
      </c>
      <c r="J66" s="57">
        <v>3</v>
      </c>
      <c r="K66" s="57">
        <v>2</v>
      </c>
      <c r="L66" s="57">
        <v>2</v>
      </c>
      <c r="M66" s="57">
        <v>3</v>
      </c>
      <c r="N66" s="57">
        <v>3</v>
      </c>
      <c r="O66" s="57">
        <v>2</v>
      </c>
      <c r="P66" s="57"/>
      <c r="Q66" s="57">
        <v>3</v>
      </c>
      <c r="R66" s="57" t="s">
        <v>73</v>
      </c>
      <c r="S66" s="57" t="s">
        <v>143</v>
      </c>
      <c r="T66" s="57" t="s">
        <v>110</v>
      </c>
      <c r="U66" s="57" t="s">
        <v>144</v>
      </c>
      <c r="V66" s="57" t="s">
        <v>125</v>
      </c>
      <c r="W66" s="57" t="s">
        <v>145</v>
      </c>
      <c r="X66" s="57" t="s">
        <v>76</v>
      </c>
      <c r="Y66" s="57"/>
      <c r="Z66" s="123" t="s">
        <v>433</v>
      </c>
      <c r="AA66" s="123" t="s">
        <v>437</v>
      </c>
      <c r="AB66" s="123" t="str">
        <f t="shared" si="5"/>
        <v>Droguería-Diario</v>
      </c>
      <c r="AC66" s="38" t="s">
        <v>146</v>
      </c>
      <c r="AD66" s="38" t="s">
        <v>147</v>
      </c>
      <c r="AE66" s="123" t="s">
        <v>178</v>
      </c>
      <c r="AF66" s="123" t="s">
        <v>437</v>
      </c>
      <c r="AG66" s="123" t="str">
        <f t="shared" si="1"/>
        <v>Promociones-Diario</v>
      </c>
      <c r="AH66" s="123"/>
      <c r="AI66" s="57">
        <v>2</v>
      </c>
      <c r="AJ66" s="38"/>
      <c r="AK66" s="123" t="s">
        <v>433</v>
      </c>
      <c r="AL66" s="123" t="s">
        <v>509</v>
      </c>
      <c r="AM66" s="123" t="str">
        <f t="shared" si="2"/>
        <v>Droguería-Quincenal</v>
      </c>
      <c r="AN66" s="38" t="s">
        <v>104</v>
      </c>
      <c r="AO66" s="38">
        <v>1</v>
      </c>
      <c r="AP66" s="38">
        <v>1</v>
      </c>
      <c r="AQ66" s="38"/>
      <c r="AR66" s="38">
        <v>1</v>
      </c>
      <c r="AS66" s="38" t="s">
        <v>148</v>
      </c>
      <c r="AT66" s="38">
        <v>6</v>
      </c>
      <c r="AU66" s="38"/>
      <c r="AV66" s="38">
        <v>1</v>
      </c>
      <c r="AW66" s="38"/>
      <c r="AX66" s="38">
        <v>3</v>
      </c>
      <c r="AY66" s="38"/>
      <c r="AZ66" s="38">
        <v>1</v>
      </c>
      <c r="BA66" s="38" t="s">
        <v>149</v>
      </c>
      <c r="BB66" s="38">
        <v>3</v>
      </c>
      <c r="BC66" s="38"/>
      <c r="BD66" s="38">
        <v>4</v>
      </c>
      <c r="BE66" s="38"/>
      <c r="BF66" s="38">
        <v>3</v>
      </c>
      <c r="BG66" s="40"/>
      <c r="BH66" s="38">
        <v>3</v>
      </c>
      <c r="BI66" s="38" t="s">
        <v>150</v>
      </c>
      <c r="BJ66" s="38"/>
      <c r="BK66" s="38">
        <v>2</v>
      </c>
      <c r="BL66" s="40"/>
      <c r="BM66" s="40" t="s">
        <v>151</v>
      </c>
      <c r="BN66" s="40">
        <v>3133627803</v>
      </c>
      <c r="BO66" s="40" t="s">
        <v>83</v>
      </c>
      <c r="BP66" s="42" t="s">
        <v>84</v>
      </c>
    </row>
    <row r="67" spans="1:68" x14ac:dyDescent="0.25">
      <c r="A67" s="43"/>
      <c r="B67" s="44"/>
      <c r="C67" s="45"/>
      <c r="D67" s="58"/>
      <c r="E67" s="58"/>
      <c r="F67" s="58"/>
      <c r="G67" s="58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124" t="s">
        <v>434</v>
      </c>
      <c r="AA67" s="124" t="s">
        <v>437</v>
      </c>
      <c r="AB67" s="124" t="str">
        <f t="shared" si="5"/>
        <v>Aseo Personal-Diario</v>
      </c>
      <c r="AC67" s="39"/>
      <c r="AD67" s="39"/>
      <c r="AE67" s="124" t="s">
        <v>439</v>
      </c>
      <c r="AF67" s="124" t="s">
        <v>442</v>
      </c>
      <c r="AG67" s="124" t="str">
        <f t="shared" si="1"/>
        <v>Descuento-Mensual</v>
      </c>
      <c r="AH67" s="124"/>
      <c r="AI67" s="59"/>
      <c r="AJ67" s="39"/>
      <c r="AK67" s="124" t="s">
        <v>435</v>
      </c>
      <c r="AL67" s="124" t="s">
        <v>436</v>
      </c>
      <c r="AM67" s="124" t="str">
        <f t="shared" si="2"/>
        <v>Dulces y Paquetes-Semanal</v>
      </c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  <c r="BF67" s="39"/>
      <c r="BG67" s="46"/>
      <c r="BH67" s="39"/>
      <c r="BI67" s="39"/>
      <c r="BJ67" s="39"/>
      <c r="BK67" s="39"/>
      <c r="BL67" s="46"/>
      <c r="BM67" s="46"/>
      <c r="BN67" s="46"/>
      <c r="BO67" s="46"/>
      <c r="BP67" s="48"/>
    </row>
    <row r="68" spans="1:68" x14ac:dyDescent="0.25">
      <c r="A68" s="43"/>
      <c r="B68" s="44"/>
      <c r="C68" s="45"/>
      <c r="D68" s="58"/>
      <c r="E68" s="58"/>
      <c r="F68" s="58"/>
      <c r="G68" s="58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124" t="s">
        <v>77</v>
      </c>
      <c r="AA68" s="124" t="s">
        <v>437</v>
      </c>
      <c r="AB68" s="124" t="str">
        <f t="shared" si="5"/>
        <v>Limpieza-Diario</v>
      </c>
      <c r="AC68" s="39"/>
      <c r="AD68" s="39"/>
      <c r="AE68" s="124" t="s">
        <v>195</v>
      </c>
      <c r="AF68" s="124" t="s">
        <v>442</v>
      </c>
      <c r="AG68" s="124" t="str">
        <f t="shared" si="1"/>
        <v>Ofertas-Mensual</v>
      </c>
      <c r="AH68" s="124"/>
      <c r="AI68" s="59"/>
      <c r="AJ68" s="39"/>
      <c r="AK68" s="124" t="s">
        <v>434</v>
      </c>
      <c r="AL68" s="124" t="s">
        <v>436</v>
      </c>
      <c r="AM68" s="124" t="str">
        <f t="shared" si="2"/>
        <v>Aseo Personal-Semanal</v>
      </c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/>
      <c r="BF68" s="39"/>
      <c r="BG68" s="46"/>
      <c r="BH68" s="39"/>
      <c r="BI68" s="39"/>
      <c r="BJ68" s="39"/>
      <c r="BK68" s="39"/>
      <c r="BL68" s="46"/>
      <c r="BM68" s="46"/>
      <c r="BN68" s="46"/>
      <c r="BO68" s="46"/>
      <c r="BP68" s="48"/>
    </row>
    <row r="69" spans="1:68" x14ac:dyDescent="0.25">
      <c r="A69" s="43"/>
      <c r="B69" s="44"/>
      <c r="C69" s="45"/>
      <c r="D69" s="58"/>
      <c r="E69" s="58"/>
      <c r="F69" s="58"/>
      <c r="G69" s="58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124" t="s">
        <v>435</v>
      </c>
      <c r="AA69" s="124" t="s">
        <v>437</v>
      </c>
      <c r="AB69" s="124" t="str">
        <f t="shared" si="5"/>
        <v>Dulces y Paquetes-Diario</v>
      </c>
      <c r="AC69" s="39"/>
      <c r="AD69" s="39"/>
      <c r="AE69" s="124" t="s">
        <v>448</v>
      </c>
      <c r="AF69" s="124" t="s">
        <v>437</v>
      </c>
      <c r="AG69" s="124" t="str">
        <f t="shared" si="1"/>
        <v>Asesoramiento-Diario</v>
      </c>
      <c r="AH69" s="124"/>
      <c r="AI69" s="59"/>
      <c r="AJ69" s="39"/>
      <c r="AK69" s="124" t="s">
        <v>77</v>
      </c>
      <c r="AL69" s="124" t="s">
        <v>436</v>
      </c>
      <c r="AM69" s="124" t="str">
        <f t="shared" si="2"/>
        <v>Limpieza-Semanal</v>
      </c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39"/>
      <c r="BD69" s="39"/>
      <c r="BE69" s="39"/>
      <c r="BF69" s="39"/>
      <c r="BG69" s="46"/>
      <c r="BH69" s="39"/>
      <c r="BI69" s="39"/>
      <c r="BJ69" s="39"/>
      <c r="BK69" s="39"/>
      <c r="BL69" s="46"/>
      <c r="BM69" s="46"/>
      <c r="BN69" s="46"/>
      <c r="BO69" s="46"/>
      <c r="BP69" s="48"/>
    </row>
    <row r="70" spans="1:68" x14ac:dyDescent="0.25">
      <c r="A70" s="43"/>
      <c r="B70" s="44"/>
      <c r="C70" s="45"/>
      <c r="D70" s="58"/>
      <c r="E70" s="58"/>
      <c r="F70" s="58"/>
      <c r="G70" s="58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124"/>
      <c r="AA70" s="124"/>
      <c r="AB70" s="124"/>
      <c r="AC70" s="39"/>
      <c r="AD70" s="39"/>
      <c r="AE70" s="124" t="s">
        <v>440</v>
      </c>
      <c r="AF70" s="124" t="s">
        <v>637</v>
      </c>
      <c r="AG70" s="124" t="str">
        <f t="shared" ref="AG70:AG133" si="6">+CONCATENATE(AE70,"-",AF70)</f>
        <v>Domicilios-Ocasional</v>
      </c>
      <c r="AH70" s="124"/>
      <c r="AI70" s="59"/>
      <c r="AJ70" s="39"/>
      <c r="AK70" s="124"/>
      <c r="AL70" s="124"/>
      <c r="AM70" s="124"/>
      <c r="AN70" s="39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39"/>
      <c r="BB70" s="39"/>
      <c r="BC70" s="39"/>
      <c r="BD70" s="39"/>
      <c r="BE70" s="39"/>
      <c r="BF70" s="39"/>
      <c r="BG70" s="46"/>
      <c r="BH70" s="39"/>
      <c r="BI70" s="39"/>
      <c r="BJ70" s="39"/>
      <c r="BK70" s="39"/>
      <c r="BL70" s="46"/>
      <c r="BM70" s="46"/>
      <c r="BN70" s="46"/>
      <c r="BO70" s="46"/>
      <c r="BP70" s="48"/>
    </row>
    <row r="71" spans="1:68" x14ac:dyDescent="0.25">
      <c r="A71" s="49"/>
      <c r="B71" s="50"/>
      <c r="C71" s="51"/>
      <c r="D71" s="60"/>
      <c r="E71" s="60"/>
      <c r="F71" s="60"/>
      <c r="G71" s="60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125"/>
      <c r="AA71" s="125"/>
      <c r="AB71" s="125"/>
      <c r="AC71" s="7"/>
      <c r="AD71" s="7"/>
      <c r="AE71" s="125" t="s">
        <v>441</v>
      </c>
      <c r="AF71" s="125" t="s">
        <v>437</v>
      </c>
      <c r="AG71" s="125" t="str">
        <f t="shared" si="6"/>
        <v>Atención al Cliente-Diario</v>
      </c>
      <c r="AH71" s="125"/>
      <c r="AI71" s="61"/>
      <c r="AJ71" s="7"/>
      <c r="AK71" s="125"/>
      <c r="AL71" s="125"/>
      <c r="AM71" s="125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52"/>
      <c r="BH71" s="7"/>
      <c r="BI71" s="7"/>
      <c r="BJ71" s="7"/>
      <c r="BK71" s="7"/>
      <c r="BL71" s="52"/>
      <c r="BM71" s="52"/>
      <c r="BN71" s="52"/>
      <c r="BO71" s="52"/>
      <c r="BP71" s="54"/>
    </row>
    <row r="72" spans="1:68" x14ac:dyDescent="0.25">
      <c r="A72" s="35">
        <v>18</v>
      </c>
      <c r="B72" s="36">
        <v>44801</v>
      </c>
      <c r="C72" s="37" t="s">
        <v>152</v>
      </c>
      <c r="D72" s="56">
        <v>2</v>
      </c>
      <c r="E72" s="56">
        <v>2</v>
      </c>
      <c r="F72" s="56">
        <v>1</v>
      </c>
      <c r="G72" s="56">
        <v>12</v>
      </c>
      <c r="H72" s="57">
        <v>3</v>
      </c>
      <c r="I72" s="57">
        <v>2</v>
      </c>
      <c r="J72" s="57">
        <v>3</v>
      </c>
      <c r="K72" s="57">
        <v>2</v>
      </c>
      <c r="L72" s="57">
        <v>2</v>
      </c>
      <c r="M72" s="57">
        <v>3</v>
      </c>
      <c r="N72" s="57">
        <v>3</v>
      </c>
      <c r="O72" s="57">
        <v>1</v>
      </c>
      <c r="P72" s="57"/>
      <c r="Q72" s="57">
        <v>3</v>
      </c>
      <c r="R72" s="57" t="s">
        <v>73</v>
      </c>
      <c r="S72" s="57" t="s">
        <v>110</v>
      </c>
      <c r="T72" s="57" t="s">
        <v>144</v>
      </c>
      <c r="U72" s="57" t="s">
        <v>133</v>
      </c>
      <c r="V72" s="57"/>
      <c r="W72" s="57"/>
      <c r="X72" s="57"/>
      <c r="Y72" s="57"/>
      <c r="Z72" s="123" t="s">
        <v>434</v>
      </c>
      <c r="AA72" s="123" t="s">
        <v>437</v>
      </c>
      <c r="AB72" s="123" t="str">
        <f>+CONCATENATE(Z72,"-",AA72)</f>
        <v>Aseo Personal-Diario</v>
      </c>
      <c r="AC72" s="38" t="s">
        <v>188</v>
      </c>
      <c r="AD72" s="38" t="s">
        <v>78</v>
      </c>
      <c r="AE72" s="123" t="s">
        <v>178</v>
      </c>
      <c r="AF72" s="123" t="s">
        <v>509</v>
      </c>
      <c r="AG72" s="123" t="str">
        <f t="shared" si="6"/>
        <v>Promociones-Quincenal</v>
      </c>
      <c r="AH72" s="123" t="s">
        <v>548</v>
      </c>
      <c r="AI72" s="57">
        <v>2</v>
      </c>
      <c r="AJ72" s="38"/>
      <c r="AK72" s="123" t="s">
        <v>435</v>
      </c>
      <c r="AL72" s="123" t="s">
        <v>436</v>
      </c>
      <c r="AM72" s="123" t="str">
        <f t="shared" ref="AM72:AM132" si="7">CONCATENATE(AK72,"-",AL72)</f>
        <v>Dulces y Paquetes-Semanal</v>
      </c>
      <c r="AN72" s="38" t="s">
        <v>153</v>
      </c>
      <c r="AO72" s="38">
        <v>1</v>
      </c>
      <c r="AP72" s="38">
        <v>1</v>
      </c>
      <c r="AQ72" s="38"/>
      <c r="AR72" s="38">
        <v>2</v>
      </c>
      <c r="AS72" s="38"/>
      <c r="AT72" s="38">
        <v>1</v>
      </c>
      <c r="AU72" s="38"/>
      <c r="AV72" s="38">
        <v>2</v>
      </c>
      <c r="AW72" s="38"/>
      <c r="AX72" s="38">
        <v>3</v>
      </c>
      <c r="AY72" s="38"/>
      <c r="AZ72" s="38">
        <v>2</v>
      </c>
      <c r="BA72" s="38"/>
      <c r="BB72" s="38">
        <v>1</v>
      </c>
      <c r="BC72" s="38"/>
      <c r="BD72" s="38">
        <v>7</v>
      </c>
      <c r="BE72" s="38"/>
      <c r="BF72" s="38">
        <v>6</v>
      </c>
      <c r="BG72" s="40"/>
      <c r="BH72" s="38">
        <v>3</v>
      </c>
      <c r="BI72" s="38" t="s">
        <v>78</v>
      </c>
      <c r="BJ72" s="40" t="s">
        <v>154</v>
      </c>
      <c r="BK72" s="38">
        <v>1</v>
      </c>
      <c r="BL72" s="40"/>
      <c r="BM72" s="40" t="s">
        <v>91</v>
      </c>
      <c r="BN72" s="40">
        <v>3193723873</v>
      </c>
      <c r="BO72" s="40" t="s">
        <v>83</v>
      </c>
      <c r="BP72" s="42" t="s">
        <v>84</v>
      </c>
    </row>
    <row r="73" spans="1:68" x14ac:dyDescent="0.25">
      <c r="A73" s="43"/>
      <c r="B73" s="44"/>
      <c r="C73" s="45"/>
      <c r="D73" s="58"/>
      <c r="E73" s="58"/>
      <c r="F73" s="58"/>
      <c r="G73" s="58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124" t="s">
        <v>77</v>
      </c>
      <c r="AA73" s="124" t="s">
        <v>437</v>
      </c>
      <c r="AB73" s="124" t="str">
        <f>+CONCATENATE(Z73,"-",AA73)</f>
        <v>Limpieza-Diario</v>
      </c>
      <c r="AC73" s="39"/>
      <c r="AD73" s="39"/>
      <c r="AE73" s="124" t="s">
        <v>439</v>
      </c>
      <c r="AF73" s="124" t="s">
        <v>442</v>
      </c>
      <c r="AG73" s="124" t="str">
        <f t="shared" si="6"/>
        <v>Descuento-Mensual</v>
      </c>
      <c r="AH73" s="124" t="s">
        <v>549</v>
      </c>
      <c r="AI73" s="59"/>
      <c r="AJ73" s="39"/>
      <c r="AK73" s="124" t="s">
        <v>434</v>
      </c>
      <c r="AL73" s="124" t="s">
        <v>509</v>
      </c>
      <c r="AM73" s="124" t="str">
        <f t="shared" si="7"/>
        <v>Aseo Personal-Quincenal</v>
      </c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9"/>
      <c r="BE73" s="39"/>
      <c r="BF73" s="39"/>
      <c r="BG73" s="46"/>
      <c r="BH73" s="39"/>
      <c r="BI73" s="39"/>
      <c r="BJ73" s="46"/>
      <c r="BK73" s="39"/>
      <c r="BL73" s="46"/>
      <c r="BM73" s="46"/>
      <c r="BN73" s="46"/>
      <c r="BO73" s="46"/>
      <c r="BP73" s="48"/>
    </row>
    <row r="74" spans="1:68" x14ac:dyDescent="0.25">
      <c r="A74" s="49"/>
      <c r="B74" s="50"/>
      <c r="C74" s="51"/>
      <c r="D74" s="60"/>
      <c r="E74" s="60"/>
      <c r="F74" s="60"/>
      <c r="G74" s="60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125" t="s">
        <v>435</v>
      </c>
      <c r="AA74" s="125" t="s">
        <v>437</v>
      </c>
      <c r="AB74" s="125" t="str">
        <f>+CONCATENATE(Z74,"-",AA74)</f>
        <v>Dulces y Paquetes-Diario</v>
      </c>
      <c r="AC74" s="7"/>
      <c r="AD74" s="7"/>
      <c r="AE74" s="125" t="s">
        <v>441</v>
      </c>
      <c r="AF74" s="125" t="s">
        <v>437</v>
      </c>
      <c r="AG74" s="125" t="str">
        <f t="shared" si="6"/>
        <v>Atención al Cliente-Diario</v>
      </c>
      <c r="AH74" s="125" t="s">
        <v>550</v>
      </c>
      <c r="AI74" s="61"/>
      <c r="AJ74" s="7"/>
      <c r="AK74" s="125" t="s">
        <v>77</v>
      </c>
      <c r="AL74" s="125" t="s">
        <v>509</v>
      </c>
      <c r="AM74" s="125" t="str">
        <f t="shared" si="7"/>
        <v>Limpieza-Quincenal</v>
      </c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52"/>
      <c r="BH74" s="7"/>
      <c r="BI74" s="7"/>
      <c r="BJ74" s="52"/>
      <c r="BK74" s="7"/>
      <c r="BL74" s="52"/>
      <c r="BM74" s="52"/>
      <c r="BN74" s="52"/>
      <c r="BO74" s="52"/>
      <c r="BP74" s="54"/>
    </row>
    <row r="75" spans="1:68" x14ac:dyDescent="0.25">
      <c r="A75" s="35">
        <v>19</v>
      </c>
      <c r="B75" s="36">
        <v>44802</v>
      </c>
      <c r="C75" s="37" t="s">
        <v>155</v>
      </c>
      <c r="D75" s="56">
        <v>2</v>
      </c>
      <c r="E75" s="56">
        <v>2</v>
      </c>
      <c r="F75" s="56">
        <v>1</v>
      </c>
      <c r="G75" s="56">
        <v>11</v>
      </c>
      <c r="H75" s="57">
        <v>4</v>
      </c>
      <c r="I75" s="57">
        <v>1</v>
      </c>
      <c r="J75" s="57">
        <v>2</v>
      </c>
      <c r="K75" s="57">
        <v>3</v>
      </c>
      <c r="L75" s="57">
        <v>2</v>
      </c>
      <c r="M75" s="57">
        <v>3</v>
      </c>
      <c r="N75" s="57">
        <v>3</v>
      </c>
      <c r="O75" s="57">
        <v>2</v>
      </c>
      <c r="P75" s="57"/>
      <c r="Q75" s="57">
        <v>3</v>
      </c>
      <c r="R75" s="57" t="s">
        <v>156</v>
      </c>
      <c r="S75" s="57" t="s">
        <v>110</v>
      </c>
      <c r="T75" s="57" t="s">
        <v>133</v>
      </c>
      <c r="U75" s="57"/>
      <c r="V75" s="57"/>
      <c r="W75" s="57"/>
      <c r="X75" s="57"/>
      <c r="Y75" s="57"/>
      <c r="Z75" s="123" t="s">
        <v>551</v>
      </c>
      <c r="AA75" s="123"/>
      <c r="AB75" s="123"/>
      <c r="AC75" s="38" t="s">
        <v>157</v>
      </c>
      <c r="AD75" s="38" t="s">
        <v>78</v>
      </c>
      <c r="AE75" s="123" t="s">
        <v>178</v>
      </c>
      <c r="AF75" s="123" t="s">
        <v>442</v>
      </c>
      <c r="AG75" s="123" t="str">
        <f t="shared" si="6"/>
        <v>Promociones-Mensual</v>
      </c>
      <c r="AH75" s="123" t="s">
        <v>552</v>
      </c>
      <c r="AI75" s="57">
        <v>2</v>
      </c>
      <c r="AJ75" s="38"/>
      <c r="AK75" s="123" t="s">
        <v>551</v>
      </c>
      <c r="AL75" s="123" t="s">
        <v>436</v>
      </c>
      <c r="AM75" s="123" t="str">
        <f t="shared" si="7"/>
        <v>Farmacia-Semanal</v>
      </c>
      <c r="AN75" s="38" t="s">
        <v>104</v>
      </c>
      <c r="AO75" s="38">
        <v>1</v>
      </c>
      <c r="AP75" s="38">
        <v>1</v>
      </c>
      <c r="AQ75" s="38"/>
      <c r="AR75" s="38">
        <v>2</v>
      </c>
      <c r="AS75" s="38"/>
      <c r="AT75" s="38">
        <v>2</v>
      </c>
      <c r="AU75" s="38"/>
      <c r="AV75" s="38">
        <v>2</v>
      </c>
      <c r="AW75" s="38"/>
      <c r="AX75" s="38">
        <v>3</v>
      </c>
      <c r="AY75" s="38"/>
      <c r="AZ75" s="38">
        <v>2</v>
      </c>
      <c r="BA75" s="38"/>
      <c r="BB75" s="38">
        <v>1</v>
      </c>
      <c r="BC75" s="38"/>
      <c r="BD75" s="38">
        <v>5</v>
      </c>
      <c r="BE75" s="38"/>
      <c r="BF75" s="38">
        <v>4</v>
      </c>
      <c r="BG75" s="40"/>
      <c r="BH75" s="38">
        <v>3</v>
      </c>
      <c r="BI75" s="38" t="s">
        <v>80</v>
      </c>
      <c r="BJ75" s="40" t="s">
        <v>158</v>
      </c>
      <c r="BK75" s="38">
        <v>1</v>
      </c>
      <c r="BL75" s="40"/>
      <c r="BM75" s="40" t="s">
        <v>91</v>
      </c>
      <c r="BN75" s="40">
        <v>3162460146</v>
      </c>
      <c r="BO75" s="40" t="s">
        <v>83</v>
      </c>
      <c r="BP75" s="42" t="s">
        <v>84</v>
      </c>
    </row>
    <row r="76" spans="1:68" x14ac:dyDescent="0.25">
      <c r="A76" s="43"/>
      <c r="B76" s="44"/>
      <c r="C76" s="45"/>
      <c r="D76" s="58"/>
      <c r="E76" s="58"/>
      <c r="F76" s="58"/>
      <c r="G76" s="58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124" t="s">
        <v>434</v>
      </c>
      <c r="AA76" s="124"/>
      <c r="AB76" s="124"/>
      <c r="AC76" s="39"/>
      <c r="AD76" s="39"/>
      <c r="AE76" s="124" t="s">
        <v>439</v>
      </c>
      <c r="AF76" s="124" t="s">
        <v>442</v>
      </c>
      <c r="AG76" s="124" t="str">
        <f t="shared" si="6"/>
        <v>Descuento-Mensual</v>
      </c>
      <c r="AH76" s="124" t="s">
        <v>549</v>
      </c>
      <c r="AI76" s="59"/>
      <c r="AJ76" s="39"/>
      <c r="AK76" s="124" t="s">
        <v>434</v>
      </c>
      <c r="AL76" s="124" t="s">
        <v>436</v>
      </c>
      <c r="AM76" s="124" t="str">
        <f t="shared" si="7"/>
        <v>Aseo Personal-Semanal</v>
      </c>
      <c r="AN76" s="39"/>
      <c r="AO76" s="39"/>
      <c r="AP76" s="39"/>
      <c r="AQ76" s="39"/>
      <c r="AR76" s="39"/>
      <c r="AS76" s="39"/>
      <c r="AT76" s="39"/>
      <c r="AU76" s="39"/>
      <c r="AV76" s="39"/>
      <c r="AW76" s="39"/>
      <c r="AX76" s="39"/>
      <c r="AY76" s="39"/>
      <c r="AZ76" s="39"/>
      <c r="BA76" s="39"/>
      <c r="BB76" s="39"/>
      <c r="BC76" s="39"/>
      <c r="BD76" s="39"/>
      <c r="BE76" s="39"/>
      <c r="BF76" s="39"/>
      <c r="BG76" s="46"/>
      <c r="BH76" s="39"/>
      <c r="BI76" s="39"/>
      <c r="BJ76" s="46"/>
      <c r="BK76" s="39"/>
      <c r="BL76" s="46"/>
      <c r="BM76" s="46"/>
      <c r="BN76" s="46"/>
      <c r="BO76" s="46"/>
      <c r="BP76" s="48"/>
    </row>
    <row r="77" spans="1:68" x14ac:dyDescent="0.25">
      <c r="A77" s="43"/>
      <c r="B77" s="44"/>
      <c r="C77" s="45"/>
      <c r="D77" s="58"/>
      <c r="E77" s="58"/>
      <c r="F77" s="58"/>
      <c r="G77" s="58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124"/>
      <c r="AA77" s="124"/>
      <c r="AB77" s="124"/>
      <c r="AC77" s="39"/>
      <c r="AD77" s="39"/>
      <c r="AE77" s="124" t="s">
        <v>440</v>
      </c>
      <c r="AF77" s="124" t="s">
        <v>437</v>
      </c>
      <c r="AG77" s="124" t="str">
        <f t="shared" si="6"/>
        <v>Domicilios-Diario</v>
      </c>
      <c r="AH77" s="124" t="s">
        <v>553</v>
      </c>
      <c r="AI77" s="59"/>
      <c r="AJ77" s="39"/>
      <c r="AK77" s="124"/>
      <c r="AL77" s="124"/>
      <c r="AM77" s="124"/>
      <c r="AN77" s="39"/>
      <c r="AO77" s="39"/>
      <c r="AP77" s="39"/>
      <c r="AQ77" s="39"/>
      <c r="AR77" s="39"/>
      <c r="AS77" s="39"/>
      <c r="AT77" s="39"/>
      <c r="AU77" s="39"/>
      <c r="AV77" s="39"/>
      <c r="AW77" s="39"/>
      <c r="AX77" s="39"/>
      <c r="AY77" s="39"/>
      <c r="AZ77" s="39"/>
      <c r="BA77" s="39"/>
      <c r="BB77" s="39"/>
      <c r="BC77" s="39"/>
      <c r="BD77" s="39"/>
      <c r="BE77" s="39"/>
      <c r="BF77" s="39"/>
      <c r="BG77" s="46"/>
      <c r="BH77" s="39"/>
      <c r="BI77" s="39"/>
      <c r="BJ77" s="46"/>
      <c r="BK77" s="39"/>
      <c r="BL77" s="46"/>
      <c r="BM77" s="46"/>
      <c r="BN77" s="46"/>
      <c r="BO77" s="46"/>
      <c r="BP77" s="48"/>
    </row>
    <row r="78" spans="1:68" x14ac:dyDescent="0.25">
      <c r="A78" s="49"/>
      <c r="B78" s="50"/>
      <c r="C78" s="51"/>
      <c r="D78" s="60"/>
      <c r="E78" s="60"/>
      <c r="F78" s="60"/>
      <c r="G78" s="60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125"/>
      <c r="AA78" s="125"/>
      <c r="AB78" s="125"/>
      <c r="AC78" s="7"/>
      <c r="AD78" s="7"/>
      <c r="AE78" s="125" t="s">
        <v>441</v>
      </c>
      <c r="AF78" s="125" t="s">
        <v>437</v>
      </c>
      <c r="AG78" s="125" t="str">
        <f t="shared" si="6"/>
        <v>Atención al Cliente-Diario</v>
      </c>
      <c r="AH78" s="125" t="s">
        <v>550</v>
      </c>
      <c r="AI78" s="61"/>
      <c r="AJ78" s="7"/>
      <c r="AK78" s="125"/>
      <c r="AL78" s="125"/>
      <c r="AM78" s="125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52"/>
      <c r="BH78" s="7"/>
      <c r="BI78" s="7"/>
      <c r="BJ78" s="52"/>
      <c r="BK78" s="7"/>
      <c r="BL78" s="52"/>
      <c r="BM78" s="52"/>
      <c r="BN78" s="52"/>
      <c r="BO78" s="52"/>
      <c r="BP78" s="54"/>
    </row>
    <row r="79" spans="1:68" x14ac:dyDescent="0.25">
      <c r="A79" s="35">
        <v>20</v>
      </c>
      <c r="B79" s="36">
        <v>44802</v>
      </c>
      <c r="C79" s="37" t="s">
        <v>159</v>
      </c>
      <c r="D79" s="56">
        <v>2</v>
      </c>
      <c r="E79" s="56">
        <v>2</v>
      </c>
      <c r="F79" s="56">
        <v>1</v>
      </c>
      <c r="G79" s="56">
        <v>12</v>
      </c>
      <c r="H79" s="57">
        <v>2</v>
      </c>
      <c r="I79" s="57">
        <v>3</v>
      </c>
      <c r="J79" s="57">
        <v>1</v>
      </c>
      <c r="K79" s="57">
        <v>2</v>
      </c>
      <c r="L79" s="57">
        <v>2</v>
      </c>
      <c r="M79" s="57">
        <v>3</v>
      </c>
      <c r="N79" s="57">
        <v>3</v>
      </c>
      <c r="O79" s="57">
        <v>5</v>
      </c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123" t="s">
        <v>433</v>
      </c>
      <c r="AA79" s="123" t="s">
        <v>436</v>
      </c>
      <c r="AB79" s="123" t="str">
        <f>+CONCATENATE(Z79,"-",AA79)</f>
        <v>Droguería-Semanal</v>
      </c>
      <c r="AC79" s="38" t="s">
        <v>160</v>
      </c>
      <c r="AD79" s="38" t="s">
        <v>78</v>
      </c>
      <c r="AE79" s="123" t="s">
        <v>178</v>
      </c>
      <c r="AF79" s="123" t="s">
        <v>442</v>
      </c>
      <c r="AG79" s="123" t="str">
        <f t="shared" si="6"/>
        <v>Promociones-Mensual</v>
      </c>
      <c r="AH79" s="123" t="s">
        <v>554</v>
      </c>
      <c r="AI79" s="57">
        <v>2</v>
      </c>
      <c r="AJ79" s="38" t="s">
        <v>161</v>
      </c>
      <c r="AK79" s="123" t="s">
        <v>433</v>
      </c>
      <c r="AL79" s="123" t="s">
        <v>436</v>
      </c>
      <c r="AM79" s="123" t="str">
        <f t="shared" si="7"/>
        <v>Droguería-Semanal</v>
      </c>
      <c r="AN79" s="38" t="s">
        <v>104</v>
      </c>
      <c r="AO79" s="38">
        <v>1</v>
      </c>
      <c r="AP79" s="38">
        <v>2</v>
      </c>
      <c r="AQ79" s="38"/>
      <c r="AR79" s="38">
        <v>2</v>
      </c>
      <c r="AS79" s="38"/>
      <c r="AT79" s="38">
        <v>6</v>
      </c>
      <c r="AU79" s="38"/>
      <c r="AV79" s="38">
        <v>1</v>
      </c>
      <c r="AW79" s="38"/>
      <c r="AX79" s="38">
        <v>4</v>
      </c>
      <c r="AY79" s="38"/>
      <c r="AZ79" s="38">
        <v>2</v>
      </c>
      <c r="BA79" s="38"/>
      <c r="BB79" s="38">
        <v>2</v>
      </c>
      <c r="BC79" s="38"/>
      <c r="BD79" s="38">
        <v>7</v>
      </c>
      <c r="BE79" s="38"/>
      <c r="BF79" s="38">
        <v>4</v>
      </c>
      <c r="BG79" s="40"/>
      <c r="BH79" s="38">
        <v>3</v>
      </c>
      <c r="BI79" s="40"/>
      <c r="BJ79" s="40" t="s">
        <v>162</v>
      </c>
      <c r="BK79" s="38">
        <v>3</v>
      </c>
      <c r="BL79" s="40"/>
      <c r="BM79" s="63" t="s">
        <v>163</v>
      </c>
      <c r="BN79" s="40">
        <v>3174820744</v>
      </c>
      <c r="BO79" s="40" t="s">
        <v>83</v>
      </c>
      <c r="BP79" s="42" t="s">
        <v>84</v>
      </c>
    </row>
    <row r="80" spans="1:68" x14ac:dyDescent="0.25">
      <c r="A80" s="43"/>
      <c r="B80" s="44"/>
      <c r="C80" s="45"/>
      <c r="D80" s="58"/>
      <c r="E80" s="58"/>
      <c r="F80" s="58"/>
      <c r="G80" s="58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124" t="s">
        <v>434</v>
      </c>
      <c r="AA80" s="124" t="s">
        <v>437</v>
      </c>
      <c r="AB80" s="124" t="str">
        <f t="shared" ref="AB80:AB85" si="8">+CONCATENATE(Z80,"-",AA80)</f>
        <v>Aseo Personal-Diario</v>
      </c>
      <c r="AC80" s="39"/>
      <c r="AD80" s="39"/>
      <c r="AE80" s="124" t="s">
        <v>440</v>
      </c>
      <c r="AF80" s="124" t="s">
        <v>437</v>
      </c>
      <c r="AG80" s="124" t="str">
        <f t="shared" si="6"/>
        <v>Domicilios-Diario</v>
      </c>
      <c r="AH80" s="124" t="s">
        <v>553</v>
      </c>
      <c r="AI80" s="59"/>
      <c r="AJ80" s="39"/>
      <c r="AK80" s="124" t="s">
        <v>435</v>
      </c>
      <c r="AL80" s="124" t="s">
        <v>509</v>
      </c>
      <c r="AM80" s="124" t="str">
        <f t="shared" si="7"/>
        <v>Dulces y Paquetes-Quincenal</v>
      </c>
      <c r="AN80" s="39"/>
      <c r="AO80" s="39"/>
      <c r="AP80" s="39"/>
      <c r="AQ80" s="39"/>
      <c r="AR80" s="39"/>
      <c r="AS80" s="39"/>
      <c r="AT80" s="39"/>
      <c r="AU80" s="39"/>
      <c r="AV80" s="39"/>
      <c r="AW80" s="39"/>
      <c r="AX80" s="39"/>
      <c r="AY80" s="39"/>
      <c r="AZ80" s="39"/>
      <c r="BA80" s="39"/>
      <c r="BB80" s="39"/>
      <c r="BC80" s="39"/>
      <c r="BD80" s="39"/>
      <c r="BE80" s="39"/>
      <c r="BF80" s="39"/>
      <c r="BG80" s="46"/>
      <c r="BH80" s="39"/>
      <c r="BI80" s="46"/>
      <c r="BJ80" s="46"/>
      <c r="BK80" s="39"/>
      <c r="BL80" s="46"/>
      <c r="BM80" s="64"/>
      <c r="BN80" s="46"/>
      <c r="BO80" s="46"/>
      <c r="BP80" s="48"/>
    </row>
    <row r="81" spans="1:68" x14ac:dyDescent="0.25">
      <c r="A81" s="43"/>
      <c r="B81" s="44"/>
      <c r="C81" s="45"/>
      <c r="D81" s="58"/>
      <c r="E81" s="58"/>
      <c r="F81" s="58"/>
      <c r="G81" s="58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124" t="s">
        <v>77</v>
      </c>
      <c r="AA81" s="124" t="s">
        <v>437</v>
      </c>
      <c r="AB81" s="124" t="str">
        <f t="shared" si="8"/>
        <v>Limpieza-Diario</v>
      </c>
      <c r="AC81" s="39"/>
      <c r="AD81" s="39"/>
      <c r="AE81" s="124" t="s">
        <v>441</v>
      </c>
      <c r="AF81" s="124" t="s">
        <v>437</v>
      </c>
      <c r="AG81" s="124" t="str">
        <f t="shared" si="6"/>
        <v>Atención al Cliente-Diario</v>
      </c>
      <c r="AH81" s="124" t="s">
        <v>555</v>
      </c>
      <c r="AI81" s="59"/>
      <c r="AJ81" s="39"/>
      <c r="AK81" s="124" t="s">
        <v>434</v>
      </c>
      <c r="AL81" s="124" t="s">
        <v>436</v>
      </c>
      <c r="AM81" s="124" t="str">
        <f t="shared" si="7"/>
        <v>Aseo Personal-Semanal</v>
      </c>
      <c r="AN81" s="39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39"/>
      <c r="AZ81" s="39"/>
      <c r="BA81" s="39"/>
      <c r="BB81" s="39"/>
      <c r="BC81" s="39"/>
      <c r="BD81" s="39"/>
      <c r="BE81" s="39"/>
      <c r="BF81" s="39"/>
      <c r="BG81" s="46"/>
      <c r="BH81" s="39"/>
      <c r="BI81" s="46"/>
      <c r="BJ81" s="46"/>
      <c r="BK81" s="39"/>
      <c r="BL81" s="46"/>
      <c r="BM81" s="64"/>
      <c r="BN81" s="46"/>
      <c r="BO81" s="46"/>
      <c r="BP81" s="48"/>
    </row>
    <row r="82" spans="1:68" x14ac:dyDescent="0.25">
      <c r="A82" s="49"/>
      <c r="B82" s="50"/>
      <c r="C82" s="51"/>
      <c r="D82" s="60"/>
      <c r="E82" s="60"/>
      <c r="F82" s="60"/>
      <c r="G82" s="60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125" t="s">
        <v>435</v>
      </c>
      <c r="AA82" s="125" t="s">
        <v>437</v>
      </c>
      <c r="AB82" s="125" t="str">
        <f t="shared" si="8"/>
        <v>Dulces y Paquetes-Diario</v>
      </c>
      <c r="AC82" s="7"/>
      <c r="AD82" s="7"/>
      <c r="AE82" s="125"/>
      <c r="AF82" s="125"/>
      <c r="AG82" s="125" t="str">
        <f t="shared" si="6"/>
        <v>-</v>
      </c>
      <c r="AH82" s="125"/>
      <c r="AI82" s="61"/>
      <c r="AJ82" s="7"/>
      <c r="AK82" s="125" t="s">
        <v>77</v>
      </c>
      <c r="AL82" s="125" t="s">
        <v>436</v>
      </c>
      <c r="AM82" s="125" t="str">
        <f t="shared" si="7"/>
        <v>Limpieza-Semanal</v>
      </c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52"/>
      <c r="BH82" s="7"/>
      <c r="BI82" s="52"/>
      <c r="BJ82" s="52"/>
      <c r="BK82" s="7"/>
      <c r="BL82" s="52"/>
      <c r="BM82" s="65"/>
      <c r="BN82" s="52"/>
      <c r="BO82" s="52"/>
      <c r="BP82" s="54"/>
    </row>
    <row r="83" spans="1:68" x14ac:dyDescent="0.25">
      <c r="A83" s="35">
        <v>21</v>
      </c>
      <c r="B83" s="36">
        <v>44802</v>
      </c>
      <c r="C83" s="37" t="s">
        <v>164</v>
      </c>
      <c r="D83" s="56">
        <v>2</v>
      </c>
      <c r="E83" s="56">
        <v>2</v>
      </c>
      <c r="F83" s="56">
        <v>1</v>
      </c>
      <c r="G83" s="56">
        <v>12</v>
      </c>
      <c r="H83" s="57">
        <v>2</v>
      </c>
      <c r="I83" s="57">
        <v>1</v>
      </c>
      <c r="J83" s="57">
        <v>3</v>
      </c>
      <c r="K83" s="57">
        <v>1</v>
      </c>
      <c r="L83" s="57">
        <v>2</v>
      </c>
      <c r="M83" s="57">
        <v>3</v>
      </c>
      <c r="N83" s="57">
        <v>3</v>
      </c>
      <c r="O83" s="57">
        <v>2</v>
      </c>
      <c r="P83" s="57"/>
      <c r="Q83" s="57">
        <v>3</v>
      </c>
      <c r="R83" s="57" t="s">
        <v>120</v>
      </c>
      <c r="S83" s="57" t="s">
        <v>559</v>
      </c>
      <c r="T83" s="57"/>
      <c r="U83" s="57"/>
      <c r="V83" s="57" t="s">
        <v>124</v>
      </c>
      <c r="W83" s="57" t="s">
        <v>165</v>
      </c>
      <c r="X83" s="57" t="s">
        <v>96</v>
      </c>
      <c r="Y83" s="57"/>
      <c r="Z83" s="123" t="s">
        <v>433</v>
      </c>
      <c r="AA83" s="123" t="s">
        <v>437</v>
      </c>
      <c r="AB83" s="123" t="str">
        <f t="shared" si="8"/>
        <v>Droguería-Diario</v>
      </c>
      <c r="AC83" s="38" t="s">
        <v>157</v>
      </c>
      <c r="AD83" s="38" t="s">
        <v>78</v>
      </c>
      <c r="AE83" s="123" t="s">
        <v>178</v>
      </c>
      <c r="AF83" s="123" t="s">
        <v>442</v>
      </c>
      <c r="AG83" s="123" t="str">
        <f t="shared" si="6"/>
        <v>Promociones-Mensual</v>
      </c>
      <c r="AH83" s="123" t="s">
        <v>552</v>
      </c>
      <c r="AI83" s="57">
        <v>2</v>
      </c>
      <c r="AJ83" s="38"/>
      <c r="AK83" s="123" t="s">
        <v>433</v>
      </c>
      <c r="AL83" s="123" t="s">
        <v>436</v>
      </c>
      <c r="AM83" s="123" t="str">
        <f t="shared" si="7"/>
        <v>Droguería-Semanal</v>
      </c>
      <c r="AN83" s="38" t="s">
        <v>166</v>
      </c>
      <c r="AO83" s="38">
        <v>1</v>
      </c>
      <c r="AP83" s="38">
        <v>1</v>
      </c>
      <c r="AQ83" s="38"/>
      <c r="AR83" s="38">
        <v>1</v>
      </c>
      <c r="AS83" s="38"/>
      <c r="AT83" s="38">
        <v>2</v>
      </c>
      <c r="AU83" s="38"/>
      <c r="AV83" s="38">
        <v>1</v>
      </c>
      <c r="AW83" s="38"/>
      <c r="AX83" s="38">
        <v>3</v>
      </c>
      <c r="AY83" s="38"/>
      <c r="AZ83" s="38"/>
      <c r="BA83" s="38"/>
      <c r="BB83" s="38">
        <v>1</v>
      </c>
      <c r="BC83" s="38"/>
      <c r="BD83" s="38"/>
      <c r="BE83" s="38"/>
      <c r="BF83" s="38">
        <v>1</v>
      </c>
      <c r="BG83" s="40"/>
      <c r="BH83" s="38">
        <v>3</v>
      </c>
      <c r="BI83" s="38" t="s">
        <v>78</v>
      </c>
      <c r="BJ83" s="40" t="s">
        <v>158</v>
      </c>
      <c r="BK83" s="38">
        <v>1</v>
      </c>
      <c r="BL83" s="40"/>
      <c r="BM83" s="40" t="s">
        <v>91</v>
      </c>
      <c r="BN83" s="40">
        <v>3152243994</v>
      </c>
      <c r="BO83" s="40" t="s">
        <v>83</v>
      </c>
      <c r="BP83" s="42" t="s">
        <v>84</v>
      </c>
    </row>
    <row r="84" spans="1:68" x14ac:dyDescent="0.25">
      <c r="A84" s="43"/>
      <c r="B84" s="44"/>
      <c r="C84" s="45"/>
      <c r="D84" s="58"/>
      <c r="E84" s="58"/>
      <c r="F84" s="58"/>
      <c r="G84" s="58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124" t="s">
        <v>434</v>
      </c>
      <c r="AA84" s="124" t="s">
        <v>437</v>
      </c>
      <c r="AB84" s="124" t="str">
        <f t="shared" si="8"/>
        <v>Aseo Personal-Diario</v>
      </c>
      <c r="AC84" s="39"/>
      <c r="AD84" s="39"/>
      <c r="AE84" s="124" t="s">
        <v>439</v>
      </c>
      <c r="AF84" s="124" t="s">
        <v>442</v>
      </c>
      <c r="AG84" s="124" t="str">
        <f t="shared" si="6"/>
        <v>Descuento-Mensual</v>
      </c>
      <c r="AH84" s="124" t="s">
        <v>549</v>
      </c>
      <c r="AI84" s="59"/>
      <c r="AJ84" s="39"/>
      <c r="AK84" s="124" t="s">
        <v>434</v>
      </c>
      <c r="AL84" s="124" t="s">
        <v>509</v>
      </c>
      <c r="AM84" s="124" t="str">
        <f t="shared" si="7"/>
        <v>Aseo Personal-Quincenal</v>
      </c>
      <c r="AN84" s="39"/>
      <c r="AO84" s="39"/>
      <c r="AP84" s="39"/>
      <c r="AQ84" s="39"/>
      <c r="AR84" s="39"/>
      <c r="AS84" s="39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39"/>
      <c r="BE84" s="39"/>
      <c r="BF84" s="39"/>
      <c r="BG84" s="46"/>
      <c r="BH84" s="39"/>
      <c r="BI84" s="39"/>
      <c r="BJ84" s="46"/>
      <c r="BK84" s="39"/>
      <c r="BL84" s="46"/>
      <c r="BM84" s="46"/>
      <c r="BN84" s="46"/>
      <c r="BO84" s="46"/>
      <c r="BP84" s="48"/>
    </row>
    <row r="85" spans="1:68" x14ac:dyDescent="0.25">
      <c r="A85" s="43"/>
      <c r="B85" s="44"/>
      <c r="C85" s="45"/>
      <c r="D85" s="58"/>
      <c r="E85" s="58"/>
      <c r="F85" s="58"/>
      <c r="G85" s="58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124" t="s">
        <v>77</v>
      </c>
      <c r="AA85" s="124" t="s">
        <v>437</v>
      </c>
      <c r="AB85" s="124" t="str">
        <f t="shared" si="8"/>
        <v>Limpieza-Diario</v>
      </c>
      <c r="AC85" s="39"/>
      <c r="AD85" s="39"/>
      <c r="AE85" s="124" t="s">
        <v>440</v>
      </c>
      <c r="AF85" s="124" t="s">
        <v>437</v>
      </c>
      <c r="AG85" s="124" t="str">
        <f t="shared" si="6"/>
        <v>Domicilios-Diario</v>
      </c>
      <c r="AH85" s="124"/>
      <c r="AI85" s="59"/>
      <c r="AJ85" s="39"/>
      <c r="AK85" s="124" t="s">
        <v>77</v>
      </c>
      <c r="AL85" s="124" t="s">
        <v>509</v>
      </c>
      <c r="AM85" s="124" t="str">
        <f t="shared" si="7"/>
        <v>Limpieza-Quincenal</v>
      </c>
      <c r="AN85" s="39"/>
      <c r="AO85" s="39"/>
      <c r="AP85" s="39"/>
      <c r="AQ85" s="39"/>
      <c r="AR85" s="39"/>
      <c r="AS85" s="39"/>
      <c r="AT85" s="39"/>
      <c r="AU85" s="39"/>
      <c r="AV85" s="39"/>
      <c r="AW85" s="39"/>
      <c r="AX85" s="39"/>
      <c r="AY85" s="39"/>
      <c r="AZ85" s="39"/>
      <c r="BA85" s="39"/>
      <c r="BB85" s="39"/>
      <c r="BC85" s="39"/>
      <c r="BD85" s="39"/>
      <c r="BE85" s="39"/>
      <c r="BF85" s="39"/>
      <c r="BG85" s="46"/>
      <c r="BH85" s="39"/>
      <c r="BI85" s="39"/>
      <c r="BJ85" s="46"/>
      <c r="BK85" s="39"/>
      <c r="BL85" s="46"/>
      <c r="BM85" s="46"/>
      <c r="BN85" s="46"/>
      <c r="BO85" s="46"/>
      <c r="BP85" s="48"/>
    </row>
    <row r="86" spans="1:68" x14ac:dyDescent="0.25">
      <c r="A86" s="49"/>
      <c r="B86" s="50"/>
      <c r="C86" s="51"/>
      <c r="D86" s="60"/>
      <c r="E86" s="60"/>
      <c r="F86" s="60"/>
      <c r="G86" s="60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125"/>
      <c r="AA86" s="125"/>
      <c r="AB86" s="125"/>
      <c r="AC86" s="7"/>
      <c r="AD86" s="7"/>
      <c r="AE86" s="125" t="s">
        <v>441</v>
      </c>
      <c r="AF86" s="125" t="s">
        <v>437</v>
      </c>
      <c r="AG86" s="125" t="str">
        <f t="shared" si="6"/>
        <v>Atención al Cliente-Diario</v>
      </c>
      <c r="AH86" s="125"/>
      <c r="AI86" s="61"/>
      <c r="AJ86" s="7"/>
      <c r="AK86" s="125"/>
      <c r="AL86" s="125"/>
      <c r="AM86" s="125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52"/>
      <c r="BH86" s="7"/>
      <c r="BI86" s="7"/>
      <c r="BJ86" s="52"/>
      <c r="BK86" s="7"/>
      <c r="BL86" s="52"/>
      <c r="BM86" s="52"/>
      <c r="BN86" s="52"/>
      <c r="BO86" s="52"/>
      <c r="BP86" s="54"/>
    </row>
    <row r="87" spans="1:68" x14ac:dyDescent="0.25">
      <c r="A87" s="35">
        <v>22</v>
      </c>
      <c r="B87" s="36">
        <v>44802</v>
      </c>
      <c r="C87" s="37" t="s">
        <v>167</v>
      </c>
      <c r="D87" s="56">
        <v>2</v>
      </c>
      <c r="E87" s="56">
        <v>2</v>
      </c>
      <c r="F87" s="56">
        <v>1</v>
      </c>
      <c r="G87" s="56">
        <v>12</v>
      </c>
      <c r="H87" s="57">
        <v>4</v>
      </c>
      <c r="I87" s="57">
        <v>1</v>
      </c>
      <c r="J87" s="57">
        <v>3</v>
      </c>
      <c r="K87" s="57">
        <v>3</v>
      </c>
      <c r="L87" s="57">
        <v>3</v>
      </c>
      <c r="M87" s="57">
        <v>3</v>
      </c>
      <c r="N87" s="57">
        <v>3</v>
      </c>
      <c r="O87" s="57">
        <v>3</v>
      </c>
      <c r="P87" s="57"/>
      <c r="Q87" s="57">
        <v>3</v>
      </c>
      <c r="R87" s="57" t="s">
        <v>138</v>
      </c>
      <c r="S87" s="57" t="s">
        <v>168</v>
      </c>
      <c r="T87" s="57" t="s">
        <v>169</v>
      </c>
      <c r="U87" s="57"/>
      <c r="V87" s="57"/>
      <c r="W87" s="57"/>
      <c r="X87" s="57"/>
      <c r="Y87" s="57"/>
      <c r="Z87" s="123" t="s">
        <v>433</v>
      </c>
      <c r="AA87" s="123" t="s">
        <v>437</v>
      </c>
      <c r="AB87" s="123" t="str">
        <f>+CONCATENATE(Z87,"-",AA87)</f>
        <v>Droguería-Diario</v>
      </c>
      <c r="AC87" s="38" t="s">
        <v>170</v>
      </c>
      <c r="AD87" s="38" t="s">
        <v>78</v>
      </c>
      <c r="AE87" s="123" t="s">
        <v>195</v>
      </c>
      <c r="AF87" s="123" t="s">
        <v>442</v>
      </c>
      <c r="AG87" s="123" t="str">
        <f t="shared" si="6"/>
        <v>Ofertas-Mensual</v>
      </c>
      <c r="AH87" s="123" t="s">
        <v>556</v>
      </c>
      <c r="AI87" s="57">
        <v>1</v>
      </c>
      <c r="AJ87" s="38"/>
      <c r="AK87" s="123" t="s">
        <v>433</v>
      </c>
      <c r="AL87" s="123" t="s">
        <v>442</v>
      </c>
      <c r="AM87" s="123" t="str">
        <f t="shared" si="7"/>
        <v>Droguería-Mensual</v>
      </c>
      <c r="AN87" s="38" t="s">
        <v>104</v>
      </c>
      <c r="AO87" s="38">
        <v>1</v>
      </c>
      <c r="AP87" s="38">
        <v>1</v>
      </c>
      <c r="AQ87" s="38"/>
      <c r="AR87" s="38">
        <v>2</v>
      </c>
      <c r="AS87" s="38" t="s">
        <v>171</v>
      </c>
      <c r="AT87" s="38">
        <v>5</v>
      </c>
      <c r="AU87" s="38"/>
      <c r="AV87" s="38">
        <v>4</v>
      </c>
      <c r="AW87" s="38"/>
      <c r="AX87" s="38">
        <v>2</v>
      </c>
      <c r="AY87" s="38"/>
      <c r="AZ87" s="38">
        <v>2</v>
      </c>
      <c r="BA87" s="38"/>
      <c r="BB87" s="38">
        <v>2</v>
      </c>
      <c r="BC87" s="38"/>
      <c r="BD87" s="38">
        <v>6</v>
      </c>
      <c r="BE87" s="38"/>
      <c r="BF87" s="38">
        <v>4</v>
      </c>
      <c r="BG87" s="40"/>
      <c r="BH87" s="38">
        <v>2</v>
      </c>
      <c r="BI87" s="38" t="s">
        <v>172</v>
      </c>
      <c r="BJ87" s="38" t="s">
        <v>173</v>
      </c>
      <c r="BK87" s="38">
        <v>3</v>
      </c>
      <c r="BL87" s="40"/>
      <c r="BM87" s="40" t="s">
        <v>174</v>
      </c>
      <c r="BN87" s="40">
        <v>3195842598</v>
      </c>
      <c r="BO87" s="40" t="s">
        <v>83</v>
      </c>
      <c r="BP87" s="42" t="s">
        <v>84</v>
      </c>
    </row>
    <row r="88" spans="1:68" x14ac:dyDescent="0.25">
      <c r="A88" s="43"/>
      <c r="B88" s="44"/>
      <c r="C88" s="45"/>
      <c r="D88" s="58"/>
      <c r="E88" s="58"/>
      <c r="F88" s="58"/>
      <c r="G88" s="58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124" t="s">
        <v>434</v>
      </c>
      <c r="AA88" s="124" t="s">
        <v>437</v>
      </c>
      <c r="AB88" s="124" t="str">
        <f t="shared" ref="AB88:AB93" si="9">+CONCATENATE(Z88,"-",AA88)</f>
        <v>Aseo Personal-Diario</v>
      </c>
      <c r="AC88" s="39"/>
      <c r="AD88" s="39"/>
      <c r="AE88" s="124" t="s">
        <v>440</v>
      </c>
      <c r="AF88" s="124" t="s">
        <v>437</v>
      </c>
      <c r="AG88" s="124" t="str">
        <f t="shared" si="6"/>
        <v>Domicilios-Diario</v>
      </c>
      <c r="AH88" s="124" t="s">
        <v>553</v>
      </c>
      <c r="AI88" s="59"/>
      <c r="AJ88" s="39"/>
      <c r="AK88" s="124" t="s">
        <v>435</v>
      </c>
      <c r="AL88" s="124" t="s">
        <v>436</v>
      </c>
      <c r="AM88" s="124" t="str">
        <f t="shared" si="7"/>
        <v>Dulces y Paquetes-Semanal</v>
      </c>
      <c r="AN88" s="39"/>
      <c r="AO88" s="39"/>
      <c r="AP88" s="39"/>
      <c r="AQ88" s="39"/>
      <c r="AR88" s="39"/>
      <c r="AS88" s="39"/>
      <c r="AT88" s="39"/>
      <c r="AU88" s="39"/>
      <c r="AV88" s="39"/>
      <c r="AW88" s="39"/>
      <c r="AX88" s="39"/>
      <c r="AY88" s="39"/>
      <c r="AZ88" s="39"/>
      <c r="BA88" s="39"/>
      <c r="BB88" s="39"/>
      <c r="BC88" s="39"/>
      <c r="BD88" s="39"/>
      <c r="BE88" s="39"/>
      <c r="BF88" s="39"/>
      <c r="BG88" s="46"/>
      <c r="BH88" s="39"/>
      <c r="BI88" s="39"/>
      <c r="BJ88" s="39"/>
      <c r="BK88" s="39"/>
      <c r="BL88" s="46"/>
      <c r="BM88" s="46"/>
      <c r="BN88" s="46"/>
      <c r="BO88" s="46"/>
      <c r="BP88" s="48"/>
    </row>
    <row r="89" spans="1:68" x14ac:dyDescent="0.25">
      <c r="A89" s="43"/>
      <c r="B89" s="44"/>
      <c r="C89" s="45"/>
      <c r="D89" s="58"/>
      <c r="E89" s="58"/>
      <c r="F89" s="58"/>
      <c r="G89" s="58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124" t="s">
        <v>77</v>
      </c>
      <c r="AA89" s="124" t="s">
        <v>437</v>
      </c>
      <c r="AB89" s="124" t="str">
        <f t="shared" si="9"/>
        <v>Limpieza-Diario</v>
      </c>
      <c r="AC89" s="39"/>
      <c r="AD89" s="39"/>
      <c r="AE89" s="124" t="s">
        <v>441</v>
      </c>
      <c r="AF89" s="124" t="s">
        <v>437</v>
      </c>
      <c r="AG89" s="124" t="str">
        <f t="shared" si="6"/>
        <v>Atención al Cliente-Diario</v>
      </c>
      <c r="AH89" s="124" t="s">
        <v>557</v>
      </c>
      <c r="AI89" s="59"/>
      <c r="AJ89" s="39"/>
      <c r="AK89" s="124" t="s">
        <v>434</v>
      </c>
      <c r="AL89" s="124" t="s">
        <v>509</v>
      </c>
      <c r="AM89" s="124" t="str">
        <f t="shared" si="7"/>
        <v>Aseo Personal-Quincenal</v>
      </c>
      <c r="AN89" s="39"/>
      <c r="AO89" s="39"/>
      <c r="AP89" s="39"/>
      <c r="AQ89" s="39"/>
      <c r="AR89" s="39"/>
      <c r="AS89" s="39"/>
      <c r="AT89" s="39"/>
      <c r="AU89" s="39"/>
      <c r="AV89" s="39"/>
      <c r="AW89" s="39"/>
      <c r="AX89" s="39"/>
      <c r="AY89" s="39"/>
      <c r="AZ89" s="39"/>
      <c r="BA89" s="39"/>
      <c r="BB89" s="39"/>
      <c r="BC89" s="39"/>
      <c r="BD89" s="39"/>
      <c r="BE89" s="39"/>
      <c r="BF89" s="39"/>
      <c r="BG89" s="46"/>
      <c r="BH89" s="39"/>
      <c r="BI89" s="39"/>
      <c r="BJ89" s="39"/>
      <c r="BK89" s="39"/>
      <c r="BL89" s="46"/>
      <c r="BM89" s="46"/>
      <c r="BN89" s="46"/>
      <c r="BO89" s="46"/>
      <c r="BP89" s="48"/>
    </row>
    <row r="90" spans="1:68" x14ac:dyDescent="0.25">
      <c r="A90" s="49"/>
      <c r="B90" s="50"/>
      <c r="C90" s="51"/>
      <c r="D90" s="60"/>
      <c r="E90" s="60"/>
      <c r="F90" s="60"/>
      <c r="G90" s="60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125" t="s">
        <v>435</v>
      </c>
      <c r="AA90" s="125" t="s">
        <v>437</v>
      </c>
      <c r="AB90" s="125" t="str">
        <f t="shared" si="9"/>
        <v>Dulces y Paquetes-Diario</v>
      </c>
      <c r="AC90" s="7"/>
      <c r="AD90" s="7"/>
      <c r="AE90" s="125"/>
      <c r="AF90" s="125"/>
      <c r="AG90" s="125" t="str">
        <f t="shared" si="6"/>
        <v>-</v>
      </c>
      <c r="AH90" s="125"/>
      <c r="AI90" s="61"/>
      <c r="AJ90" s="7"/>
      <c r="AK90" s="125" t="s">
        <v>77</v>
      </c>
      <c r="AL90" s="125" t="s">
        <v>509</v>
      </c>
      <c r="AM90" s="125" t="str">
        <f t="shared" si="7"/>
        <v>Limpieza-Quincenal</v>
      </c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52"/>
      <c r="BH90" s="7"/>
      <c r="BI90" s="7"/>
      <c r="BJ90" s="7"/>
      <c r="BK90" s="7"/>
      <c r="BL90" s="52"/>
      <c r="BM90" s="52"/>
      <c r="BN90" s="52"/>
      <c r="BO90" s="52"/>
      <c r="BP90" s="54"/>
    </row>
    <row r="91" spans="1:68" x14ac:dyDescent="0.25">
      <c r="A91" s="35">
        <v>23</v>
      </c>
      <c r="B91" s="36">
        <v>44802</v>
      </c>
      <c r="C91" s="37" t="s">
        <v>175</v>
      </c>
      <c r="D91" s="56">
        <v>2</v>
      </c>
      <c r="E91" s="56">
        <v>2</v>
      </c>
      <c r="F91" s="56">
        <v>2</v>
      </c>
      <c r="G91" s="56">
        <v>12</v>
      </c>
      <c r="H91" s="57">
        <v>3</v>
      </c>
      <c r="I91" s="57">
        <v>1</v>
      </c>
      <c r="J91" s="57">
        <v>3</v>
      </c>
      <c r="K91" s="57">
        <v>2</v>
      </c>
      <c r="L91" s="57">
        <v>1</v>
      </c>
      <c r="M91" s="57">
        <v>3</v>
      </c>
      <c r="N91" s="57">
        <v>3</v>
      </c>
      <c r="O91" s="57">
        <v>3</v>
      </c>
      <c r="P91" s="57"/>
      <c r="Q91" s="57">
        <v>2</v>
      </c>
      <c r="R91" s="57" t="s">
        <v>559</v>
      </c>
      <c r="S91" s="57" t="s">
        <v>73</v>
      </c>
      <c r="T91" s="57" t="s">
        <v>93</v>
      </c>
      <c r="U91" s="57"/>
      <c r="V91" s="57" t="s">
        <v>177</v>
      </c>
      <c r="W91" s="57" t="s">
        <v>178</v>
      </c>
      <c r="X91" s="57"/>
      <c r="Y91" s="57"/>
      <c r="Z91" s="123" t="s">
        <v>434</v>
      </c>
      <c r="AA91" s="123" t="s">
        <v>437</v>
      </c>
      <c r="AB91" s="123" t="str">
        <f t="shared" si="9"/>
        <v>Aseo Personal-Diario</v>
      </c>
      <c r="AC91" s="38" t="s">
        <v>160</v>
      </c>
      <c r="AD91" s="38" t="s">
        <v>179</v>
      </c>
      <c r="AE91" s="123" t="s">
        <v>195</v>
      </c>
      <c r="AF91" s="123" t="s">
        <v>437</v>
      </c>
      <c r="AG91" s="123" t="str">
        <f t="shared" si="6"/>
        <v>Ofertas-Diario</v>
      </c>
      <c r="AH91" s="123" t="s">
        <v>552</v>
      </c>
      <c r="AI91" s="57">
        <v>1</v>
      </c>
      <c r="AJ91" s="38" t="s">
        <v>180</v>
      </c>
      <c r="AK91" s="123" t="s">
        <v>433</v>
      </c>
      <c r="AL91" s="123" t="s">
        <v>509</v>
      </c>
      <c r="AM91" s="123" t="str">
        <f t="shared" si="7"/>
        <v>Droguería-Quincenal</v>
      </c>
      <c r="AN91" s="38" t="s">
        <v>104</v>
      </c>
      <c r="AO91" s="38">
        <v>1</v>
      </c>
      <c r="AP91" s="38">
        <v>1</v>
      </c>
      <c r="AQ91" s="38"/>
      <c r="AR91" s="38">
        <v>2</v>
      </c>
      <c r="AS91" s="38"/>
      <c r="AT91" s="38">
        <v>4</v>
      </c>
      <c r="AU91" s="38"/>
      <c r="AV91" s="38"/>
      <c r="AW91" s="38"/>
      <c r="AX91" s="38">
        <v>4</v>
      </c>
      <c r="AY91" s="38"/>
      <c r="AZ91" s="38">
        <v>2</v>
      </c>
      <c r="BA91" s="38"/>
      <c r="BB91" s="38">
        <v>4</v>
      </c>
      <c r="BC91" s="38"/>
      <c r="BD91" s="38">
        <v>7</v>
      </c>
      <c r="BE91" s="38"/>
      <c r="BF91" s="38">
        <v>6</v>
      </c>
      <c r="BG91" s="38"/>
      <c r="BH91" s="38">
        <v>3</v>
      </c>
      <c r="BI91" s="38"/>
      <c r="BJ91" s="38" t="s">
        <v>181</v>
      </c>
      <c r="BK91" s="38">
        <v>10</v>
      </c>
      <c r="BL91" s="38"/>
      <c r="BM91" s="40" t="s">
        <v>182</v>
      </c>
      <c r="BN91" s="40">
        <v>3173930962</v>
      </c>
      <c r="BO91" s="40" t="s">
        <v>83</v>
      </c>
      <c r="BP91" s="42" t="s">
        <v>84</v>
      </c>
    </row>
    <row r="92" spans="1:68" x14ac:dyDescent="0.25">
      <c r="A92" s="43"/>
      <c r="B92" s="44"/>
      <c r="C92" s="45"/>
      <c r="D92" s="58"/>
      <c r="E92" s="58"/>
      <c r="F92" s="58"/>
      <c r="G92" s="58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124" t="s">
        <v>77</v>
      </c>
      <c r="AA92" s="124" t="s">
        <v>437</v>
      </c>
      <c r="AB92" s="124" t="str">
        <f t="shared" si="9"/>
        <v>Limpieza-Diario</v>
      </c>
      <c r="AC92" s="39"/>
      <c r="AD92" s="39"/>
      <c r="AE92" s="124" t="s">
        <v>440</v>
      </c>
      <c r="AF92" s="124" t="s">
        <v>437</v>
      </c>
      <c r="AG92" s="124" t="str">
        <f t="shared" si="6"/>
        <v>Domicilios-Diario</v>
      </c>
      <c r="AH92" s="124" t="s">
        <v>553</v>
      </c>
      <c r="AI92" s="59"/>
      <c r="AJ92" s="39"/>
      <c r="AK92" s="124" t="s">
        <v>435</v>
      </c>
      <c r="AL92" s="124" t="s">
        <v>436</v>
      </c>
      <c r="AM92" s="124" t="str">
        <f t="shared" si="7"/>
        <v>Dulces y Paquetes-Semanal</v>
      </c>
      <c r="AN92" s="39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39"/>
      <c r="BM92" s="46"/>
      <c r="BN92" s="46"/>
      <c r="BO92" s="46"/>
      <c r="BP92" s="48"/>
    </row>
    <row r="93" spans="1:68" x14ac:dyDescent="0.25">
      <c r="A93" s="43"/>
      <c r="B93" s="44"/>
      <c r="C93" s="45"/>
      <c r="D93" s="58"/>
      <c r="E93" s="58"/>
      <c r="F93" s="58"/>
      <c r="G93" s="58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124" t="s">
        <v>435</v>
      </c>
      <c r="AA93" s="124" t="s">
        <v>437</v>
      </c>
      <c r="AB93" s="124" t="str">
        <f t="shared" si="9"/>
        <v>Dulces y Paquetes-Diario</v>
      </c>
      <c r="AC93" s="39"/>
      <c r="AD93" s="39"/>
      <c r="AE93" s="124" t="s">
        <v>441</v>
      </c>
      <c r="AF93" s="124" t="s">
        <v>437</v>
      </c>
      <c r="AG93" s="124" t="str">
        <f t="shared" si="6"/>
        <v>Atención al Cliente-Diario</v>
      </c>
      <c r="AH93" s="124" t="s">
        <v>546</v>
      </c>
      <c r="AI93" s="59"/>
      <c r="AJ93" s="39"/>
      <c r="AK93" s="124" t="s">
        <v>434</v>
      </c>
      <c r="AL93" s="124" t="s">
        <v>436</v>
      </c>
      <c r="AM93" s="124" t="str">
        <f t="shared" si="7"/>
        <v>Aseo Personal-Semanal</v>
      </c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9"/>
      <c r="BE93" s="39"/>
      <c r="BF93" s="39"/>
      <c r="BG93" s="39"/>
      <c r="BH93" s="39"/>
      <c r="BI93" s="39"/>
      <c r="BJ93" s="39"/>
      <c r="BK93" s="39"/>
      <c r="BL93" s="39"/>
      <c r="BM93" s="46"/>
      <c r="BN93" s="46"/>
      <c r="BO93" s="46"/>
      <c r="BP93" s="48"/>
    </row>
    <row r="94" spans="1:68" x14ac:dyDescent="0.25">
      <c r="A94" s="49"/>
      <c r="B94" s="50"/>
      <c r="C94" s="51"/>
      <c r="D94" s="60"/>
      <c r="E94" s="60"/>
      <c r="F94" s="60"/>
      <c r="G94" s="60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125"/>
      <c r="AA94" s="125"/>
      <c r="AB94" s="125"/>
      <c r="AC94" s="7"/>
      <c r="AD94" s="7"/>
      <c r="AE94" s="125"/>
      <c r="AF94" s="125"/>
      <c r="AG94" s="125" t="str">
        <f t="shared" si="6"/>
        <v>-</v>
      </c>
      <c r="AH94" s="125"/>
      <c r="AI94" s="61"/>
      <c r="AJ94" s="7"/>
      <c r="AK94" s="125" t="s">
        <v>77</v>
      </c>
      <c r="AL94" s="125" t="s">
        <v>436</v>
      </c>
      <c r="AM94" s="125" t="str">
        <f t="shared" si="7"/>
        <v>Limpieza-Semanal</v>
      </c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52"/>
      <c r="BN94" s="52"/>
      <c r="BO94" s="52"/>
      <c r="BP94" s="54"/>
    </row>
    <row r="95" spans="1:68" x14ac:dyDescent="0.25">
      <c r="A95" s="35">
        <v>24</v>
      </c>
      <c r="B95" s="36">
        <v>44802</v>
      </c>
      <c r="C95" s="37" t="s">
        <v>183</v>
      </c>
      <c r="D95" s="56">
        <v>2</v>
      </c>
      <c r="E95" s="56">
        <v>2</v>
      </c>
      <c r="F95" s="56">
        <v>1</v>
      </c>
      <c r="G95" s="56">
        <v>12</v>
      </c>
      <c r="H95" s="57">
        <v>2</v>
      </c>
      <c r="I95" s="57">
        <v>1</v>
      </c>
      <c r="J95" s="57">
        <v>3</v>
      </c>
      <c r="K95" s="57">
        <v>2</v>
      </c>
      <c r="L95" s="57">
        <v>3</v>
      </c>
      <c r="M95" s="57">
        <v>3</v>
      </c>
      <c r="N95" s="57">
        <v>3</v>
      </c>
      <c r="O95" s="57">
        <v>3</v>
      </c>
      <c r="P95" s="57"/>
      <c r="Q95" s="57">
        <v>3</v>
      </c>
      <c r="R95" s="57" t="s">
        <v>121</v>
      </c>
      <c r="S95" s="57" t="s">
        <v>88</v>
      </c>
      <c r="T95" s="57" t="s">
        <v>73</v>
      </c>
      <c r="U95" s="57" t="s">
        <v>176</v>
      </c>
      <c r="V95" s="57"/>
      <c r="W95" s="57"/>
      <c r="X95" s="57"/>
      <c r="Y95" s="57"/>
      <c r="Z95" s="123" t="s">
        <v>433</v>
      </c>
      <c r="AA95" s="123" t="s">
        <v>442</v>
      </c>
      <c r="AB95" s="123" t="str">
        <f>+CONCATENATE(Z95,"-",AA95)</f>
        <v>Droguería-Mensual</v>
      </c>
      <c r="AC95" s="38" t="s">
        <v>89</v>
      </c>
      <c r="AD95" s="38" t="s">
        <v>78</v>
      </c>
      <c r="AE95" s="123" t="s">
        <v>195</v>
      </c>
      <c r="AF95" s="123" t="s">
        <v>637</v>
      </c>
      <c r="AG95" s="123" t="str">
        <f t="shared" si="6"/>
        <v>Ofertas-Ocasional</v>
      </c>
      <c r="AH95" s="123" t="s">
        <v>552</v>
      </c>
      <c r="AI95" s="57">
        <v>2</v>
      </c>
      <c r="AJ95" s="38"/>
      <c r="AK95" s="123" t="s">
        <v>433</v>
      </c>
      <c r="AL95" s="123" t="s">
        <v>442</v>
      </c>
      <c r="AM95" s="123" t="str">
        <f t="shared" si="7"/>
        <v>Droguería-Mensual</v>
      </c>
      <c r="AN95" s="38" t="s">
        <v>104</v>
      </c>
      <c r="AO95" s="38">
        <v>1</v>
      </c>
      <c r="AP95" s="38">
        <v>2</v>
      </c>
      <c r="AQ95" s="38"/>
      <c r="AR95" s="38">
        <v>1</v>
      </c>
      <c r="AS95" s="38" t="s">
        <v>101</v>
      </c>
      <c r="AT95" s="38">
        <v>3</v>
      </c>
      <c r="AU95" s="38"/>
      <c r="AV95" s="38">
        <v>4</v>
      </c>
      <c r="AW95" s="38"/>
      <c r="AX95" s="38">
        <v>2</v>
      </c>
      <c r="AY95" s="38"/>
      <c r="AZ95" s="38">
        <v>2</v>
      </c>
      <c r="BA95" s="38"/>
      <c r="BB95" s="38">
        <v>3</v>
      </c>
      <c r="BC95" s="38"/>
      <c r="BD95" s="38">
        <v>7</v>
      </c>
      <c r="BE95" s="38"/>
      <c r="BF95" s="38">
        <v>4</v>
      </c>
      <c r="BG95" s="38"/>
      <c r="BH95" s="38">
        <v>3</v>
      </c>
      <c r="BI95" s="38" t="s">
        <v>78</v>
      </c>
      <c r="BJ95" s="38" t="s">
        <v>184</v>
      </c>
      <c r="BK95" s="38">
        <v>3</v>
      </c>
      <c r="BL95" s="38"/>
      <c r="BM95" s="40" t="s">
        <v>108</v>
      </c>
      <c r="BN95" s="40">
        <v>3188071770</v>
      </c>
      <c r="BO95" s="40" t="s">
        <v>83</v>
      </c>
      <c r="BP95" s="42" t="s">
        <v>84</v>
      </c>
    </row>
    <row r="96" spans="1:68" x14ac:dyDescent="0.25">
      <c r="A96" s="43"/>
      <c r="B96" s="44"/>
      <c r="C96" s="45"/>
      <c r="D96" s="58"/>
      <c r="E96" s="58"/>
      <c r="F96" s="58"/>
      <c r="G96" s="58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124" t="s">
        <v>434</v>
      </c>
      <c r="AA96" s="124" t="s">
        <v>437</v>
      </c>
      <c r="AB96" s="124" t="str">
        <f t="shared" ref="AB96:AB124" si="10">+CONCATENATE(Z96,"-",AA96)</f>
        <v>Aseo Personal-Diario</v>
      </c>
      <c r="AC96" s="39"/>
      <c r="AD96" s="39"/>
      <c r="AE96" s="124" t="s">
        <v>440</v>
      </c>
      <c r="AF96" s="124" t="s">
        <v>437</v>
      </c>
      <c r="AG96" s="124" t="str">
        <f t="shared" si="6"/>
        <v>Domicilios-Diario</v>
      </c>
      <c r="AH96" s="124" t="s">
        <v>553</v>
      </c>
      <c r="AI96" s="59"/>
      <c r="AJ96" s="39"/>
      <c r="AK96" s="124" t="s">
        <v>435</v>
      </c>
      <c r="AL96" s="124" t="s">
        <v>442</v>
      </c>
      <c r="AM96" s="124" t="str">
        <f t="shared" si="7"/>
        <v>Dulces y Paquetes-Mensual</v>
      </c>
      <c r="AN96" s="39"/>
      <c r="AO96" s="39"/>
      <c r="AP96" s="39"/>
      <c r="AQ96" s="39"/>
      <c r="AR96" s="39"/>
      <c r="AS96" s="39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46"/>
      <c r="BN96" s="46"/>
      <c r="BO96" s="46"/>
      <c r="BP96" s="48"/>
    </row>
    <row r="97" spans="1:68" x14ac:dyDescent="0.25">
      <c r="A97" s="43"/>
      <c r="B97" s="44"/>
      <c r="C97" s="45"/>
      <c r="D97" s="58"/>
      <c r="E97" s="58"/>
      <c r="F97" s="58"/>
      <c r="G97" s="58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124" t="s">
        <v>77</v>
      </c>
      <c r="AA97" s="124" t="s">
        <v>436</v>
      </c>
      <c r="AB97" s="124" t="str">
        <f t="shared" si="10"/>
        <v>Limpieza-Semanal</v>
      </c>
      <c r="AC97" s="39"/>
      <c r="AD97" s="39"/>
      <c r="AE97" s="124" t="s">
        <v>441</v>
      </c>
      <c r="AF97" s="124" t="s">
        <v>437</v>
      </c>
      <c r="AG97" s="124" t="str">
        <f t="shared" si="6"/>
        <v>Atención al Cliente-Diario</v>
      </c>
      <c r="AH97" s="124" t="s">
        <v>557</v>
      </c>
      <c r="AI97" s="59"/>
      <c r="AJ97" s="39"/>
      <c r="AK97" s="124" t="s">
        <v>434</v>
      </c>
      <c r="AL97" s="124" t="s">
        <v>509</v>
      </c>
      <c r="AM97" s="124" t="str">
        <f t="shared" si="7"/>
        <v>Aseo Personal-Quincenal</v>
      </c>
      <c r="AN97" s="39"/>
      <c r="AO97" s="39"/>
      <c r="AP97" s="39"/>
      <c r="AQ97" s="39"/>
      <c r="AR97" s="39"/>
      <c r="AS97" s="39"/>
      <c r="AT97" s="39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39"/>
      <c r="BF97" s="39"/>
      <c r="BG97" s="39"/>
      <c r="BH97" s="39"/>
      <c r="BI97" s="39"/>
      <c r="BJ97" s="39"/>
      <c r="BK97" s="39"/>
      <c r="BL97" s="39"/>
      <c r="BM97" s="46"/>
      <c r="BN97" s="46"/>
      <c r="BO97" s="46"/>
      <c r="BP97" s="48"/>
    </row>
    <row r="98" spans="1:68" x14ac:dyDescent="0.25">
      <c r="A98" s="49"/>
      <c r="B98" s="50"/>
      <c r="C98" s="51"/>
      <c r="D98" s="60"/>
      <c r="E98" s="60"/>
      <c r="F98" s="60"/>
      <c r="G98" s="60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125" t="s">
        <v>435</v>
      </c>
      <c r="AA98" s="125" t="s">
        <v>436</v>
      </c>
      <c r="AB98" s="125" t="str">
        <f t="shared" si="10"/>
        <v>Dulces y Paquetes-Semanal</v>
      </c>
      <c r="AC98" s="7"/>
      <c r="AD98" s="7"/>
      <c r="AE98" s="125"/>
      <c r="AF98" s="125"/>
      <c r="AG98" s="125" t="str">
        <f t="shared" si="6"/>
        <v>-</v>
      </c>
      <c r="AH98" s="125"/>
      <c r="AI98" s="61"/>
      <c r="AJ98" s="7"/>
      <c r="AK98" s="125" t="s">
        <v>77</v>
      </c>
      <c r="AL98" s="125" t="s">
        <v>509</v>
      </c>
      <c r="AM98" s="125" t="str">
        <f t="shared" si="7"/>
        <v>Limpieza-Quincenal</v>
      </c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52"/>
      <c r="BN98" s="52"/>
      <c r="BO98" s="52"/>
      <c r="BP98" s="54"/>
    </row>
    <row r="99" spans="1:68" x14ac:dyDescent="0.25">
      <c r="A99" s="35">
        <v>25</v>
      </c>
      <c r="B99" s="36">
        <v>44803</v>
      </c>
      <c r="C99" s="37" t="s">
        <v>185</v>
      </c>
      <c r="D99" s="56">
        <v>2</v>
      </c>
      <c r="E99" s="56">
        <v>2</v>
      </c>
      <c r="F99" s="56">
        <v>1</v>
      </c>
      <c r="G99" s="56">
        <v>12</v>
      </c>
      <c r="H99" s="57">
        <v>2</v>
      </c>
      <c r="I99" s="57">
        <v>2</v>
      </c>
      <c r="J99" s="57">
        <v>3</v>
      </c>
      <c r="K99" s="57">
        <v>2</v>
      </c>
      <c r="L99" s="57">
        <v>2</v>
      </c>
      <c r="M99" s="57">
        <v>3</v>
      </c>
      <c r="N99" s="57">
        <v>3</v>
      </c>
      <c r="O99" s="57">
        <v>1</v>
      </c>
      <c r="P99" s="57"/>
      <c r="Q99" s="57">
        <v>3</v>
      </c>
      <c r="R99" s="57" t="s">
        <v>121</v>
      </c>
      <c r="S99" s="57" t="s">
        <v>73</v>
      </c>
      <c r="T99" s="57" t="s">
        <v>186</v>
      </c>
      <c r="U99" s="57" t="s">
        <v>187</v>
      </c>
      <c r="V99" s="57"/>
      <c r="W99" s="57"/>
      <c r="X99" s="57"/>
      <c r="Y99" s="57"/>
      <c r="Z99" s="123" t="s">
        <v>434</v>
      </c>
      <c r="AA99" s="123" t="s">
        <v>437</v>
      </c>
      <c r="AB99" s="123" t="str">
        <f t="shared" si="10"/>
        <v>Aseo Personal-Diario</v>
      </c>
      <c r="AC99" s="38" t="s">
        <v>188</v>
      </c>
      <c r="AD99" s="38" t="s">
        <v>78</v>
      </c>
      <c r="AE99" s="123"/>
      <c r="AF99" s="123"/>
      <c r="AG99" s="123" t="str">
        <f t="shared" si="6"/>
        <v>-</v>
      </c>
      <c r="AH99" s="123"/>
      <c r="AI99" s="57">
        <v>2</v>
      </c>
      <c r="AJ99" s="38"/>
      <c r="AK99" s="123" t="s">
        <v>435</v>
      </c>
      <c r="AL99" s="123" t="s">
        <v>436</v>
      </c>
      <c r="AM99" s="123" t="str">
        <f t="shared" si="7"/>
        <v>Dulces y Paquetes-Semanal</v>
      </c>
      <c r="AN99" s="38" t="s">
        <v>166</v>
      </c>
      <c r="AO99" s="38">
        <v>1</v>
      </c>
      <c r="AP99" s="38">
        <v>1</v>
      </c>
      <c r="AQ99" s="38"/>
      <c r="AR99" s="38">
        <v>2</v>
      </c>
      <c r="AS99" s="38"/>
      <c r="AT99" s="38">
        <v>1</v>
      </c>
      <c r="AU99" s="38"/>
      <c r="AV99" s="38">
        <v>1</v>
      </c>
      <c r="AW99" s="38"/>
      <c r="AX99" s="38">
        <v>3</v>
      </c>
      <c r="AY99" s="38"/>
      <c r="AZ99" s="38">
        <v>2</v>
      </c>
      <c r="BA99" s="38"/>
      <c r="BB99" s="38">
        <v>1</v>
      </c>
      <c r="BC99" s="38"/>
      <c r="BD99" s="38">
        <v>2</v>
      </c>
      <c r="BE99" s="38"/>
      <c r="BF99" s="38">
        <v>4</v>
      </c>
      <c r="BG99" s="38"/>
      <c r="BH99" s="38">
        <v>3</v>
      </c>
      <c r="BI99" s="38" t="s">
        <v>80</v>
      </c>
      <c r="BJ99" s="38" t="s">
        <v>189</v>
      </c>
      <c r="BK99" s="38">
        <v>1</v>
      </c>
      <c r="BL99" s="38"/>
      <c r="BM99" s="40" t="s">
        <v>91</v>
      </c>
      <c r="BN99" s="40">
        <v>3212829860</v>
      </c>
      <c r="BO99" s="40" t="s">
        <v>83</v>
      </c>
      <c r="BP99" s="42" t="s">
        <v>84</v>
      </c>
    </row>
    <row r="100" spans="1:68" x14ac:dyDescent="0.25">
      <c r="A100" s="43"/>
      <c r="B100" s="44"/>
      <c r="C100" s="45"/>
      <c r="D100" s="58"/>
      <c r="E100" s="58"/>
      <c r="F100" s="58"/>
      <c r="G100" s="58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124" t="s">
        <v>77</v>
      </c>
      <c r="AA100" s="124" t="s">
        <v>437</v>
      </c>
      <c r="AB100" s="124" t="str">
        <f t="shared" si="10"/>
        <v>Limpieza-Diario</v>
      </c>
      <c r="AC100" s="39"/>
      <c r="AD100" s="39"/>
      <c r="AE100" s="124"/>
      <c r="AF100" s="124"/>
      <c r="AG100" s="124" t="str">
        <f t="shared" si="6"/>
        <v>-</v>
      </c>
      <c r="AH100" s="124"/>
      <c r="AI100" s="59"/>
      <c r="AJ100" s="39"/>
      <c r="AK100" s="124" t="s">
        <v>434</v>
      </c>
      <c r="AL100" s="124" t="s">
        <v>509</v>
      </c>
      <c r="AM100" s="124" t="str">
        <f t="shared" si="7"/>
        <v>Aseo Personal-Quincenal</v>
      </c>
      <c r="AN100" s="39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39"/>
      <c r="BE100" s="39"/>
      <c r="BF100" s="39"/>
      <c r="BG100" s="39"/>
      <c r="BH100" s="39"/>
      <c r="BI100" s="39"/>
      <c r="BJ100" s="39"/>
      <c r="BK100" s="39"/>
      <c r="BL100" s="39"/>
      <c r="BM100" s="46"/>
      <c r="BN100" s="46"/>
      <c r="BO100" s="46"/>
      <c r="BP100" s="48"/>
    </row>
    <row r="101" spans="1:68" x14ac:dyDescent="0.25">
      <c r="A101" s="49"/>
      <c r="B101" s="50"/>
      <c r="C101" s="51"/>
      <c r="D101" s="60"/>
      <c r="E101" s="60"/>
      <c r="F101" s="60"/>
      <c r="G101" s="60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125" t="s">
        <v>435</v>
      </c>
      <c r="AA101" s="125" t="s">
        <v>437</v>
      </c>
      <c r="AB101" s="125" t="str">
        <f t="shared" si="10"/>
        <v>Dulces y Paquetes-Diario</v>
      </c>
      <c r="AC101" s="7"/>
      <c r="AD101" s="7"/>
      <c r="AE101" s="125"/>
      <c r="AF101" s="125"/>
      <c r="AG101" s="125" t="str">
        <f t="shared" si="6"/>
        <v>-</v>
      </c>
      <c r="AH101" s="125"/>
      <c r="AI101" s="61"/>
      <c r="AJ101" s="7"/>
      <c r="AK101" s="125" t="s">
        <v>77</v>
      </c>
      <c r="AL101" s="125" t="s">
        <v>509</v>
      </c>
      <c r="AM101" s="125" t="str">
        <f t="shared" si="7"/>
        <v>Limpieza-Quincenal</v>
      </c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52"/>
      <c r="BN101" s="52"/>
      <c r="BO101" s="52"/>
      <c r="BP101" s="54"/>
    </row>
    <row r="102" spans="1:68" x14ac:dyDescent="0.25">
      <c r="A102" s="35">
        <v>26</v>
      </c>
      <c r="B102" s="36">
        <v>44803</v>
      </c>
      <c r="C102" s="37" t="s">
        <v>190</v>
      </c>
      <c r="D102" s="56">
        <v>2</v>
      </c>
      <c r="E102" s="56">
        <v>2</v>
      </c>
      <c r="F102" s="56">
        <v>1</v>
      </c>
      <c r="G102" s="56">
        <v>12</v>
      </c>
      <c r="H102" s="57">
        <v>2</v>
      </c>
      <c r="I102" s="57">
        <v>1</v>
      </c>
      <c r="J102" s="57">
        <v>1</v>
      </c>
      <c r="K102" s="57">
        <v>2</v>
      </c>
      <c r="L102" s="57">
        <v>1</v>
      </c>
      <c r="M102" s="57">
        <v>2</v>
      </c>
      <c r="N102" s="57">
        <v>3</v>
      </c>
      <c r="O102" s="57">
        <v>2</v>
      </c>
      <c r="P102" s="57"/>
      <c r="Q102" s="57">
        <v>3</v>
      </c>
      <c r="R102" s="57" t="s">
        <v>187</v>
      </c>
      <c r="S102" s="57" t="s">
        <v>191</v>
      </c>
      <c r="T102" s="57" t="s">
        <v>186</v>
      </c>
      <c r="U102" s="57"/>
      <c r="V102" s="57"/>
      <c r="W102" s="57"/>
      <c r="X102" s="57"/>
      <c r="Y102" s="57"/>
      <c r="Z102" s="123" t="s">
        <v>433</v>
      </c>
      <c r="AA102" s="123" t="s">
        <v>436</v>
      </c>
      <c r="AB102" s="123" t="str">
        <f t="shared" si="10"/>
        <v>Droguería-Semanal</v>
      </c>
      <c r="AC102" s="38" t="s">
        <v>77</v>
      </c>
      <c r="AD102" s="38" t="s">
        <v>78</v>
      </c>
      <c r="AE102" s="123" t="s">
        <v>448</v>
      </c>
      <c r="AF102" s="123" t="s">
        <v>437</v>
      </c>
      <c r="AG102" s="123" t="str">
        <f t="shared" si="6"/>
        <v>Asesoramiento-Diario</v>
      </c>
      <c r="AH102" s="123"/>
      <c r="AI102" s="57">
        <v>2</v>
      </c>
      <c r="AJ102" s="38"/>
      <c r="AK102" s="123" t="s">
        <v>433</v>
      </c>
      <c r="AL102" s="123" t="s">
        <v>449</v>
      </c>
      <c r="AM102" s="123" t="str">
        <f t="shared" si="7"/>
        <v>Droguería-Depende de la Provisión</v>
      </c>
      <c r="AN102" s="38" t="s">
        <v>166</v>
      </c>
      <c r="AO102" s="38">
        <v>1</v>
      </c>
      <c r="AP102" s="38">
        <v>2</v>
      </c>
      <c r="AQ102" s="38"/>
      <c r="AR102" s="38">
        <v>2</v>
      </c>
      <c r="AS102" s="38"/>
      <c r="AT102" s="38">
        <v>1</v>
      </c>
      <c r="AU102" s="38"/>
      <c r="AV102" s="38">
        <v>1</v>
      </c>
      <c r="AW102" s="38"/>
      <c r="AX102" s="38">
        <v>1</v>
      </c>
      <c r="AY102" s="38"/>
      <c r="AZ102" s="38">
        <v>2</v>
      </c>
      <c r="BA102" s="38"/>
      <c r="BB102" s="38">
        <v>3</v>
      </c>
      <c r="BC102" s="38"/>
      <c r="BD102" s="38">
        <v>4</v>
      </c>
      <c r="BE102" s="38"/>
      <c r="BF102" s="38">
        <v>4</v>
      </c>
      <c r="BG102" s="38"/>
      <c r="BH102" s="38">
        <v>3</v>
      </c>
      <c r="BI102" s="38"/>
      <c r="BJ102" s="38"/>
      <c r="BK102" s="38">
        <v>1</v>
      </c>
      <c r="BL102" s="38"/>
      <c r="BM102" s="40" t="s">
        <v>91</v>
      </c>
      <c r="BN102" s="40">
        <v>3188071770</v>
      </c>
      <c r="BO102" s="40" t="s">
        <v>83</v>
      </c>
      <c r="BP102" s="42" t="s">
        <v>84</v>
      </c>
    </row>
    <row r="103" spans="1:68" x14ac:dyDescent="0.25">
      <c r="A103" s="43"/>
      <c r="B103" s="44"/>
      <c r="C103" s="45"/>
      <c r="D103" s="58"/>
      <c r="E103" s="58"/>
      <c r="F103" s="58"/>
      <c r="G103" s="58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124" t="s">
        <v>434</v>
      </c>
      <c r="AA103" s="124" t="s">
        <v>437</v>
      </c>
      <c r="AB103" s="124" t="str">
        <f t="shared" si="10"/>
        <v>Aseo Personal-Diario</v>
      </c>
      <c r="AC103" s="39"/>
      <c r="AD103" s="39"/>
      <c r="AE103" s="124" t="s">
        <v>440</v>
      </c>
      <c r="AF103" s="124" t="s">
        <v>437</v>
      </c>
      <c r="AG103" s="124" t="str">
        <f t="shared" si="6"/>
        <v>Domicilios-Diario</v>
      </c>
      <c r="AH103" s="124"/>
      <c r="AI103" s="59"/>
      <c r="AJ103" s="39"/>
      <c r="AK103" s="124" t="s">
        <v>435</v>
      </c>
      <c r="AL103" s="124" t="s">
        <v>436</v>
      </c>
      <c r="AM103" s="124" t="str">
        <f t="shared" si="7"/>
        <v>Dulces y Paquetes-Semanal</v>
      </c>
      <c r="AN103" s="39"/>
      <c r="AO103" s="39"/>
      <c r="AP103" s="39"/>
      <c r="AQ103" s="39"/>
      <c r="AR103" s="39"/>
      <c r="AS103" s="39"/>
      <c r="AT103" s="39"/>
      <c r="AU103" s="39"/>
      <c r="AV103" s="39"/>
      <c r="AW103" s="39"/>
      <c r="AX103" s="39"/>
      <c r="AY103" s="39"/>
      <c r="AZ103" s="39"/>
      <c r="BA103" s="39"/>
      <c r="BB103" s="39"/>
      <c r="BC103" s="39"/>
      <c r="BD103" s="39"/>
      <c r="BE103" s="39"/>
      <c r="BF103" s="39"/>
      <c r="BG103" s="39"/>
      <c r="BH103" s="39"/>
      <c r="BI103" s="39"/>
      <c r="BJ103" s="39"/>
      <c r="BK103" s="39"/>
      <c r="BL103" s="39"/>
      <c r="BM103" s="46"/>
      <c r="BN103" s="46"/>
      <c r="BO103" s="46"/>
      <c r="BP103" s="48"/>
    </row>
    <row r="104" spans="1:68" x14ac:dyDescent="0.25">
      <c r="A104" s="43"/>
      <c r="B104" s="44"/>
      <c r="C104" s="45"/>
      <c r="D104" s="58"/>
      <c r="E104" s="58"/>
      <c r="F104" s="58"/>
      <c r="G104" s="58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124" t="s">
        <v>77</v>
      </c>
      <c r="AA104" s="124" t="s">
        <v>437</v>
      </c>
      <c r="AB104" s="124" t="str">
        <f t="shared" si="10"/>
        <v>Limpieza-Diario</v>
      </c>
      <c r="AC104" s="39"/>
      <c r="AD104" s="39"/>
      <c r="AE104" s="124" t="s">
        <v>441</v>
      </c>
      <c r="AF104" s="124" t="s">
        <v>437</v>
      </c>
      <c r="AG104" s="124" t="str">
        <f t="shared" si="6"/>
        <v>Atención al Cliente-Diario</v>
      </c>
      <c r="AH104" s="124"/>
      <c r="AI104" s="59"/>
      <c r="AJ104" s="39"/>
      <c r="AK104" s="124" t="s">
        <v>434</v>
      </c>
      <c r="AL104" s="124" t="s">
        <v>509</v>
      </c>
      <c r="AM104" s="124" t="str">
        <f t="shared" si="7"/>
        <v>Aseo Personal-Quincenal</v>
      </c>
      <c r="AN104" s="39"/>
      <c r="AO104" s="39"/>
      <c r="AP104" s="39"/>
      <c r="AQ104" s="39"/>
      <c r="AR104" s="39"/>
      <c r="AS104" s="39"/>
      <c r="AT104" s="39"/>
      <c r="AU104" s="39"/>
      <c r="AV104" s="39"/>
      <c r="AW104" s="39"/>
      <c r="AX104" s="39"/>
      <c r="AY104" s="39"/>
      <c r="AZ104" s="39"/>
      <c r="BA104" s="39"/>
      <c r="BB104" s="39"/>
      <c r="BC104" s="39"/>
      <c r="BD104" s="39"/>
      <c r="BE104" s="39"/>
      <c r="BF104" s="39"/>
      <c r="BG104" s="39"/>
      <c r="BH104" s="39"/>
      <c r="BI104" s="39"/>
      <c r="BJ104" s="39"/>
      <c r="BK104" s="39"/>
      <c r="BL104" s="39"/>
      <c r="BM104" s="46"/>
      <c r="BN104" s="46"/>
      <c r="BO104" s="46"/>
      <c r="BP104" s="48"/>
    </row>
    <row r="105" spans="1:68" x14ac:dyDescent="0.25">
      <c r="A105" s="49"/>
      <c r="B105" s="50"/>
      <c r="C105" s="51"/>
      <c r="D105" s="60"/>
      <c r="E105" s="60"/>
      <c r="F105" s="60"/>
      <c r="G105" s="60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125" t="s">
        <v>435</v>
      </c>
      <c r="AA105" s="125" t="s">
        <v>437</v>
      </c>
      <c r="AB105" s="125" t="str">
        <f t="shared" si="10"/>
        <v>Dulces y Paquetes-Diario</v>
      </c>
      <c r="AC105" s="7"/>
      <c r="AD105" s="7"/>
      <c r="AE105" s="125"/>
      <c r="AF105" s="125"/>
      <c r="AG105" s="125" t="str">
        <f t="shared" si="6"/>
        <v>-</v>
      </c>
      <c r="AH105" s="125"/>
      <c r="AI105" s="61"/>
      <c r="AJ105" s="7"/>
      <c r="AK105" s="125" t="s">
        <v>77</v>
      </c>
      <c r="AL105" s="125" t="s">
        <v>442</v>
      </c>
      <c r="AM105" s="125" t="str">
        <f t="shared" si="7"/>
        <v>Limpieza-Mensual</v>
      </c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52"/>
      <c r="BN105" s="52"/>
      <c r="BO105" s="52"/>
      <c r="BP105" s="54"/>
    </row>
    <row r="106" spans="1:68" x14ac:dyDescent="0.25">
      <c r="A106" s="35">
        <v>27</v>
      </c>
      <c r="B106" s="36">
        <v>44804</v>
      </c>
      <c r="C106" s="37" t="s">
        <v>192</v>
      </c>
      <c r="D106" s="56">
        <v>2</v>
      </c>
      <c r="E106" s="56">
        <v>2</v>
      </c>
      <c r="F106" s="56">
        <v>1</v>
      </c>
      <c r="G106" s="56">
        <v>12</v>
      </c>
      <c r="H106" s="57">
        <v>1</v>
      </c>
      <c r="I106" s="57">
        <v>1</v>
      </c>
      <c r="J106" s="57">
        <v>3</v>
      </c>
      <c r="K106" s="57">
        <v>2</v>
      </c>
      <c r="L106" s="57">
        <v>3</v>
      </c>
      <c r="M106" s="57">
        <v>3</v>
      </c>
      <c r="N106" s="57">
        <v>3</v>
      </c>
      <c r="O106" s="57">
        <v>3</v>
      </c>
      <c r="P106" s="57"/>
      <c r="Q106" s="57">
        <v>2</v>
      </c>
      <c r="R106" s="57" t="s">
        <v>120</v>
      </c>
      <c r="S106" s="57" t="s">
        <v>94</v>
      </c>
      <c r="T106" s="57" t="s">
        <v>193</v>
      </c>
      <c r="U106" s="57"/>
      <c r="V106" s="57" t="s">
        <v>76</v>
      </c>
      <c r="W106" s="57" t="s">
        <v>125</v>
      </c>
      <c r="X106" s="57" t="s">
        <v>195</v>
      </c>
      <c r="Y106" s="57" t="s">
        <v>96</v>
      </c>
      <c r="Z106" s="123" t="s">
        <v>433</v>
      </c>
      <c r="AA106" s="123" t="s">
        <v>442</v>
      </c>
      <c r="AB106" s="123" t="str">
        <f t="shared" si="10"/>
        <v>Droguería-Mensual</v>
      </c>
      <c r="AC106" s="38" t="s">
        <v>89</v>
      </c>
      <c r="AD106" s="38" t="s">
        <v>78</v>
      </c>
      <c r="AE106" s="123" t="s">
        <v>439</v>
      </c>
      <c r="AF106" s="123" t="s">
        <v>442</v>
      </c>
      <c r="AG106" s="123" t="str">
        <f t="shared" si="6"/>
        <v>Descuento-Mensual</v>
      </c>
      <c r="AH106" s="123" t="s">
        <v>556</v>
      </c>
      <c r="AI106" s="57">
        <v>2</v>
      </c>
      <c r="AJ106" s="38" t="s">
        <v>196</v>
      </c>
      <c r="AK106" s="123" t="s">
        <v>433</v>
      </c>
      <c r="AL106" s="123" t="s">
        <v>442</v>
      </c>
      <c r="AM106" s="123" t="str">
        <f t="shared" si="7"/>
        <v>Droguería-Mensual</v>
      </c>
      <c r="AN106" s="38" t="s">
        <v>104</v>
      </c>
      <c r="AO106" s="38">
        <v>1</v>
      </c>
      <c r="AP106" s="38">
        <v>2</v>
      </c>
      <c r="AQ106" s="38"/>
      <c r="AR106" s="38">
        <v>2</v>
      </c>
      <c r="AS106" s="38"/>
      <c r="AT106" s="38">
        <v>5</v>
      </c>
      <c r="AU106" s="38"/>
      <c r="AV106" s="38">
        <v>2</v>
      </c>
      <c r="AW106" s="38"/>
      <c r="AX106" s="38">
        <v>2</v>
      </c>
      <c r="AY106" s="38"/>
      <c r="AZ106" s="38">
        <v>2</v>
      </c>
      <c r="BA106" s="38"/>
      <c r="BB106" s="38">
        <v>6</v>
      </c>
      <c r="BC106" s="38"/>
      <c r="BD106" s="38">
        <v>7</v>
      </c>
      <c r="BE106" s="38"/>
      <c r="BF106" s="38">
        <v>4</v>
      </c>
      <c r="BG106" s="38"/>
      <c r="BH106" s="38">
        <v>3</v>
      </c>
      <c r="BI106" s="38" t="s">
        <v>78</v>
      </c>
      <c r="BJ106" s="38" t="s">
        <v>184</v>
      </c>
      <c r="BK106" s="38">
        <v>11</v>
      </c>
      <c r="BL106" s="38"/>
      <c r="BM106" s="40" t="s">
        <v>108</v>
      </c>
      <c r="BN106" s="40">
        <v>3123368639</v>
      </c>
      <c r="BO106" s="41" t="s">
        <v>197</v>
      </c>
      <c r="BP106" s="42" t="s">
        <v>84</v>
      </c>
    </row>
    <row r="107" spans="1:68" x14ac:dyDescent="0.25">
      <c r="A107" s="43"/>
      <c r="B107" s="44"/>
      <c r="C107" s="45"/>
      <c r="D107" s="58"/>
      <c r="E107" s="58"/>
      <c r="F107" s="58"/>
      <c r="G107" s="58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124" t="s">
        <v>434</v>
      </c>
      <c r="AA107" s="124" t="s">
        <v>436</v>
      </c>
      <c r="AB107" s="124" t="str">
        <f t="shared" si="10"/>
        <v>Aseo Personal-Semanal</v>
      </c>
      <c r="AC107" s="39"/>
      <c r="AD107" s="39"/>
      <c r="AE107" s="124" t="s">
        <v>440</v>
      </c>
      <c r="AF107" s="124" t="s">
        <v>437</v>
      </c>
      <c r="AG107" s="124" t="str">
        <f t="shared" si="6"/>
        <v>Domicilios-Diario</v>
      </c>
      <c r="AH107" s="124" t="s">
        <v>553</v>
      </c>
      <c r="AI107" s="59"/>
      <c r="AJ107" s="39"/>
      <c r="AK107" s="124" t="s">
        <v>435</v>
      </c>
      <c r="AL107" s="124" t="s">
        <v>509</v>
      </c>
      <c r="AM107" s="124" t="str">
        <f t="shared" si="7"/>
        <v>Dulces y Paquetes-Quincenal</v>
      </c>
      <c r="AN107" s="39"/>
      <c r="AO107" s="39"/>
      <c r="AP107" s="39"/>
      <c r="AQ107" s="39"/>
      <c r="AR107" s="39"/>
      <c r="AS107" s="39"/>
      <c r="AT107" s="39"/>
      <c r="AU107" s="39"/>
      <c r="AV107" s="39"/>
      <c r="AW107" s="39"/>
      <c r="AX107" s="39"/>
      <c r="AY107" s="39"/>
      <c r="AZ107" s="39"/>
      <c r="BA107" s="39"/>
      <c r="BB107" s="39"/>
      <c r="BC107" s="39"/>
      <c r="BD107" s="39"/>
      <c r="BE107" s="39"/>
      <c r="BF107" s="39"/>
      <c r="BG107" s="39"/>
      <c r="BH107" s="39"/>
      <c r="BI107" s="39"/>
      <c r="BJ107" s="39"/>
      <c r="BK107" s="39"/>
      <c r="BL107" s="39"/>
      <c r="BM107" s="46"/>
      <c r="BN107" s="46"/>
      <c r="BO107" s="47"/>
      <c r="BP107" s="48"/>
    </row>
    <row r="108" spans="1:68" x14ac:dyDescent="0.25">
      <c r="A108" s="43"/>
      <c r="B108" s="44"/>
      <c r="C108" s="45"/>
      <c r="D108" s="58"/>
      <c r="E108" s="58"/>
      <c r="F108" s="58"/>
      <c r="G108" s="58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124" t="s">
        <v>77</v>
      </c>
      <c r="AA108" s="124" t="s">
        <v>436</v>
      </c>
      <c r="AB108" s="124" t="str">
        <f t="shared" si="10"/>
        <v>Limpieza-Semanal</v>
      </c>
      <c r="AC108" s="39"/>
      <c r="AD108" s="39"/>
      <c r="AE108" s="124" t="s">
        <v>441</v>
      </c>
      <c r="AF108" s="124" t="s">
        <v>437</v>
      </c>
      <c r="AG108" s="124" t="str">
        <f t="shared" si="6"/>
        <v>Atención al Cliente-Diario</v>
      </c>
      <c r="AH108" s="124" t="s">
        <v>446</v>
      </c>
      <c r="AI108" s="59"/>
      <c r="AJ108" s="39"/>
      <c r="AK108" s="124" t="s">
        <v>434</v>
      </c>
      <c r="AL108" s="124" t="s">
        <v>509</v>
      </c>
      <c r="AM108" s="124" t="str">
        <f t="shared" si="7"/>
        <v>Aseo Personal-Quincenal</v>
      </c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  <c r="AY108" s="39"/>
      <c r="AZ108" s="39"/>
      <c r="BA108" s="39"/>
      <c r="BB108" s="39"/>
      <c r="BC108" s="39"/>
      <c r="BD108" s="39"/>
      <c r="BE108" s="39"/>
      <c r="BF108" s="39"/>
      <c r="BG108" s="39"/>
      <c r="BH108" s="39"/>
      <c r="BI108" s="39"/>
      <c r="BJ108" s="39"/>
      <c r="BK108" s="39"/>
      <c r="BL108" s="39"/>
      <c r="BM108" s="46"/>
      <c r="BN108" s="46"/>
      <c r="BO108" s="47"/>
      <c r="BP108" s="48"/>
    </row>
    <row r="109" spans="1:68" x14ac:dyDescent="0.25">
      <c r="A109" s="49"/>
      <c r="B109" s="50"/>
      <c r="C109" s="51"/>
      <c r="D109" s="60"/>
      <c r="E109" s="60"/>
      <c r="F109" s="60"/>
      <c r="G109" s="60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125" t="s">
        <v>435</v>
      </c>
      <c r="AA109" s="125" t="s">
        <v>436</v>
      </c>
      <c r="AB109" s="125" t="str">
        <f t="shared" si="10"/>
        <v>Dulces y Paquetes-Semanal</v>
      </c>
      <c r="AC109" s="7"/>
      <c r="AD109" s="7"/>
      <c r="AE109" s="125"/>
      <c r="AF109" s="125"/>
      <c r="AG109" s="125" t="str">
        <f t="shared" si="6"/>
        <v>-</v>
      </c>
      <c r="AH109" s="125"/>
      <c r="AI109" s="61"/>
      <c r="AJ109" s="7"/>
      <c r="AK109" s="125" t="s">
        <v>77</v>
      </c>
      <c r="AL109" s="125" t="s">
        <v>509</v>
      </c>
      <c r="AM109" s="125" t="str">
        <f t="shared" si="7"/>
        <v>Limpieza-Quincenal</v>
      </c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52"/>
      <c r="BN109" s="52"/>
      <c r="BO109" s="53"/>
      <c r="BP109" s="54"/>
    </row>
    <row r="110" spans="1:68" x14ac:dyDescent="0.25">
      <c r="A110" s="35">
        <v>28</v>
      </c>
      <c r="B110" s="36">
        <v>44804</v>
      </c>
      <c r="C110" s="37" t="s">
        <v>198</v>
      </c>
      <c r="D110" s="56">
        <v>2</v>
      </c>
      <c r="E110" s="56">
        <v>2</v>
      </c>
      <c r="F110" s="56">
        <v>1</v>
      </c>
      <c r="G110" s="56">
        <v>12</v>
      </c>
      <c r="H110" s="57">
        <v>3</v>
      </c>
      <c r="I110" s="57">
        <v>2</v>
      </c>
      <c r="J110" s="57">
        <v>1</v>
      </c>
      <c r="K110" s="57">
        <v>2</v>
      </c>
      <c r="L110" s="57">
        <v>2</v>
      </c>
      <c r="M110" s="57">
        <v>2</v>
      </c>
      <c r="N110" s="57">
        <v>3</v>
      </c>
      <c r="O110" s="57">
        <v>2</v>
      </c>
      <c r="P110" s="57"/>
      <c r="Q110" s="57">
        <v>3</v>
      </c>
      <c r="R110" s="57" t="s">
        <v>199</v>
      </c>
      <c r="S110" s="57" t="s">
        <v>111</v>
      </c>
      <c r="T110" s="57"/>
      <c r="U110" s="57"/>
      <c r="V110" s="57" t="s">
        <v>200</v>
      </c>
      <c r="W110" s="57" t="s">
        <v>125</v>
      </c>
      <c r="X110" s="57" t="s">
        <v>79</v>
      </c>
      <c r="Y110" s="57"/>
      <c r="Z110" s="123" t="s">
        <v>433</v>
      </c>
      <c r="AA110" s="123" t="s">
        <v>436</v>
      </c>
      <c r="AB110" s="123" t="str">
        <f t="shared" si="10"/>
        <v>Droguería-Semanal</v>
      </c>
      <c r="AC110" s="38"/>
      <c r="AD110" s="38" t="s">
        <v>78</v>
      </c>
      <c r="AE110" s="123" t="s">
        <v>441</v>
      </c>
      <c r="AF110" s="123" t="s">
        <v>437</v>
      </c>
      <c r="AG110" s="123" t="str">
        <f t="shared" si="6"/>
        <v>Atención al Cliente-Diario</v>
      </c>
      <c r="AH110" s="123" t="s">
        <v>446</v>
      </c>
      <c r="AI110" s="57">
        <v>2</v>
      </c>
      <c r="AJ110" s="38"/>
      <c r="AK110" s="123" t="s">
        <v>433</v>
      </c>
      <c r="AL110" s="123" t="s">
        <v>449</v>
      </c>
      <c r="AM110" s="123" t="str">
        <f t="shared" si="7"/>
        <v>Droguería-Depende de la Provisión</v>
      </c>
      <c r="AN110" s="38" t="s">
        <v>104</v>
      </c>
      <c r="AO110" s="38">
        <v>1</v>
      </c>
      <c r="AP110" s="38">
        <v>2</v>
      </c>
      <c r="AQ110" s="38"/>
      <c r="AR110" s="38">
        <v>2</v>
      </c>
      <c r="AS110" s="38"/>
      <c r="AT110" s="38">
        <v>3</v>
      </c>
      <c r="AU110" s="38"/>
      <c r="AV110" s="38">
        <v>1</v>
      </c>
      <c r="AW110" s="38"/>
      <c r="AX110" s="38">
        <v>1</v>
      </c>
      <c r="AY110" s="38"/>
      <c r="AZ110" s="38">
        <v>2</v>
      </c>
      <c r="BA110" s="38"/>
      <c r="BB110" s="38">
        <v>6</v>
      </c>
      <c r="BC110" s="38"/>
      <c r="BD110" s="38">
        <v>4</v>
      </c>
      <c r="BE110" s="38"/>
      <c r="BF110" s="38">
        <v>6</v>
      </c>
      <c r="BG110" s="38"/>
      <c r="BH110" s="38">
        <v>3</v>
      </c>
      <c r="BI110" s="38" t="s">
        <v>184</v>
      </c>
      <c r="BJ110" s="38" t="s">
        <v>107</v>
      </c>
      <c r="BK110" s="38">
        <v>1</v>
      </c>
      <c r="BL110" s="38"/>
      <c r="BM110" s="40" t="s">
        <v>91</v>
      </c>
      <c r="BN110" s="40">
        <v>3138472352</v>
      </c>
      <c r="BO110" s="41" t="s">
        <v>201</v>
      </c>
      <c r="BP110" s="42" t="s">
        <v>84</v>
      </c>
    </row>
    <row r="111" spans="1:68" x14ac:dyDescent="0.25">
      <c r="A111" s="43"/>
      <c r="B111" s="44"/>
      <c r="C111" s="45"/>
      <c r="D111" s="58"/>
      <c r="E111" s="58"/>
      <c r="F111" s="58"/>
      <c r="G111" s="58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124" t="s">
        <v>434</v>
      </c>
      <c r="AA111" s="124" t="s">
        <v>437</v>
      </c>
      <c r="AB111" s="124" t="str">
        <f t="shared" si="10"/>
        <v>Aseo Personal-Diario</v>
      </c>
      <c r="AC111" s="39"/>
      <c r="AD111" s="39"/>
      <c r="AE111" s="124"/>
      <c r="AF111" s="124"/>
      <c r="AG111" s="124" t="str">
        <f t="shared" si="6"/>
        <v>-</v>
      </c>
      <c r="AH111" s="124"/>
      <c r="AI111" s="59"/>
      <c r="AJ111" s="39"/>
      <c r="AK111" s="124" t="s">
        <v>435</v>
      </c>
      <c r="AL111" s="124" t="s">
        <v>436</v>
      </c>
      <c r="AM111" s="124" t="str">
        <f t="shared" si="7"/>
        <v>Dulces y Paquetes-Semanal</v>
      </c>
      <c r="AN111" s="39"/>
      <c r="AO111" s="39"/>
      <c r="AP111" s="39"/>
      <c r="AQ111" s="39"/>
      <c r="AR111" s="39"/>
      <c r="AS111" s="39"/>
      <c r="AT111" s="39"/>
      <c r="AU111" s="39"/>
      <c r="AV111" s="39"/>
      <c r="AW111" s="39"/>
      <c r="AX111" s="39"/>
      <c r="AY111" s="39"/>
      <c r="AZ111" s="39"/>
      <c r="BA111" s="39"/>
      <c r="BB111" s="39"/>
      <c r="BC111" s="39"/>
      <c r="BD111" s="39"/>
      <c r="BE111" s="39"/>
      <c r="BF111" s="39"/>
      <c r="BG111" s="39"/>
      <c r="BH111" s="39"/>
      <c r="BI111" s="39"/>
      <c r="BJ111" s="39"/>
      <c r="BK111" s="39"/>
      <c r="BL111" s="39"/>
      <c r="BM111" s="46"/>
      <c r="BN111" s="46"/>
      <c r="BO111" s="47"/>
      <c r="BP111" s="48"/>
    </row>
    <row r="112" spans="1:68" x14ac:dyDescent="0.25">
      <c r="A112" s="43"/>
      <c r="B112" s="44"/>
      <c r="C112" s="45"/>
      <c r="D112" s="58"/>
      <c r="E112" s="58"/>
      <c r="F112" s="58"/>
      <c r="G112" s="58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124" t="s">
        <v>77</v>
      </c>
      <c r="AA112" s="124" t="s">
        <v>437</v>
      </c>
      <c r="AB112" s="124" t="str">
        <f t="shared" si="10"/>
        <v>Limpieza-Diario</v>
      </c>
      <c r="AC112" s="39"/>
      <c r="AD112" s="39"/>
      <c r="AE112" s="124"/>
      <c r="AF112" s="124"/>
      <c r="AG112" s="124" t="str">
        <f t="shared" si="6"/>
        <v>-</v>
      </c>
      <c r="AH112" s="124"/>
      <c r="AI112" s="59"/>
      <c r="AJ112" s="39"/>
      <c r="AK112" s="124" t="s">
        <v>434</v>
      </c>
      <c r="AL112" s="124" t="s">
        <v>442</v>
      </c>
      <c r="AM112" s="124" t="str">
        <f t="shared" si="7"/>
        <v>Aseo Personal-Mensual</v>
      </c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/>
      <c r="BF112" s="39"/>
      <c r="BG112" s="39"/>
      <c r="BH112" s="39"/>
      <c r="BI112" s="39"/>
      <c r="BJ112" s="39"/>
      <c r="BK112" s="39"/>
      <c r="BL112" s="39"/>
      <c r="BM112" s="46"/>
      <c r="BN112" s="46"/>
      <c r="BO112" s="47"/>
      <c r="BP112" s="48"/>
    </row>
    <row r="113" spans="1:68" x14ac:dyDescent="0.25">
      <c r="A113" s="49"/>
      <c r="B113" s="50"/>
      <c r="C113" s="51"/>
      <c r="D113" s="60"/>
      <c r="E113" s="60"/>
      <c r="F113" s="60"/>
      <c r="G113" s="60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125" t="s">
        <v>435</v>
      </c>
      <c r="AA113" s="125" t="s">
        <v>437</v>
      </c>
      <c r="AB113" s="125" t="str">
        <f t="shared" si="10"/>
        <v>Dulces y Paquetes-Diario</v>
      </c>
      <c r="AC113" s="7"/>
      <c r="AD113" s="7"/>
      <c r="AE113" s="125"/>
      <c r="AF113" s="125"/>
      <c r="AG113" s="125" t="str">
        <f t="shared" si="6"/>
        <v>-</v>
      </c>
      <c r="AH113" s="125"/>
      <c r="AI113" s="61"/>
      <c r="AJ113" s="7"/>
      <c r="AK113" s="125" t="s">
        <v>77</v>
      </c>
      <c r="AL113" s="125" t="s">
        <v>442</v>
      </c>
      <c r="AM113" s="125" t="str">
        <f t="shared" si="7"/>
        <v>Limpieza-Mensual</v>
      </c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52"/>
      <c r="BN113" s="52"/>
      <c r="BO113" s="53"/>
      <c r="BP113" s="54"/>
    </row>
    <row r="114" spans="1:68" x14ac:dyDescent="0.25">
      <c r="A114" s="35">
        <v>29</v>
      </c>
      <c r="B114" s="36">
        <v>44805</v>
      </c>
      <c r="C114" s="37" t="s">
        <v>202</v>
      </c>
      <c r="D114" s="56">
        <v>2</v>
      </c>
      <c r="E114" s="56">
        <v>1</v>
      </c>
      <c r="F114" s="56">
        <v>1</v>
      </c>
      <c r="G114" s="56">
        <v>12</v>
      </c>
      <c r="H114" s="57">
        <v>2</v>
      </c>
      <c r="I114" s="57">
        <v>1</v>
      </c>
      <c r="J114" s="57">
        <v>3</v>
      </c>
      <c r="K114" s="57">
        <v>2</v>
      </c>
      <c r="L114" s="57">
        <v>1</v>
      </c>
      <c r="M114" s="57">
        <v>3</v>
      </c>
      <c r="N114" s="57">
        <v>3</v>
      </c>
      <c r="O114" s="57">
        <v>1</v>
      </c>
      <c r="P114" s="57"/>
      <c r="Q114" s="57">
        <v>2</v>
      </c>
      <c r="R114" s="57" t="s">
        <v>94</v>
      </c>
      <c r="S114" s="57" t="s">
        <v>73</v>
      </c>
      <c r="T114" s="57" t="s">
        <v>93</v>
      </c>
      <c r="U114" s="57"/>
      <c r="V114" s="57" t="s">
        <v>203</v>
      </c>
      <c r="W114" s="57" t="s">
        <v>125</v>
      </c>
      <c r="X114" s="57" t="s">
        <v>145</v>
      </c>
      <c r="Y114" s="57"/>
      <c r="Z114" s="123" t="s">
        <v>433</v>
      </c>
      <c r="AA114" s="123" t="s">
        <v>442</v>
      </c>
      <c r="AB114" s="123" t="str">
        <f t="shared" si="10"/>
        <v>Droguería-Mensual</v>
      </c>
      <c r="AC114" s="38" t="s">
        <v>160</v>
      </c>
      <c r="AD114" s="38" t="s">
        <v>236</v>
      </c>
      <c r="AE114" s="123" t="s">
        <v>439</v>
      </c>
      <c r="AF114" s="123" t="s">
        <v>637</v>
      </c>
      <c r="AG114" s="123" t="str">
        <f t="shared" si="6"/>
        <v>Descuento-Ocasional</v>
      </c>
      <c r="AH114" s="123" t="s">
        <v>552</v>
      </c>
      <c r="AI114" s="57">
        <v>2</v>
      </c>
      <c r="AJ114" s="38" t="s">
        <v>204</v>
      </c>
      <c r="AK114" s="123" t="s">
        <v>433</v>
      </c>
      <c r="AL114" s="123" t="s">
        <v>509</v>
      </c>
      <c r="AM114" s="123" t="str">
        <f t="shared" si="7"/>
        <v>Droguería-Quincenal</v>
      </c>
      <c r="AN114" s="38" t="s">
        <v>79</v>
      </c>
      <c r="AO114" s="38">
        <v>1</v>
      </c>
      <c r="AP114" s="38">
        <v>2</v>
      </c>
      <c r="AQ114" s="38"/>
      <c r="AR114" s="38">
        <v>2</v>
      </c>
      <c r="AS114" s="38" t="s">
        <v>205</v>
      </c>
      <c r="AT114" s="38">
        <v>4</v>
      </c>
      <c r="AU114" s="38"/>
      <c r="AV114" s="38">
        <v>1</v>
      </c>
      <c r="AW114" s="38"/>
      <c r="AX114" s="38">
        <v>1</v>
      </c>
      <c r="AY114" s="38"/>
      <c r="AZ114" s="38">
        <v>2</v>
      </c>
      <c r="BA114" s="38"/>
      <c r="BB114" s="38">
        <v>3</v>
      </c>
      <c r="BC114" s="38"/>
      <c r="BD114" s="38">
        <v>7</v>
      </c>
      <c r="BE114" s="38"/>
      <c r="BF114" s="38">
        <v>4</v>
      </c>
      <c r="BG114" s="38"/>
      <c r="BH114" s="38">
        <v>3</v>
      </c>
      <c r="BI114" s="38" t="s">
        <v>150</v>
      </c>
      <c r="BJ114" s="38"/>
      <c r="BK114" s="38">
        <v>3</v>
      </c>
      <c r="BL114" s="38"/>
      <c r="BM114" s="40" t="s">
        <v>206</v>
      </c>
      <c r="BN114" s="40">
        <v>3108796521</v>
      </c>
      <c r="BO114" s="41" t="s">
        <v>207</v>
      </c>
      <c r="BP114" s="42" t="s">
        <v>84</v>
      </c>
    </row>
    <row r="115" spans="1:68" x14ac:dyDescent="0.25">
      <c r="A115" s="43"/>
      <c r="B115" s="44"/>
      <c r="C115" s="45"/>
      <c r="D115" s="58"/>
      <c r="E115" s="58"/>
      <c r="F115" s="58"/>
      <c r="G115" s="58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124" t="s">
        <v>434</v>
      </c>
      <c r="AA115" s="124" t="s">
        <v>509</v>
      </c>
      <c r="AB115" s="124" t="str">
        <f t="shared" si="10"/>
        <v>Aseo Personal-Quincenal</v>
      </c>
      <c r="AC115" s="39"/>
      <c r="AD115" s="39"/>
      <c r="AE115" s="124" t="s">
        <v>440</v>
      </c>
      <c r="AF115" s="124" t="s">
        <v>437</v>
      </c>
      <c r="AG115" s="124" t="str">
        <f t="shared" si="6"/>
        <v>Domicilios-Diario</v>
      </c>
      <c r="AH115" s="124" t="s">
        <v>553</v>
      </c>
      <c r="AI115" s="59"/>
      <c r="AJ115" s="39"/>
      <c r="AK115" s="124" t="s">
        <v>435</v>
      </c>
      <c r="AL115" s="124" t="s">
        <v>436</v>
      </c>
      <c r="AM115" s="124" t="str">
        <f t="shared" si="7"/>
        <v>Dulces y Paquetes-Semanal</v>
      </c>
      <c r="AN115" s="39"/>
      <c r="AO115" s="39"/>
      <c r="AP115" s="39"/>
      <c r="AQ115" s="39"/>
      <c r="AR115" s="39"/>
      <c r="AS115" s="39"/>
      <c r="AT115" s="39"/>
      <c r="AU115" s="39"/>
      <c r="AV115" s="39"/>
      <c r="AW115" s="39"/>
      <c r="AX115" s="39"/>
      <c r="AY115" s="39"/>
      <c r="AZ115" s="39"/>
      <c r="BA115" s="39"/>
      <c r="BB115" s="39"/>
      <c r="BC115" s="39"/>
      <c r="BD115" s="39"/>
      <c r="BE115" s="39"/>
      <c r="BF115" s="39"/>
      <c r="BG115" s="39"/>
      <c r="BH115" s="39"/>
      <c r="BI115" s="39"/>
      <c r="BJ115" s="39"/>
      <c r="BK115" s="39"/>
      <c r="BL115" s="39"/>
      <c r="BM115" s="46"/>
      <c r="BN115" s="46"/>
      <c r="BO115" s="47"/>
      <c r="BP115" s="48"/>
    </row>
    <row r="116" spans="1:68" x14ac:dyDescent="0.25">
      <c r="A116" s="43"/>
      <c r="B116" s="44"/>
      <c r="C116" s="45"/>
      <c r="D116" s="58"/>
      <c r="E116" s="58"/>
      <c r="F116" s="58"/>
      <c r="G116" s="58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124" t="s">
        <v>77</v>
      </c>
      <c r="AA116" s="124" t="s">
        <v>509</v>
      </c>
      <c r="AB116" s="124" t="str">
        <f t="shared" si="10"/>
        <v>Limpieza-Quincenal</v>
      </c>
      <c r="AC116" s="39"/>
      <c r="AD116" s="39"/>
      <c r="AE116" s="124" t="s">
        <v>441</v>
      </c>
      <c r="AF116" s="124" t="s">
        <v>437</v>
      </c>
      <c r="AG116" s="124" t="str">
        <f t="shared" si="6"/>
        <v>Atención al Cliente-Diario</v>
      </c>
      <c r="AH116" s="124" t="s">
        <v>446</v>
      </c>
      <c r="AI116" s="59"/>
      <c r="AJ116" s="39"/>
      <c r="AK116" s="124" t="s">
        <v>434</v>
      </c>
      <c r="AL116" s="124" t="s">
        <v>509</v>
      </c>
      <c r="AM116" s="124" t="str">
        <f t="shared" si="7"/>
        <v>Aseo Personal-Quincenal</v>
      </c>
      <c r="AN116" s="39"/>
      <c r="AO116" s="39"/>
      <c r="AP116" s="39"/>
      <c r="AQ116" s="39"/>
      <c r="AR116" s="39"/>
      <c r="AS116" s="39"/>
      <c r="AT116" s="39"/>
      <c r="AU116" s="39"/>
      <c r="AV116" s="39"/>
      <c r="AW116" s="39"/>
      <c r="AX116" s="39"/>
      <c r="AY116" s="39"/>
      <c r="AZ116" s="39"/>
      <c r="BA116" s="39"/>
      <c r="BB116" s="39"/>
      <c r="BC116" s="39"/>
      <c r="BD116" s="39"/>
      <c r="BE116" s="39"/>
      <c r="BF116" s="39"/>
      <c r="BG116" s="39"/>
      <c r="BH116" s="39"/>
      <c r="BI116" s="39"/>
      <c r="BJ116" s="39"/>
      <c r="BK116" s="39"/>
      <c r="BL116" s="39"/>
      <c r="BM116" s="46"/>
      <c r="BN116" s="46"/>
      <c r="BO116" s="47"/>
      <c r="BP116" s="48"/>
    </row>
    <row r="117" spans="1:68" x14ac:dyDescent="0.25">
      <c r="A117" s="49"/>
      <c r="B117" s="50"/>
      <c r="C117" s="51"/>
      <c r="D117" s="60"/>
      <c r="E117" s="60"/>
      <c r="F117" s="60"/>
      <c r="G117" s="60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125" t="s">
        <v>435</v>
      </c>
      <c r="AA117" s="125" t="s">
        <v>509</v>
      </c>
      <c r="AB117" s="125" t="str">
        <f t="shared" si="10"/>
        <v>Dulces y Paquetes-Quincenal</v>
      </c>
      <c r="AC117" s="7"/>
      <c r="AD117" s="7"/>
      <c r="AE117" s="125"/>
      <c r="AF117" s="125"/>
      <c r="AG117" s="125" t="str">
        <f t="shared" si="6"/>
        <v>-</v>
      </c>
      <c r="AH117" s="125"/>
      <c r="AI117" s="61"/>
      <c r="AJ117" s="7"/>
      <c r="AK117" s="125" t="s">
        <v>77</v>
      </c>
      <c r="AL117" s="125" t="s">
        <v>436</v>
      </c>
      <c r="AM117" s="125" t="str">
        <f t="shared" si="7"/>
        <v>Limpieza-Semanal</v>
      </c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52"/>
      <c r="BN117" s="52"/>
      <c r="BO117" s="53"/>
      <c r="BP117" s="54"/>
    </row>
    <row r="118" spans="1:68" x14ac:dyDescent="0.25">
      <c r="A118" s="35">
        <v>30</v>
      </c>
      <c r="B118" s="36">
        <v>44805</v>
      </c>
      <c r="C118" s="37" t="s">
        <v>208</v>
      </c>
      <c r="D118" s="56">
        <v>2</v>
      </c>
      <c r="E118" s="56">
        <v>2</v>
      </c>
      <c r="F118" s="56">
        <v>1</v>
      </c>
      <c r="G118" s="56">
        <v>12</v>
      </c>
      <c r="H118" s="57">
        <v>1</v>
      </c>
      <c r="I118" s="57">
        <v>1</v>
      </c>
      <c r="J118" s="57">
        <v>3</v>
      </c>
      <c r="K118" s="57">
        <v>2</v>
      </c>
      <c r="L118" s="57">
        <v>3</v>
      </c>
      <c r="M118" s="57">
        <v>3</v>
      </c>
      <c r="N118" s="57">
        <v>3</v>
      </c>
      <c r="O118" s="57">
        <v>2</v>
      </c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123" t="s">
        <v>433</v>
      </c>
      <c r="AA118" s="123" t="s">
        <v>437</v>
      </c>
      <c r="AB118" s="123" t="str">
        <f t="shared" si="10"/>
        <v>Droguería-Diario</v>
      </c>
      <c r="AC118" s="38" t="s">
        <v>188</v>
      </c>
      <c r="AD118" s="38" t="s">
        <v>209</v>
      </c>
      <c r="AE118" s="123" t="s">
        <v>440</v>
      </c>
      <c r="AF118" s="123" t="s">
        <v>437</v>
      </c>
      <c r="AG118" s="123" t="str">
        <f t="shared" si="6"/>
        <v>Domicilios-Diario</v>
      </c>
      <c r="AH118" s="123" t="s">
        <v>553</v>
      </c>
      <c r="AI118" s="57">
        <v>2</v>
      </c>
      <c r="AJ118" s="38" t="s">
        <v>210</v>
      </c>
      <c r="AK118" s="123" t="s">
        <v>433</v>
      </c>
      <c r="AL118" s="123" t="s">
        <v>509</v>
      </c>
      <c r="AM118" s="123" t="str">
        <f t="shared" si="7"/>
        <v>Droguería-Quincenal</v>
      </c>
      <c r="AN118" s="38" t="s">
        <v>79</v>
      </c>
      <c r="AO118" s="38">
        <v>3</v>
      </c>
      <c r="AP118" s="38">
        <v>2</v>
      </c>
      <c r="AQ118" s="38"/>
      <c r="AR118" s="38">
        <v>2</v>
      </c>
      <c r="AS118" s="38"/>
      <c r="AT118" s="38">
        <v>3</v>
      </c>
      <c r="AU118" s="38"/>
      <c r="AV118" s="38">
        <v>2</v>
      </c>
      <c r="AW118" s="38"/>
      <c r="AX118" s="38">
        <v>2</v>
      </c>
      <c r="AY118" s="38"/>
      <c r="AZ118" s="38">
        <v>2</v>
      </c>
      <c r="BA118" s="38"/>
      <c r="BB118" s="38">
        <v>6</v>
      </c>
      <c r="BC118" s="38"/>
      <c r="BD118" s="38">
        <v>7</v>
      </c>
      <c r="BE118" s="38"/>
      <c r="BF118" s="38">
        <v>4</v>
      </c>
      <c r="BG118" s="38"/>
      <c r="BH118" s="38">
        <v>3</v>
      </c>
      <c r="BI118" s="38" t="s">
        <v>78</v>
      </c>
      <c r="BJ118" s="38" t="s">
        <v>107</v>
      </c>
      <c r="BK118" s="38">
        <v>2</v>
      </c>
      <c r="BL118" s="38"/>
      <c r="BM118" s="40" t="s">
        <v>139</v>
      </c>
      <c r="BN118" s="40">
        <v>3204374794</v>
      </c>
      <c r="BO118" s="40"/>
      <c r="BP118" s="42" t="s">
        <v>83</v>
      </c>
    </row>
    <row r="119" spans="1:68" x14ac:dyDescent="0.25">
      <c r="A119" s="43"/>
      <c r="B119" s="44"/>
      <c r="C119" s="45"/>
      <c r="D119" s="58"/>
      <c r="E119" s="58"/>
      <c r="F119" s="58"/>
      <c r="G119" s="58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124" t="s">
        <v>434</v>
      </c>
      <c r="AA119" s="124" t="s">
        <v>437</v>
      </c>
      <c r="AB119" s="124" t="str">
        <f t="shared" si="10"/>
        <v>Aseo Personal-Diario</v>
      </c>
      <c r="AC119" s="39"/>
      <c r="AD119" s="39"/>
      <c r="AE119" s="124" t="s">
        <v>441</v>
      </c>
      <c r="AF119" s="124" t="s">
        <v>437</v>
      </c>
      <c r="AG119" s="124" t="str">
        <f t="shared" si="6"/>
        <v>Atención al Cliente-Diario</v>
      </c>
      <c r="AH119" s="124" t="s">
        <v>446</v>
      </c>
      <c r="AI119" s="59"/>
      <c r="AJ119" s="39"/>
      <c r="AK119" s="124" t="s">
        <v>435</v>
      </c>
      <c r="AL119" s="124" t="s">
        <v>436</v>
      </c>
      <c r="AM119" s="124" t="str">
        <f t="shared" si="7"/>
        <v>Dulces y Paquetes-Semanal</v>
      </c>
      <c r="AN119" s="39"/>
      <c r="AO119" s="39"/>
      <c r="AP119" s="39"/>
      <c r="AQ119" s="39"/>
      <c r="AR119" s="39"/>
      <c r="AS119" s="39"/>
      <c r="AT119" s="39"/>
      <c r="AU119" s="39"/>
      <c r="AV119" s="39"/>
      <c r="AW119" s="39"/>
      <c r="AX119" s="39"/>
      <c r="AY119" s="39"/>
      <c r="AZ119" s="39"/>
      <c r="BA119" s="39"/>
      <c r="BB119" s="39"/>
      <c r="BC119" s="39"/>
      <c r="BD119" s="39"/>
      <c r="BE119" s="39"/>
      <c r="BF119" s="39"/>
      <c r="BG119" s="39"/>
      <c r="BH119" s="39"/>
      <c r="BI119" s="39"/>
      <c r="BJ119" s="39"/>
      <c r="BK119" s="39"/>
      <c r="BL119" s="39"/>
      <c r="BM119" s="46"/>
      <c r="BN119" s="46"/>
      <c r="BO119" s="46"/>
      <c r="BP119" s="48"/>
    </row>
    <row r="120" spans="1:68" x14ac:dyDescent="0.25">
      <c r="A120" s="43"/>
      <c r="B120" s="44"/>
      <c r="C120" s="45"/>
      <c r="D120" s="58"/>
      <c r="E120" s="58"/>
      <c r="F120" s="58"/>
      <c r="G120" s="58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124" t="s">
        <v>77</v>
      </c>
      <c r="AA120" s="124" t="s">
        <v>437</v>
      </c>
      <c r="AB120" s="124" t="str">
        <f t="shared" si="10"/>
        <v>Limpieza-Diario</v>
      </c>
      <c r="AC120" s="39"/>
      <c r="AD120" s="39"/>
      <c r="AE120" s="124"/>
      <c r="AF120" s="124"/>
      <c r="AG120" s="124" t="str">
        <f t="shared" si="6"/>
        <v>-</v>
      </c>
      <c r="AH120" s="124"/>
      <c r="AI120" s="59"/>
      <c r="AJ120" s="39"/>
      <c r="AK120" s="124" t="s">
        <v>434</v>
      </c>
      <c r="AL120" s="124" t="s">
        <v>436</v>
      </c>
      <c r="AM120" s="124" t="str">
        <f t="shared" si="7"/>
        <v>Aseo Personal-Semanal</v>
      </c>
      <c r="AN120" s="39"/>
      <c r="AO120" s="39"/>
      <c r="AP120" s="39"/>
      <c r="AQ120" s="39"/>
      <c r="AR120" s="39"/>
      <c r="AS120" s="39"/>
      <c r="AT120" s="39"/>
      <c r="AU120" s="39"/>
      <c r="AV120" s="39"/>
      <c r="AW120" s="39"/>
      <c r="AX120" s="39"/>
      <c r="AY120" s="39"/>
      <c r="AZ120" s="39"/>
      <c r="BA120" s="39"/>
      <c r="BB120" s="39"/>
      <c r="BC120" s="39"/>
      <c r="BD120" s="39"/>
      <c r="BE120" s="39"/>
      <c r="BF120" s="39"/>
      <c r="BG120" s="39"/>
      <c r="BH120" s="39"/>
      <c r="BI120" s="39"/>
      <c r="BJ120" s="39"/>
      <c r="BK120" s="39"/>
      <c r="BL120" s="39"/>
      <c r="BM120" s="46"/>
      <c r="BN120" s="46"/>
      <c r="BO120" s="46"/>
      <c r="BP120" s="48"/>
    </row>
    <row r="121" spans="1:68" x14ac:dyDescent="0.25">
      <c r="A121" s="49"/>
      <c r="B121" s="50"/>
      <c r="C121" s="51"/>
      <c r="D121" s="60"/>
      <c r="E121" s="60"/>
      <c r="F121" s="60"/>
      <c r="G121" s="60"/>
      <c r="H121" s="61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125" t="s">
        <v>435</v>
      </c>
      <c r="AA121" s="125" t="s">
        <v>437</v>
      </c>
      <c r="AB121" s="125" t="str">
        <f t="shared" si="10"/>
        <v>Dulces y Paquetes-Diario</v>
      </c>
      <c r="AC121" s="7"/>
      <c r="AD121" s="7"/>
      <c r="AE121" s="125"/>
      <c r="AF121" s="125"/>
      <c r="AG121" s="125" t="str">
        <f t="shared" si="6"/>
        <v>-</v>
      </c>
      <c r="AH121" s="125"/>
      <c r="AI121" s="61"/>
      <c r="AJ121" s="7"/>
      <c r="AK121" s="125" t="s">
        <v>77</v>
      </c>
      <c r="AL121" s="125" t="s">
        <v>436</v>
      </c>
      <c r="AM121" s="125" t="str">
        <f t="shared" si="7"/>
        <v>Limpieza-Semanal</v>
      </c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52"/>
      <c r="BN121" s="52"/>
      <c r="BO121" s="52"/>
      <c r="BP121" s="54"/>
    </row>
    <row r="122" spans="1:68" x14ac:dyDescent="0.25">
      <c r="A122" s="35">
        <v>31</v>
      </c>
      <c r="B122" s="36">
        <v>44805</v>
      </c>
      <c r="C122" s="37" t="s">
        <v>211</v>
      </c>
      <c r="D122" s="56">
        <v>2</v>
      </c>
      <c r="E122" s="56">
        <v>2</v>
      </c>
      <c r="F122" s="56">
        <v>1</v>
      </c>
      <c r="G122" s="56">
        <v>12</v>
      </c>
      <c r="H122" s="57">
        <v>1</v>
      </c>
      <c r="I122" s="57">
        <v>3</v>
      </c>
      <c r="J122" s="57">
        <v>3</v>
      </c>
      <c r="K122" s="57">
        <v>2</v>
      </c>
      <c r="L122" s="57">
        <v>2</v>
      </c>
      <c r="M122" s="57">
        <v>3</v>
      </c>
      <c r="N122" s="57">
        <v>3</v>
      </c>
      <c r="O122" s="57">
        <v>1</v>
      </c>
      <c r="P122" s="57"/>
      <c r="Q122" s="57">
        <v>3</v>
      </c>
      <c r="R122" s="57" t="s">
        <v>212</v>
      </c>
      <c r="S122" s="57" t="s">
        <v>191</v>
      </c>
      <c r="T122" s="57" t="s">
        <v>213</v>
      </c>
      <c r="U122" s="57"/>
      <c r="V122" s="57" t="s">
        <v>95</v>
      </c>
      <c r="W122" s="57" t="s">
        <v>125</v>
      </c>
      <c r="X122" s="57" t="s">
        <v>79</v>
      </c>
      <c r="Y122" s="57"/>
      <c r="Z122" s="123" t="s">
        <v>433</v>
      </c>
      <c r="AA122" s="123" t="s">
        <v>442</v>
      </c>
      <c r="AB122" s="123" t="str">
        <f t="shared" si="10"/>
        <v>Droguería-Mensual</v>
      </c>
      <c r="AC122" s="38" t="s">
        <v>188</v>
      </c>
      <c r="AD122" s="38" t="s">
        <v>78</v>
      </c>
      <c r="AE122" s="123" t="s">
        <v>178</v>
      </c>
      <c r="AF122" s="123" t="s">
        <v>509</v>
      </c>
      <c r="AG122" s="123" t="str">
        <f t="shared" si="6"/>
        <v>Promociones-Quincenal</v>
      </c>
      <c r="AH122" s="123" t="s">
        <v>552</v>
      </c>
      <c r="AI122" s="57">
        <v>2</v>
      </c>
      <c r="AJ122" s="38"/>
      <c r="AK122" s="123" t="s">
        <v>435</v>
      </c>
      <c r="AL122" s="123" t="s">
        <v>436</v>
      </c>
      <c r="AM122" s="123" t="str">
        <f t="shared" si="7"/>
        <v>Dulces y Paquetes-Semanal</v>
      </c>
      <c r="AN122" s="38"/>
      <c r="AO122" s="38">
        <v>1</v>
      </c>
      <c r="AP122" s="38">
        <v>1</v>
      </c>
      <c r="AQ122" s="38"/>
      <c r="AR122" s="38">
        <v>2</v>
      </c>
      <c r="AS122" s="38"/>
      <c r="AT122" s="38">
        <v>8</v>
      </c>
      <c r="AU122" s="38"/>
      <c r="AV122" s="38">
        <v>2</v>
      </c>
      <c r="AW122" s="38"/>
      <c r="AX122" s="38">
        <v>3</v>
      </c>
      <c r="AY122" s="38"/>
      <c r="AZ122" s="38">
        <v>2</v>
      </c>
      <c r="BA122" s="38"/>
      <c r="BB122" s="38">
        <v>1</v>
      </c>
      <c r="BC122" s="38"/>
      <c r="BD122" s="38">
        <v>4</v>
      </c>
      <c r="BE122" s="38"/>
      <c r="BF122" s="38">
        <v>6</v>
      </c>
      <c r="BG122" s="38"/>
      <c r="BH122" s="38">
        <v>3</v>
      </c>
      <c r="BI122" s="38" t="s">
        <v>136</v>
      </c>
      <c r="BJ122" s="38" t="s">
        <v>214</v>
      </c>
      <c r="BK122" s="38">
        <v>3</v>
      </c>
      <c r="BL122" s="38"/>
      <c r="BM122" s="40" t="s">
        <v>139</v>
      </c>
      <c r="BN122" s="40">
        <v>3213652905</v>
      </c>
      <c r="BO122" s="40"/>
      <c r="BP122" s="42" t="s">
        <v>84</v>
      </c>
    </row>
    <row r="123" spans="1:68" x14ac:dyDescent="0.25">
      <c r="A123" s="43"/>
      <c r="B123" s="44"/>
      <c r="C123" s="45"/>
      <c r="D123" s="58"/>
      <c r="E123" s="58"/>
      <c r="F123" s="58"/>
      <c r="G123" s="58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124" t="s">
        <v>434</v>
      </c>
      <c r="AA123" s="124" t="s">
        <v>509</v>
      </c>
      <c r="AB123" s="124" t="str">
        <f t="shared" si="10"/>
        <v>Aseo Personal-Quincenal</v>
      </c>
      <c r="AC123" s="39"/>
      <c r="AD123" s="39"/>
      <c r="AE123" s="124" t="s">
        <v>439</v>
      </c>
      <c r="AF123" s="124" t="s">
        <v>509</v>
      </c>
      <c r="AG123" s="124" t="str">
        <f t="shared" si="6"/>
        <v>Descuento-Quincenal</v>
      </c>
      <c r="AH123" s="124" t="s">
        <v>549</v>
      </c>
      <c r="AI123" s="59"/>
      <c r="AJ123" s="39"/>
      <c r="AK123" s="124" t="s">
        <v>434</v>
      </c>
      <c r="AL123" s="124" t="s">
        <v>509</v>
      </c>
      <c r="AM123" s="124" t="str">
        <f t="shared" si="7"/>
        <v>Aseo Personal-Quincenal</v>
      </c>
      <c r="AN123" s="39"/>
      <c r="AO123" s="39"/>
      <c r="AP123" s="39"/>
      <c r="AQ123" s="39"/>
      <c r="AR123" s="39"/>
      <c r="AS123" s="39"/>
      <c r="AT123" s="39"/>
      <c r="AU123" s="39"/>
      <c r="AV123" s="39"/>
      <c r="AW123" s="39"/>
      <c r="AX123" s="39"/>
      <c r="AY123" s="39"/>
      <c r="AZ123" s="39"/>
      <c r="BA123" s="39"/>
      <c r="BB123" s="39"/>
      <c r="BC123" s="39"/>
      <c r="BD123" s="39"/>
      <c r="BE123" s="39"/>
      <c r="BF123" s="39"/>
      <c r="BG123" s="39"/>
      <c r="BH123" s="39"/>
      <c r="BI123" s="39"/>
      <c r="BJ123" s="39"/>
      <c r="BK123" s="39"/>
      <c r="BL123" s="39"/>
      <c r="BM123" s="46"/>
      <c r="BN123" s="46"/>
      <c r="BO123" s="46"/>
      <c r="BP123" s="48"/>
    </row>
    <row r="124" spans="1:68" x14ac:dyDescent="0.25">
      <c r="A124" s="43"/>
      <c r="B124" s="44"/>
      <c r="C124" s="45"/>
      <c r="D124" s="58"/>
      <c r="E124" s="58"/>
      <c r="F124" s="58"/>
      <c r="G124" s="58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124" t="s">
        <v>77</v>
      </c>
      <c r="AA124" s="124" t="s">
        <v>509</v>
      </c>
      <c r="AB124" s="124" t="str">
        <f t="shared" si="10"/>
        <v>Limpieza-Quincenal</v>
      </c>
      <c r="AC124" s="39"/>
      <c r="AD124" s="39"/>
      <c r="AE124" s="124" t="s">
        <v>441</v>
      </c>
      <c r="AF124" s="124" t="s">
        <v>437</v>
      </c>
      <c r="AG124" s="124" t="str">
        <f t="shared" si="6"/>
        <v>Atención al Cliente-Diario</v>
      </c>
      <c r="AH124" s="124" t="s">
        <v>573</v>
      </c>
      <c r="AI124" s="59"/>
      <c r="AJ124" s="39"/>
      <c r="AK124" s="124" t="s">
        <v>77</v>
      </c>
      <c r="AL124" s="124" t="s">
        <v>509</v>
      </c>
      <c r="AM124" s="124" t="str">
        <f t="shared" si="7"/>
        <v>Limpieza-Quincenal</v>
      </c>
      <c r="AN124" s="39"/>
      <c r="AO124" s="39"/>
      <c r="AP124" s="39"/>
      <c r="AQ124" s="39"/>
      <c r="AR124" s="39"/>
      <c r="AS124" s="39"/>
      <c r="AT124" s="39"/>
      <c r="AU124" s="39"/>
      <c r="AV124" s="39"/>
      <c r="AW124" s="39"/>
      <c r="AX124" s="39"/>
      <c r="AY124" s="39"/>
      <c r="AZ124" s="39"/>
      <c r="BA124" s="39"/>
      <c r="BB124" s="39"/>
      <c r="BC124" s="39"/>
      <c r="BD124" s="39"/>
      <c r="BE124" s="39"/>
      <c r="BF124" s="39"/>
      <c r="BG124" s="39"/>
      <c r="BH124" s="39"/>
      <c r="BI124" s="39"/>
      <c r="BJ124" s="39"/>
      <c r="BK124" s="39"/>
      <c r="BL124" s="39"/>
      <c r="BM124" s="46"/>
      <c r="BN124" s="46"/>
      <c r="BO124" s="46"/>
      <c r="BP124" s="48"/>
    </row>
    <row r="125" spans="1:68" x14ac:dyDescent="0.25">
      <c r="A125" s="49"/>
      <c r="B125" s="50"/>
      <c r="C125" s="51"/>
      <c r="D125" s="60"/>
      <c r="E125" s="60"/>
      <c r="F125" s="60"/>
      <c r="G125" s="60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125" t="s">
        <v>435</v>
      </c>
      <c r="AA125" s="125"/>
      <c r="AB125" s="125"/>
      <c r="AC125" s="7"/>
      <c r="AD125" s="7"/>
      <c r="AE125" s="125"/>
      <c r="AF125" s="125"/>
      <c r="AG125" s="125" t="str">
        <f t="shared" si="6"/>
        <v>-</v>
      </c>
      <c r="AH125" s="125"/>
      <c r="AI125" s="61"/>
      <c r="AJ125" s="7"/>
      <c r="AK125" s="125"/>
      <c r="AL125" s="125"/>
      <c r="AM125" s="125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52"/>
      <c r="BN125" s="52"/>
      <c r="BO125" s="52"/>
      <c r="BP125" s="54"/>
    </row>
    <row r="126" spans="1:68" x14ac:dyDescent="0.25">
      <c r="A126" s="35">
        <v>32</v>
      </c>
      <c r="B126" s="36">
        <v>44804</v>
      </c>
      <c r="C126" s="37" t="s">
        <v>215</v>
      </c>
      <c r="D126" s="56">
        <v>2</v>
      </c>
      <c r="E126" s="56">
        <v>2</v>
      </c>
      <c r="F126" s="56">
        <v>1</v>
      </c>
      <c r="G126" s="56">
        <v>12</v>
      </c>
      <c r="H126" s="57">
        <v>4</v>
      </c>
      <c r="I126" s="57">
        <v>1</v>
      </c>
      <c r="J126" s="57">
        <v>3</v>
      </c>
      <c r="K126" s="57">
        <v>2</v>
      </c>
      <c r="L126" s="57">
        <v>1</v>
      </c>
      <c r="M126" s="57">
        <v>3</v>
      </c>
      <c r="N126" s="57">
        <v>3</v>
      </c>
      <c r="O126" s="57">
        <v>4</v>
      </c>
      <c r="P126" s="57"/>
      <c r="Q126" s="57">
        <v>3</v>
      </c>
      <c r="R126" s="57" t="s">
        <v>87</v>
      </c>
      <c r="S126" s="57" t="s">
        <v>191</v>
      </c>
      <c r="T126" s="57" t="s">
        <v>88</v>
      </c>
      <c r="U126" s="57" t="s">
        <v>216</v>
      </c>
      <c r="V126" s="57"/>
      <c r="W126" s="57"/>
      <c r="X126" s="57"/>
      <c r="Y126" s="57"/>
      <c r="Z126" s="123" t="s">
        <v>551</v>
      </c>
      <c r="AA126" s="123" t="s">
        <v>436</v>
      </c>
      <c r="AB126" s="123" t="str">
        <f>+CONCATENATE(Z126,"-",AA126)</f>
        <v>Farmacia-Semanal</v>
      </c>
      <c r="AC126" s="38" t="s">
        <v>217</v>
      </c>
      <c r="AD126" s="38" t="s">
        <v>78</v>
      </c>
      <c r="AE126" s="123" t="s">
        <v>439</v>
      </c>
      <c r="AF126" s="123" t="s">
        <v>637</v>
      </c>
      <c r="AG126" s="123" t="str">
        <f t="shared" si="6"/>
        <v>Descuento-Ocasional</v>
      </c>
      <c r="AH126" s="123" t="s">
        <v>552</v>
      </c>
      <c r="AI126" s="57">
        <v>2</v>
      </c>
      <c r="AJ126" s="38" t="s">
        <v>99</v>
      </c>
      <c r="AK126" s="123" t="s">
        <v>551</v>
      </c>
      <c r="AL126" s="123" t="s">
        <v>436</v>
      </c>
      <c r="AM126" s="123" t="str">
        <f t="shared" si="7"/>
        <v>Farmacia-Semanal</v>
      </c>
      <c r="AN126" s="38" t="s">
        <v>104</v>
      </c>
      <c r="AO126" s="38">
        <v>1</v>
      </c>
      <c r="AP126" s="38">
        <v>1</v>
      </c>
      <c r="AQ126" s="38"/>
      <c r="AR126" s="38">
        <v>1</v>
      </c>
      <c r="AS126" s="38"/>
      <c r="AT126" s="38">
        <v>3</v>
      </c>
      <c r="AU126" s="38"/>
      <c r="AV126" s="38">
        <v>1</v>
      </c>
      <c r="AW126" s="38"/>
      <c r="AX126" s="38">
        <v>2</v>
      </c>
      <c r="AY126" s="38"/>
      <c r="AZ126" s="38">
        <v>1</v>
      </c>
      <c r="BA126" s="38" t="s">
        <v>87</v>
      </c>
      <c r="BB126" s="38">
        <v>3</v>
      </c>
      <c r="BC126" s="38"/>
      <c r="BD126" s="38">
        <v>4</v>
      </c>
      <c r="BE126" s="38"/>
      <c r="BF126" s="38">
        <v>6</v>
      </c>
      <c r="BG126" s="38"/>
      <c r="BH126" s="38">
        <v>2</v>
      </c>
      <c r="BI126" s="38" t="s">
        <v>78</v>
      </c>
      <c r="BJ126" s="38" t="s">
        <v>107</v>
      </c>
      <c r="BK126" s="38">
        <v>3</v>
      </c>
      <c r="BL126" s="38"/>
      <c r="BM126" s="40" t="s">
        <v>108</v>
      </c>
      <c r="BN126" s="40">
        <v>3148379621</v>
      </c>
      <c r="BO126" s="40"/>
      <c r="BP126" s="42" t="s">
        <v>84</v>
      </c>
    </row>
    <row r="127" spans="1:68" x14ac:dyDescent="0.25">
      <c r="A127" s="43"/>
      <c r="B127" s="44"/>
      <c r="C127" s="45"/>
      <c r="D127" s="58"/>
      <c r="E127" s="58"/>
      <c r="F127" s="58"/>
      <c r="G127" s="58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124" t="s">
        <v>433</v>
      </c>
      <c r="AA127" s="124" t="s">
        <v>436</v>
      </c>
      <c r="AB127" s="124" t="str">
        <f t="shared" ref="AB127:AB135" si="11">+CONCATENATE(Z127,"-",AA127)</f>
        <v>Droguería-Semanal</v>
      </c>
      <c r="AC127" s="39"/>
      <c r="AD127" s="39"/>
      <c r="AE127" s="124" t="s">
        <v>448</v>
      </c>
      <c r="AF127" s="124" t="s">
        <v>437</v>
      </c>
      <c r="AG127" s="124" t="str">
        <f t="shared" si="6"/>
        <v>Asesoramiento-Diario</v>
      </c>
      <c r="AH127" s="124" t="s">
        <v>549</v>
      </c>
      <c r="AI127" s="59"/>
      <c r="AJ127" s="39"/>
      <c r="AK127" s="124" t="s">
        <v>433</v>
      </c>
      <c r="AL127" s="124" t="s">
        <v>436</v>
      </c>
      <c r="AM127" s="124" t="str">
        <f t="shared" si="7"/>
        <v>Droguería-Semanal</v>
      </c>
      <c r="AN127" s="39"/>
      <c r="AO127" s="39"/>
      <c r="AP127" s="39"/>
      <c r="AQ127" s="39"/>
      <c r="AR127" s="39"/>
      <c r="AS127" s="39"/>
      <c r="AT127" s="39"/>
      <c r="AU127" s="39"/>
      <c r="AV127" s="39"/>
      <c r="AW127" s="39"/>
      <c r="AX127" s="39"/>
      <c r="AY127" s="39"/>
      <c r="AZ127" s="39"/>
      <c r="BA127" s="39"/>
      <c r="BB127" s="39"/>
      <c r="BC127" s="39"/>
      <c r="BD127" s="39"/>
      <c r="BE127" s="39"/>
      <c r="BF127" s="39"/>
      <c r="BG127" s="39"/>
      <c r="BH127" s="39"/>
      <c r="BI127" s="39"/>
      <c r="BJ127" s="39"/>
      <c r="BK127" s="39"/>
      <c r="BL127" s="39"/>
      <c r="BM127" s="46"/>
      <c r="BN127" s="46"/>
      <c r="BO127" s="46"/>
      <c r="BP127" s="48"/>
    </row>
    <row r="128" spans="1:68" x14ac:dyDescent="0.25">
      <c r="A128" s="43"/>
      <c r="B128" s="44"/>
      <c r="C128" s="45"/>
      <c r="D128" s="58"/>
      <c r="E128" s="58"/>
      <c r="F128" s="58"/>
      <c r="G128" s="58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124" t="s">
        <v>434</v>
      </c>
      <c r="AA128" s="124" t="s">
        <v>436</v>
      </c>
      <c r="AB128" s="124" t="str">
        <f t="shared" si="11"/>
        <v>Aseo Personal-Semanal</v>
      </c>
      <c r="AC128" s="39"/>
      <c r="AD128" s="39"/>
      <c r="AE128" s="124" t="s">
        <v>441</v>
      </c>
      <c r="AF128" s="124" t="s">
        <v>437</v>
      </c>
      <c r="AG128" s="124" t="str">
        <f t="shared" si="6"/>
        <v>Atención al Cliente-Diario</v>
      </c>
      <c r="AH128" s="124" t="s">
        <v>574</v>
      </c>
      <c r="AI128" s="59"/>
      <c r="AJ128" s="39"/>
      <c r="AK128" s="124" t="s">
        <v>435</v>
      </c>
      <c r="AL128" s="124" t="s">
        <v>509</v>
      </c>
      <c r="AM128" s="124" t="str">
        <f t="shared" si="7"/>
        <v>Dulces y Paquetes-Quincenal</v>
      </c>
      <c r="AN128" s="39"/>
      <c r="AO128" s="39"/>
      <c r="AP128" s="39"/>
      <c r="AQ128" s="39"/>
      <c r="AR128" s="39"/>
      <c r="AS128" s="39"/>
      <c r="AT128" s="39"/>
      <c r="AU128" s="39"/>
      <c r="AV128" s="39"/>
      <c r="AW128" s="39"/>
      <c r="AX128" s="39"/>
      <c r="AY128" s="39"/>
      <c r="AZ128" s="39"/>
      <c r="BA128" s="39"/>
      <c r="BB128" s="39"/>
      <c r="BC128" s="39"/>
      <c r="BD128" s="39"/>
      <c r="BE128" s="39"/>
      <c r="BF128" s="39"/>
      <c r="BG128" s="39"/>
      <c r="BH128" s="39"/>
      <c r="BI128" s="39"/>
      <c r="BJ128" s="39"/>
      <c r="BK128" s="39"/>
      <c r="BL128" s="39"/>
      <c r="BM128" s="46"/>
      <c r="BN128" s="46"/>
      <c r="BO128" s="46"/>
      <c r="BP128" s="48"/>
    </row>
    <row r="129" spans="1:68" x14ac:dyDescent="0.25">
      <c r="A129" s="43"/>
      <c r="B129" s="44"/>
      <c r="C129" s="45"/>
      <c r="D129" s="58"/>
      <c r="E129" s="58"/>
      <c r="F129" s="58"/>
      <c r="G129" s="58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124" t="s">
        <v>435</v>
      </c>
      <c r="AA129" s="124" t="s">
        <v>436</v>
      </c>
      <c r="AB129" s="124" t="str">
        <f t="shared" si="11"/>
        <v>Dulces y Paquetes-Semanal</v>
      </c>
      <c r="AC129" s="39"/>
      <c r="AD129" s="39"/>
      <c r="AE129" s="124"/>
      <c r="AF129" s="124"/>
      <c r="AG129" s="124" t="str">
        <f t="shared" si="6"/>
        <v>-</v>
      </c>
      <c r="AH129" s="124"/>
      <c r="AI129" s="59"/>
      <c r="AJ129" s="39"/>
      <c r="AK129" s="124" t="s">
        <v>434</v>
      </c>
      <c r="AL129" s="124" t="s">
        <v>509</v>
      </c>
      <c r="AM129" s="124" t="str">
        <f t="shared" si="7"/>
        <v>Aseo Personal-Quincenal</v>
      </c>
      <c r="AN129" s="39"/>
      <c r="AO129" s="39"/>
      <c r="AP129" s="39"/>
      <c r="AQ129" s="39"/>
      <c r="AR129" s="39"/>
      <c r="AS129" s="39"/>
      <c r="AT129" s="39"/>
      <c r="AU129" s="39"/>
      <c r="AV129" s="39"/>
      <c r="AW129" s="39"/>
      <c r="AX129" s="39"/>
      <c r="AY129" s="39"/>
      <c r="AZ129" s="39"/>
      <c r="BA129" s="39"/>
      <c r="BB129" s="39"/>
      <c r="BC129" s="39"/>
      <c r="BD129" s="39"/>
      <c r="BE129" s="39"/>
      <c r="BF129" s="39"/>
      <c r="BG129" s="39"/>
      <c r="BH129" s="39"/>
      <c r="BI129" s="39"/>
      <c r="BJ129" s="39"/>
      <c r="BK129" s="39"/>
      <c r="BL129" s="39"/>
      <c r="BM129" s="46"/>
      <c r="BN129" s="46"/>
      <c r="BO129" s="46"/>
      <c r="BP129" s="48"/>
    </row>
    <row r="130" spans="1:68" x14ac:dyDescent="0.25">
      <c r="A130" s="49"/>
      <c r="B130" s="50"/>
      <c r="C130" s="51"/>
      <c r="D130" s="60"/>
      <c r="E130" s="60"/>
      <c r="F130" s="60"/>
      <c r="G130" s="60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125" t="s">
        <v>77</v>
      </c>
      <c r="AA130" s="125" t="s">
        <v>436</v>
      </c>
      <c r="AB130" s="125" t="str">
        <f t="shared" si="11"/>
        <v>Limpieza-Semanal</v>
      </c>
      <c r="AC130" s="7"/>
      <c r="AD130" s="7"/>
      <c r="AE130" s="125"/>
      <c r="AF130" s="125"/>
      <c r="AG130" s="125" t="str">
        <f t="shared" si="6"/>
        <v>-</v>
      </c>
      <c r="AH130" s="125"/>
      <c r="AI130" s="61"/>
      <c r="AJ130" s="7"/>
      <c r="AK130" s="125" t="s">
        <v>77</v>
      </c>
      <c r="AL130" s="124" t="s">
        <v>436</v>
      </c>
      <c r="AM130" s="124" t="str">
        <f t="shared" si="7"/>
        <v>Limpieza-Semanal</v>
      </c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52"/>
      <c r="BN130" s="52"/>
      <c r="BO130" s="52"/>
      <c r="BP130" s="54"/>
    </row>
    <row r="131" spans="1:68" x14ac:dyDescent="0.25">
      <c r="A131" s="35">
        <v>33</v>
      </c>
      <c r="B131" s="36">
        <v>44802</v>
      </c>
      <c r="C131" s="37" t="s">
        <v>218</v>
      </c>
      <c r="D131" s="56">
        <v>2</v>
      </c>
      <c r="E131" s="56">
        <v>2</v>
      </c>
      <c r="F131" s="56">
        <v>1</v>
      </c>
      <c r="G131" s="56">
        <v>12</v>
      </c>
      <c r="H131" s="57">
        <v>1</v>
      </c>
      <c r="I131" s="57">
        <v>1</v>
      </c>
      <c r="J131" s="57">
        <v>2</v>
      </c>
      <c r="K131" s="57">
        <v>2</v>
      </c>
      <c r="L131" s="57">
        <v>1</v>
      </c>
      <c r="M131" s="57">
        <v>2</v>
      </c>
      <c r="N131" s="57">
        <v>3</v>
      </c>
      <c r="O131" s="57">
        <v>2</v>
      </c>
      <c r="P131" s="57"/>
      <c r="Q131" s="57">
        <v>3</v>
      </c>
      <c r="R131" s="57"/>
      <c r="S131" s="57"/>
      <c r="T131" s="57"/>
      <c r="U131" s="57"/>
      <c r="V131" s="57" t="s">
        <v>125</v>
      </c>
      <c r="W131" s="57"/>
      <c r="X131" s="57"/>
      <c r="Y131" s="57"/>
      <c r="Z131" s="123" t="s">
        <v>433</v>
      </c>
      <c r="AA131" s="123" t="s">
        <v>509</v>
      </c>
      <c r="AB131" s="123" t="str">
        <f t="shared" si="11"/>
        <v>Droguería-Quincenal</v>
      </c>
      <c r="AC131" s="38" t="s">
        <v>219</v>
      </c>
      <c r="AD131" s="38" t="s">
        <v>78</v>
      </c>
      <c r="AE131" s="123" t="s">
        <v>448</v>
      </c>
      <c r="AF131" s="123"/>
      <c r="AG131" s="123" t="str">
        <f t="shared" si="6"/>
        <v>Asesoramiento-</v>
      </c>
      <c r="AH131" s="123" t="s">
        <v>575</v>
      </c>
      <c r="AI131" s="57">
        <v>1</v>
      </c>
      <c r="AJ131" s="38" t="s">
        <v>220</v>
      </c>
      <c r="AK131" s="123" t="s">
        <v>435</v>
      </c>
      <c r="AL131" s="123" t="s">
        <v>436</v>
      </c>
      <c r="AM131" s="123" t="str">
        <f t="shared" si="7"/>
        <v>Dulces y Paquetes-Semanal</v>
      </c>
      <c r="AN131" s="77" t="s">
        <v>104</v>
      </c>
      <c r="AO131" s="38">
        <v>4</v>
      </c>
      <c r="AP131" s="38">
        <v>1</v>
      </c>
      <c r="AQ131" s="38"/>
      <c r="AR131" s="38">
        <v>2</v>
      </c>
      <c r="AS131" s="38" t="s">
        <v>221</v>
      </c>
      <c r="AT131" s="38">
        <v>6</v>
      </c>
      <c r="AU131" s="38"/>
      <c r="AV131" s="38">
        <v>1</v>
      </c>
      <c r="AW131" s="38"/>
      <c r="AX131" s="38">
        <v>2</v>
      </c>
      <c r="AY131" s="38"/>
      <c r="AZ131" s="38">
        <v>2</v>
      </c>
      <c r="BA131" s="38"/>
      <c r="BB131" s="38">
        <v>6</v>
      </c>
      <c r="BC131" s="38"/>
      <c r="BD131" s="38">
        <v>4</v>
      </c>
      <c r="BE131" s="38"/>
      <c r="BF131" s="38">
        <v>4</v>
      </c>
      <c r="BG131" s="38"/>
      <c r="BH131" s="38">
        <v>3</v>
      </c>
      <c r="BI131" s="38" t="s">
        <v>80</v>
      </c>
      <c r="BJ131" s="38" t="s">
        <v>184</v>
      </c>
      <c r="BK131" s="38">
        <v>4</v>
      </c>
      <c r="BL131" s="38"/>
      <c r="BM131" s="40" t="s">
        <v>222</v>
      </c>
      <c r="BN131" s="40">
        <v>3228958079</v>
      </c>
      <c r="BO131" s="41" t="s">
        <v>223</v>
      </c>
      <c r="BP131" s="42" t="s">
        <v>84</v>
      </c>
    </row>
    <row r="132" spans="1:68" x14ac:dyDescent="0.25">
      <c r="A132" s="43"/>
      <c r="B132" s="44"/>
      <c r="C132" s="45"/>
      <c r="D132" s="58"/>
      <c r="E132" s="58"/>
      <c r="F132" s="58"/>
      <c r="G132" s="58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124" t="s">
        <v>434</v>
      </c>
      <c r="AA132" s="124" t="s">
        <v>509</v>
      </c>
      <c r="AB132" s="124" t="str">
        <f t="shared" si="11"/>
        <v>Aseo Personal-Quincenal</v>
      </c>
      <c r="AC132" s="39"/>
      <c r="AD132" s="39"/>
      <c r="AE132" s="124" t="s">
        <v>441</v>
      </c>
      <c r="AF132" s="124"/>
      <c r="AG132" s="124" t="str">
        <f t="shared" si="6"/>
        <v>Atención al Cliente-</v>
      </c>
      <c r="AH132" s="124" t="s">
        <v>577</v>
      </c>
      <c r="AI132" s="59"/>
      <c r="AJ132" s="39"/>
      <c r="AK132" s="124" t="s">
        <v>77</v>
      </c>
      <c r="AL132" s="124" t="s">
        <v>449</v>
      </c>
      <c r="AM132" s="124" t="str">
        <f t="shared" si="7"/>
        <v>Limpieza-Depende de la Provisión</v>
      </c>
      <c r="AN132" s="78"/>
      <c r="AO132" s="39"/>
      <c r="AP132" s="39"/>
      <c r="AQ132" s="39"/>
      <c r="AR132" s="39"/>
      <c r="AS132" s="39"/>
      <c r="AT132" s="39"/>
      <c r="AU132" s="39"/>
      <c r="AV132" s="39"/>
      <c r="AW132" s="39"/>
      <c r="AX132" s="39"/>
      <c r="AY132" s="39"/>
      <c r="AZ132" s="39"/>
      <c r="BA132" s="39"/>
      <c r="BB132" s="39"/>
      <c r="BC132" s="39"/>
      <c r="BD132" s="39"/>
      <c r="BE132" s="39"/>
      <c r="BF132" s="39"/>
      <c r="BG132" s="39"/>
      <c r="BH132" s="39"/>
      <c r="BI132" s="39"/>
      <c r="BJ132" s="39"/>
      <c r="BK132" s="39"/>
      <c r="BL132" s="39"/>
      <c r="BM132" s="46"/>
      <c r="BN132" s="46"/>
      <c r="BO132" s="47"/>
      <c r="BP132" s="48"/>
    </row>
    <row r="133" spans="1:68" x14ac:dyDescent="0.25">
      <c r="A133" s="43"/>
      <c r="B133" s="44"/>
      <c r="C133" s="45"/>
      <c r="D133" s="58"/>
      <c r="E133" s="58"/>
      <c r="F133" s="58"/>
      <c r="G133" s="58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124" t="s">
        <v>77</v>
      </c>
      <c r="AA133" s="124" t="s">
        <v>509</v>
      </c>
      <c r="AB133" s="124" t="str">
        <f t="shared" si="11"/>
        <v>Limpieza-Quincenal</v>
      </c>
      <c r="AC133" s="39"/>
      <c r="AD133" s="39"/>
      <c r="AE133" s="124" t="s">
        <v>440</v>
      </c>
      <c r="AF133" s="124"/>
      <c r="AG133" s="124" t="str">
        <f t="shared" si="6"/>
        <v>Domicilios-</v>
      </c>
      <c r="AH133" s="124" t="s">
        <v>576</v>
      </c>
      <c r="AI133" s="59"/>
      <c r="AJ133" s="39"/>
      <c r="AK133" s="124"/>
      <c r="AL133" s="124"/>
      <c r="AM133" s="124"/>
      <c r="AN133" s="78"/>
      <c r="AO133" s="39"/>
      <c r="AP133" s="39"/>
      <c r="AQ133" s="39"/>
      <c r="AR133" s="39"/>
      <c r="AS133" s="39"/>
      <c r="AT133" s="39"/>
      <c r="AU133" s="39"/>
      <c r="AV133" s="39"/>
      <c r="AW133" s="39"/>
      <c r="AX133" s="39"/>
      <c r="AY133" s="39"/>
      <c r="AZ133" s="39"/>
      <c r="BA133" s="39"/>
      <c r="BB133" s="39"/>
      <c r="BC133" s="39"/>
      <c r="BD133" s="39"/>
      <c r="BE133" s="39"/>
      <c r="BF133" s="39"/>
      <c r="BG133" s="39"/>
      <c r="BH133" s="39"/>
      <c r="BI133" s="39"/>
      <c r="BJ133" s="39"/>
      <c r="BK133" s="39"/>
      <c r="BL133" s="39"/>
      <c r="BM133" s="46"/>
      <c r="BN133" s="46"/>
      <c r="BO133" s="47"/>
      <c r="BP133" s="48"/>
    </row>
    <row r="134" spans="1:68" x14ac:dyDescent="0.25">
      <c r="A134" s="49"/>
      <c r="B134" s="50"/>
      <c r="C134" s="51"/>
      <c r="D134" s="60"/>
      <c r="E134" s="60"/>
      <c r="F134" s="60"/>
      <c r="G134" s="60"/>
      <c r="H134" s="61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125" t="s">
        <v>435</v>
      </c>
      <c r="AA134" s="125" t="s">
        <v>509</v>
      </c>
      <c r="AB134" s="125" t="str">
        <f t="shared" si="11"/>
        <v>Dulces y Paquetes-Quincenal</v>
      </c>
      <c r="AC134" s="7"/>
      <c r="AD134" s="7"/>
      <c r="AE134" s="125"/>
      <c r="AF134" s="125"/>
      <c r="AG134" s="125" t="str">
        <f t="shared" ref="AG134:AG197" si="12">+CONCATENATE(AE134,"-",AF134)</f>
        <v>-</v>
      </c>
      <c r="AH134" s="125"/>
      <c r="AI134" s="61"/>
      <c r="AJ134" s="7"/>
      <c r="AK134" s="125"/>
      <c r="AL134" s="125"/>
      <c r="AM134" s="125"/>
      <c r="AN134" s="79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52"/>
      <c r="BN134" s="52"/>
      <c r="BO134" s="53"/>
      <c r="BP134" s="54"/>
    </row>
    <row r="135" spans="1:68" x14ac:dyDescent="0.25">
      <c r="A135" s="35">
        <v>34</v>
      </c>
      <c r="B135" s="36">
        <v>44801</v>
      </c>
      <c r="C135" s="37" t="s">
        <v>224</v>
      </c>
      <c r="D135" s="56">
        <v>2</v>
      </c>
      <c r="E135" s="56">
        <v>2</v>
      </c>
      <c r="F135" s="56">
        <v>1</v>
      </c>
      <c r="G135" s="56">
        <v>12</v>
      </c>
      <c r="H135" s="57">
        <v>2</v>
      </c>
      <c r="I135" s="57">
        <v>3</v>
      </c>
      <c r="J135" s="57">
        <v>1</v>
      </c>
      <c r="K135" s="57">
        <v>2</v>
      </c>
      <c r="L135" s="57">
        <v>1</v>
      </c>
      <c r="M135" s="57">
        <v>2</v>
      </c>
      <c r="N135" s="57">
        <v>1</v>
      </c>
      <c r="O135" s="57">
        <v>2</v>
      </c>
      <c r="P135" s="57"/>
      <c r="Q135" s="57">
        <v>1</v>
      </c>
      <c r="R135" s="57" t="s">
        <v>73</v>
      </c>
      <c r="S135" s="57" t="s">
        <v>110</v>
      </c>
      <c r="T135" s="57" t="s">
        <v>144</v>
      </c>
      <c r="U135" s="57"/>
      <c r="V135" s="57"/>
      <c r="W135" s="57"/>
      <c r="X135" s="57"/>
      <c r="Y135" s="57"/>
      <c r="Z135" s="123" t="s">
        <v>435</v>
      </c>
      <c r="AA135" s="123" t="s">
        <v>436</v>
      </c>
      <c r="AB135" s="123" t="str">
        <f t="shared" si="11"/>
        <v>Dulces y Paquetes-Semanal</v>
      </c>
      <c r="AC135" s="38" t="s">
        <v>188</v>
      </c>
      <c r="AD135" s="38" t="s">
        <v>89</v>
      </c>
      <c r="AE135" s="123" t="s">
        <v>448</v>
      </c>
      <c r="AF135" s="123" t="s">
        <v>436</v>
      </c>
      <c r="AG135" s="123" t="str">
        <f t="shared" si="12"/>
        <v>Asesoramiento-Semanal</v>
      </c>
      <c r="AH135" s="123"/>
      <c r="AI135" s="57">
        <v>2</v>
      </c>
      <c r="AJ135" s="38"/>
      <c r="AK135" s="123" t="s">
        <v>435</v>
      </c>
      <c r="AL135" s="123" t="s">
        <v>449</v>
      </c>
      <c r="AM135" s="123" t="str">
        <f t="shared" ref="AM135:AM197" si="13">CONCATENATE(AK135,"-",AL135)</f>
        <v>Dulces y Paquetes-Depende de la Provisión</v>
      </c>
      <c r="AN135" s="38" t="s">
        <v>104</v>
      </c>
      <c r="AO135" s="38">
        <v>1</v>
      </c>
      <c r="AP135" s="38">
        <v>2</v>
      </c>
      <c r="AQ135" s="38"/>
      <c r="AR135" s="38">
        <v>2</v>
      </c>
      <c r="AS135" s="38"/>
      <c r="AT135" s="38">
        <v>1</v>
      </c>
      <c r="AU135" s="38"/>
      <c r="AV135" s="38">
        <v>1</v>
      </c>
      <c r="AW135" s="38"/>
      <c r="AX135" s="38">
        <v>1</v>
      </c>
      <c r="AY135" s="38"/>
      <c r="AZ135" s="38">
        <v>2</v>
      </c>
      <c r="BA135" s="38"/>
      <c r="BB135" s="38">
        <v>6</v>
      </c>
      <c r="BC135" s="38"/>
      <c r="BD135" s="38">
        <v>4</v>
      </c>
      <c r="BE135" s="38"/>
      <c r="BF135" s="38">
        <v>12</v>
      </c>
      <c r="BG135" s="38"/>
      <c r="BH135" s="38">
        <v>3</v>
      </c>
      <c r="BI135" s="38" t="s">
        <v>136</v>
      </c>
      <c r="BJ135" s="38" t="s">
        <v>225</v>
      </c>
      <c r="BK135" s="38">
        <v>4</v>
      </c>
      <c r="BL135" s="38"/>
      <c r="BM135" s="40" t="s">
        <v>91</v>
      </c>
      <c r="BN135" s="40">
        <v>3188645895</v>
      </c>
      <c r="BO135" s="40"/>
      <c r="BP135" s="42" t="s">
        <v>84</v>
      </c>
    </row>
    <row r="136" spans="1:68" x14ac:dyDescent="0.25">
      <c r="A136" s="43"/>
      <c r="B136" s="44"/>
      <c r="C136" s="45"/>
      <c r="D136" s="58"/>
      <c r="E136" s="58"/>
      <c r="F136" s="58"/>
      <c r="G136" s="58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124"/>
      <c r="AA136" s="124"/>
      <c r="AB136" s="124"/>
      <c r="AC136" s="39"/>
      <c r="AD136" s="39"/>
      <c r="AE136" s="124" t="s">
        <v>441</v>
      </c>
      <c r="AF136" s="124" t="s">
        <v>436</v>
      </c>
      <c r="AG136" s="124" t="str">
        <f t="shared" si="12"/>
        <v>Atención al Cliente-Semanal</v>
      </c>
      <c r="AH136" s="124"/>
      <c r="AI136" s="59"/>
      <c r="AJ136" s="39"/>
      <c r="AK136" s="124"/>
      <c r="AL136" s="124"/>
      <c r="AM136" s="124"/>
      <c r="AN136" s="39"/>
      <c r="AO136" s="39"/>
      <c r="AP136" s="39"/>
      <c r="AQ136" s="39"/>
      <c r="AR136" s="39"/>
      <c r="AS136" s="39"/>
      <c r="AT136" s="39"/>
      <c r="AU136" s="39"/>
      <c r="AV136" s="39"/>
      <c r="AW136" s="39"/>
      <c r="AX136" s="39"/>
      <c r="AY136" s="39"/>
      <c r="AZ136" s="39"/>
      <c r="BA136" s="39"/>
      <c r="BB136" s="39"/>
      <c r="BC136" s="39"/>
      <c r="BD136" s="39"/>
      <c r="BE136" s="39"/>
      <c r="BF136" s="39"/>
      <c r="BG136" s="39"/>
      <c r="BH136" s="39"/>
      <c r="BI136" s="39"/>
      <c r="BJ136" s="39"/>
      <c r="BK136" s="39"/>
      <c r="BL136" s="39"/>
      <c r="BM136" s="46"/>
      <c r="BN136" s="46"/>
      <c r="BO136" s="46"/>
      <c r="BP136" s="48"/>
    </row>
    <row r="137" spans="1:68" x14ac:dyDescent="0.25">
      <c r="A137" s="49"/>
      <c r="B137" s="50"/>
      <c r="C137" s="51"/>
      <c r="D137" s="60"/>
      <c r="E137" s="60"/>
      <c r="F137" s="60"/>
      <c r="G137" s="60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125"/>
      <c r="AA137" s="125"/>
      <c r="AB137" s="125"/>
      <c r="AC137" s="7"/>
      <c r="AD137" s="7"/>
      <c r="AE137" s="125" t="s">
        <v>440</v>
      </c>
      <c r="AF137" s="125" t="s">
        <v>436</v>
      </c>
      <c r="AG137" s="125" t="str">
        <f t="shared" si="12"/>
        <v>Domicilios-Semanal</v>
      </c>
      <c r="AH137" s="125"/>
      <c r="AI137" s="61"/>
      <c r="AJ137" s="7"/>
      <c r="AK137" s="125"/>
      <c r="AL137" s="125"/>
      <c r="AM137" s="125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52"/>
      <c r="BN137" s="52"/>
      <c r="BO137" s="52"/>
      <c r="BP137" s="54"/>
    </row>
    <row r="138" spans="1:68" x14ac:dyDescent="0.25">
      <c r="A138" s="35">
        <v>35</v>
      </c>
      <c r="B138" s="36">
        <v>44803</v>
      </c>
      <c r="C138" s="37" t="s">
        <v>226</v>
      </c>
      <c r="D138" s="56">
        <v>2</v>
      </c>
      <c r="E138" s="56">
        <v>1</v>
      </c>
      <c r="F138" s="56">
        <v>1</v>
      </c>
      <c r="G138" s="56">
        <v>12</v>
      </c>
      <c r="H138" s="57">
        <v>2</v>
      </c>
      <c r="I138" s="57">
        <v>1</v>
      </c>
      <c r="J138" s="57">
        <v>3</v>
      </c>
      <c r="K138" s="57">
        <v>1</v>
      </c>
      <c r="L138" s="57">
        <v>1</v>
      </c>
      <c r="M138" s="57">
        <v>3</v>
      </c>
      <c r="N138" s="57">
        <v>1</v>
      </c>
      <c r="O138" s="57">
        <v>2</v>
      </c>
      <c r="P138" s="57"/>
      <c r="Q138" s="57">
        <v>3</v>
      </c>
      <c r="R138" s="57" t="s">
        <v>227</v>
      </c>
      <c r="S138" s="57" t="s">
        <v>228</v>
      </c>
      <c r="T138" s="57"/>
      <c r="U138" s="57"/>
      <c r="V138" s="57" t="s">
        <v>125</v>
      </c>
      <c r="W138" s="57" t="s">
        <v>96</v>
      </c>
      <c r="X138" s="57" t="s">
        <v>229</v>
      </c>
      <c r="Y138" s="57"/>
      <c r="Z138" s="123" t="s">
        <v>433</v>
      </c>
      <c r="AA138" s="123" t="s">
        <v>509</v>
      </c>
      <c r="AB138" s="123" t="str">
        <f>+CONCATENATE(Z138,"-",AA138)</f>
        <v>Droguería-Quincenal</v>
      </c>
      <c r="AC138" s="38" t="s">
        <v>230</v>
      </c>
      <c r="AD138" s="38" t="s">
        <v>231</v>
      </c>
      <c r="AE138" s="123" t="s">
        <v>178</v>
      </c>
      <c r="AF138" s="123" t="s">
        <v>442</v>
      </c>
      <c r="AG138" s="123" t="str">
        <f t="shared" si="12"/>
        <v>Promociones-Mensual</v>
      </c>
      <c r="AH138" s="123" t="s">
        <v>578</v>
      </c>
      <c r="AI138" s="57">
        <v>2</v>
      </c>
      <c r="AJ138" s="38"/>
      <c r="AK138" s="123" t="s">
        <v>433</v>
      </c>
      <c r="AL138" s="123" t="s">
        <v>509</v>
      </c>
      <c r="AM138" s="123" t="str">
        <f t="shared" si="13"/>
        <v>Droguería-Quincenal</v>
      </c>
      <c r="AN138" s="38"/>
      <c r="AO138" s="38">
        <v>1</v>
      </c>
      <c r="AP138" s="38">
        <v>2</v>
      </c>
      <c r="AQ138" s="38"/>
      <c r="AR138" s="38">
        <v>2</v>
      </c>
      <c r="AS138" s="38" t="s">
        <v>232</v>
      </c>
      <c r="AT138" s="38">
        <v>3</v>
      </c>
      <c r="AU138" s="38"/>
      <c r="AV138" s="38">
        <v>1</v>
      </c>
      <c r="AW138" s="38"/>
      <c r="AX138" s="38">
        <v>1</v>
      </c>
      <c r="AY138" s="38"/>
      <c r="AZ138" s="38">
        <v>2</v>
      </c>
      <c r="BA138" s="38"/>
      <c r="BB138" s="38">
        <v>3</v>
      </c>
      <c r="BC138" s="38"/>
      <c r="BD138" s="38">
        <v>4</v>
      </c>
      <c r="BE138" s="38"/>
      <c r="BF138" s="38">
        <v>4</v>
      </c>
      <c r="BG138" s="38"/>
      <c r="BH138" s="38">
        <v>3</v>
      </c>
      <c r="BI138" s="38" t="s">
        <v>184</v>
      </c>
      <c r="BJ138" s="38" t="s">
        <v>107</v>
      </c>
      <c r="BK138" s="38">
        <v>1</v>
      </c>
      <c r="BL138" s="38"/>
      <c r="BM138" s="40" t="s">
        <v>139</v>
      </c>
      <c r="BN138" s="40">
        <v>3043925634</v>
      </c>
      <c r="BO138" s="41" t="s">
        <v>233</v>
      </c>
      <c r="BP138" s="42" t="s">
        <v>84</v>
      </c>
    </row>
    <row r="139" spans="1:68" x14ac:dyDescent="0.25">
      <c r="A139" s="43"/>
      <c r="B139" s="44"/>
      <c r="C139" s="45"/>
      <c r="D139" s="58"/>
      <c r="E139" s="58"/>
      <c r="F139" s="58"/>
      <c r="G139" s="58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124" t="s">
        <v>434</v>
      </c>
      <c r="AA139" s="124" t="s">
        <v>436</v>
      </c>
      <c r="AB139" s="124" t="str">
        <f t="shared" ref="AB139:AB153" si="14">+CONCATENATE(Z139,"-",AA139)</f>
        <v>Aseo Personal-Semanal</v>
      </c>
      <c r="AC139" s="39"/>
      <c r="AD139" s="39"/>
      <c r="AE139" s="124" t="s">
        <v>440</v>
      </c>
      <c r="AF139" s="124" t="s">
        <v>437</v>
      </c>
      <c r="AG139" s="124" t="str">
        <f t="shared" si="12"/>
        <v>Domicilios-Diario</v>
      </c>
      <c r="AH139" s="124"/>
      <c r="AI139" s="59"/>
      <c r="AJ139" s="39"/>
      <c r="AK139" s="124" t="s">
        <v>435</v>
      </c>
      <c r="AL139" s="124" t="s">
        <v>509</v>
      </c>
      <c r="AM139" s="124" t="str">
        <f t="shared" si="13"/>
        <v>Dulces y Paquetes-Quincenal</v>
      </c>
      <c r="AN139" s="39"/>
      <c r="AO139" s="39"/>
      <c r="AP139" s="39"/>
      <c r="AQ139" s="39"/>
      <c r="AR139" s="39"/>
      <c r="AS139" s="39"/>
      <c r="AT139" s="39"/>
      <c r="AU139" s="39"/>
      <c r="AV139" s="39"/>
      <c r="AW139" s="39"/>
      <c r="AX139" s="39"/>
      <c r="AY139" s="39"/>
      <c r="AZ139" s="39"/>
      <c r="BA139" s="39"/>
      <c r="BB139" s="39"/>
      <c r="BC139" s="39"/>
      <c r="BD139" s="39"/>
      <c r="BE139" s="39"/>
      <c r="BF139" s="39"/>
      <c r="BG139" s="39"/>
      <c r="BH139" s="39"/>
      <c r="BI139" s="39"/>
      <c r="BJ139" s="39"/>
      <c r="BK139" s="39"/>
      <c r="BL139" s="39"/>
      <c r="BM139" s="46"/>
      <c r="BN139" s="46"/>
      <c r="BO139" s="47"/>
      <c r="BP139" s="48"/>
    </row>
    <row r="140" spans="1:68" x14ac:dyDescent="0.25">
      <c r="A140" s="43"/>
      <c r="B140" s="44"/>
      <c r="C140" s="45"/>
      <c r="D140" s="58"/>
      <c r="E140" s="58"/>
      <c r="F140" s="58"/>
      <c r="G140" s="58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124" t="s">
        <v>77</v>
      </c>
      <c r="AA140" s="124" t="s">
        <v>436</v>
      </c>
      <c r="AB140" s="124" t="str">
        <f t="shared" si="14"/>
        <v>Limpieza-Semanal</v>
      </c>
      <c r="AC140" s="39"/>
      <c r="AD140" s="39"/>
      <c r="AE140" s="124" t="s">
        <v>441</v>
      </c>
      <c r="AF140" s="124" t="s">
        <v>437</v>
      </c>
      <c r="AG140" s="124" t="str">
        <f t="shared" si="12"/>
        <v>Atención al Cliente-Diario</v>
      </c>
      <c r="AH140" s="124" t="s">
        <v>446</v>
      </c>
      <c r="AI140" s="59"/>
      <c r="AJ140" s="39"/>
      <c r="AK140" s="124" t="s">
        <v>434</v>
      </c>
      <c r="AL140" s="124" t="s">
        <v>509</v>
      </c>
      <c r="AM140" s="124" t="str">
        <f t="shared" si="13"/>
        <v>Aseo Personal-Quincenal</v>
      </c>
      <c r="AN140" s="39"/>
      <c r="AO140" s="39"/>
      <c r="AP140" s="39"/>
      <c r="AQ140" s="39"/>
      <c r="AR140" s="39"/>
      <c r="AS140" s="39"/>
      <c r="AT140" s="39"/>
      <c r="AU140" s="39"/>
      <c r="AV140" s="39"/>
      <c r="AW140" s="39"/>
      <c r="AX140" s="39"/>
      <c r="AY140" s="39"/>
      <c r="AZ140" s="39"/>
      <c r="BA140" s="39"/>
      <c r="BB140" s="39"/>
      <c r="BC140" s="39"/>
      <c r="BD140" s="39"/>
      <c r="BE140" s="39"/>
      <c r="BF140" s="39"/>
      <c r="BG140" s="39"/>
      <c r="BH140" s="39"/>
      <c r="BI140" s="39"/>
      <c r="BJ140" s="39"/>
      <c r="BK140" s="39"/>
      <c r="BL140" s="39"/>
      <c r="BM140" s="46"/>
      <c r="BN140" s="46"/>
      <c r="BO140" s="47"/>
      <c r="BP140" s="48"/>
    </row>
    <row r="141" spans="1:68" x14ac:dyDescent="0.25">
      <c r="A141" s="49"/>
      <c r="B141" s="50"/>
      <c r="C141" s="51"/>
      <c r="D141" s="60"/>
      <c r="E141" s="60"/>
      <c r="F141" s="60"/>
      <c r="G141" s="60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125" t="s">
        <v>435</v>
      </c>
      <c r="AA141" s="125" t="s">
        <v>436</v>
      </c>
      <c r="AB141" s="125" t="str">
        <f t="shared" si="14"/>
        <v>Dulces y Paquetes-Semanal</v>
      </c>
      <c r="AC141" s="7"/>
      <c r="AD141" s="7"/>
      <c r="AE141" s="125"/>
      <c r="AF141" s="125"/>
      <c r="AG141" s="125" t="str">
        <f t="shared" si="12"/>
        <v>-</v>
      </c>
      <c r="AH141" s="125"/>
      <c r="AI141" s="61"/>
      <c r="AJ141" s="7"/>
      <c r="AK141" s="125" t="s">
        <v>77</v>
      </c>
      <c r="AL141" s="125" t="s">
        <v>509</v>
      </c>
      <c r="AM141" s="125" t="str">
        <f t="shared" si="13"/>
        <v>Limpieza-Quincenal</v>
      </c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52"/>
      <c r="BN141" s="52"/>
      <c r="BO141" s="53"/>
      <c r="BP141" s="54"/>
    </row>
    <row r="142" spans="1:68" x14ac:dyDescent="0.25">
      <c r="A142" s="35">
        <v>36</v>
      </c>
      <c r="B142" s="36">
        <v>44804</v>
      </c>
      <c r="C142" s="37" t="s">
        <v>234</v>
      </c>
      <c r="D142" s="56">
        <v>2</v>
      </c>
      <c r="E142" s="56">
        <v>2</v>
      </c>
      <c r="F142" s="56">
        <v>1</v>
      </c>
      <c r="G142" s="56">
        <v>12</v>
      </c>
      <c r="H142" s="57">
        <v>2</v>
      </c>
      <c r="I142" s="57">
        <v>1</v>
      </c>
      <c r="J142" s="57">
        <v>3</v>
      </c>
      <c r="K142" s="57">
        <v>3</v>
      </c>
      <c r="L142" s="57">
        <v>1</v>
      </c>
      <c r="M142" s="57">
        <v>3</v>
      </c>
      <c r="N142" s="57">
        <v>3</v>
      </c>
      <c r="O142" s="57">
        <v>3</v>
      </c>
      <c r="P142" s="57"/>
      <c r="Q142" s="57">
        <v>2</v>
      </c>
      <c r="R142" s="57" t="s">
        <v>73</v>
      </c>
      <c r="S142" s="57" t="s">
        <v>235</v>
      </c>
      <c r="T142" s="57"/>
      <c r="U142" s="57"/>
      <c r="V142" s="57" t="s">
        <v>79</v>
      </c>
      <c r="W142" s="57" t="s">
        <v>76</v>
      </c>
      <c r="X142" s="57" t="s">
        <v>125</v>
      </c>
      <c r="Y142" s="57" t="s">
        <v>96</v>
      </c>
      <c r="Z142" s="123" t="s">
        <v>433</v>
      </c>
      <c r="AA142" s="123" t="s">
        <v>442</v>
      </c>
      <c r="AB142" s="123" t="str">
        <f t="shared" si="14"/>
        <v>Droguería-Mensual</v>
      </c>
      <c r="AC142" s="38" t="s">
        <v>230</v>
      </c>
      <c r="AD142" s="38" t="s">
        <v>236</v>
      </c>
      <c r="AE142" s="123" t="s">
        <v>195</v>
      </c>
      <c r="AF142" s="123" t="s">
        <v>637</v>
      </c>
      <c r="AG142" s="123" t="str">
        <f t="shared" si="12"/>
        <v>Ofertas-Ocasional</v>
      </c>
      <c r="AH142" s="123" t="s">
        <v>552</v>
      </c>
      <c r="AI142" s="57">
        <v>2</v>
      </c>
      <c r="AJ142" s="38" t="s">
        <v>99</v>
      </c>
      <c r="AK142" s="123" t="s">
        <v>433</v>
      </c>
      <c r="AL142" s="123" t="s">
        <v>436</v>
      </c>
      <c r="AM142" s="123" t="str">
        <f t="shared" si="13"/>
        <v>Droguería-Semanal</v>
      </c>
      <c r="AN142" s="38" t="s">
        <v>104</v>
      </c>
      <c r="AO142" s="38">
        <v>1</v>
      </c>
      <c r="AP142" s="38">
        <v>2</v>
      </c>
      <c r="AQ142" s="38"/>
      <c r="AR142" s="38">
        <v>2</v>
      </c>
      <c r="AS142" s="38" t="s">
        <v>116</v>
      </c>
      <c r="AT142" s="38">
        <v>2</v>
      </c>
      <c r="AU142" s="38"/>
      <c r="AV142" s="38">
        <v>4</v>
      </c>
      <c r="AW142" s="38"/>
      <c r="AX142" s="38">
        <v>5</v>
      </c>
      <c r="AY142" s="38"/>
      <c r="AZ142" s="38">
        <v>2</v>
      </c>
      <c r="BA142" s="38"/>
      <c r="BB142" s="38">
        <v>4</v>
      </c>
      <c r="BC142" s="38"/>
      <c r="BD142" s="38">
        <v>7</v>
      </c>
      <c r="BE142" s="38"/>
      <c r="BF142" s="38">
        <v>6</v>
      </c>
      <c r="BG142" s="38"/>
      <c r="BH142" s="38">
        <v>3</v>
      </c>
      <c r="BI142" s="38" t="s">
        <v>78</v>
      </c>
      <c r="BJ142" s="38" t="s">
        <v>107</v>
      </c>
      <c r="BK142" s="38">
        <v>7</v>
      </c>
      <c r="BL142" s="38"/>
      <c r="BM142" s="40" t="s">
        <v>91</v>
      </c>
      <c r="BN142" s="40">
        <v>3105612412</v>
      </c>
      <c r="BO142" s="40"/>
      <c r="BP142" s="42" t="s">
        <v>83</v>
      </c>
    </row>
    <row r="143" spans="1:68" x14ac:dyDescent="0.25">
      <c r="A143" s="43"/>
      <c r="B143" s="44"/>
      <c r="C143" s="45"/>
      <c r="D143" s="58"/>
      <c r="E143" s="58"/>
      <c r="F143" s="58"/>
      <c r="G143" s="58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124" t="s">
        <v>434</v>
      </c>
      <c r="AA143" s="124" t="s">
        <v>436</v>
      </c>
      <c r="AB143" s="124" t="str">
        <f t="shared" si="14"/>
        <v>Aseo Personal-Semanal</v>
      </c>
      <c r="AC143" s="39"/>
      <c r="AD143" s="39"/>
      <c r="AE143" s="124" t="s">
        <v>448</v>
      </c>
      <c r="AF143" s="124"/>
      <c r="AG143" s="124" t="str">
        <f t="shared" si="12"/>
        <v>Asesoramiento-</v>
      </c>
      <c r="AH143" s="124" t="s">
        <v>579</v>
      </c>
      <c r="AI143" s="59"/>
      <c r="AJ143" s="39"/>
      <c r="AK143" s="124" t="s">
        <v>435</v>
      </c>
      <c r="AL143" s="124" t="s">
        <v>436</v>
      </c>
      <c r="AM143" s="124" t="str">
        <f t="shared" si="13"/>
        <v>Dulces y Paquetes-Semanal</v>
      </c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39"/>
      <c r="BE143" s="39"/>
      <c r="BF143" s="39"/>
      <c r="BG143" s="39"/>
      <c r="BH143" s="39"/>
      <c r="BI143" s="39"/>
      <c r="BJ143" s="39"/>
      <c r="BK143" s="39"/>
      <c r="BL143" s="39"/>
      <c r="BM143" s="46"/>
      <c r="BN143" s="46"/>
      <c r="BO143" s="46"/>
      <c r="BP143" s="48"/>
    </row>
    <row r="144" spans="1:68" x14ac:dyDescent="0.25">
      <c r="A144" s="43"/>
      <c r="B144" s="44"/>
      <c r="C144" s="45"/>
      <c r="D144" s="58"/>
      <c r="E144" s="58"/>
      <c r="F144" s="58"/>
      <c r="G144" s="58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124" t="s">
        <v>77</v>
      </c>
      <c r="AA144" s="124" t="s">
        <v>436</v>
      </c>
      <c r="AB144" s="124" t="str">
        <f t="shared" si="14"/>
        <v>Limpieza-Semanal</v>
      </c>
      <c r="AC144" s="39"/>
      <c r="AD144" s="39"/>
      <c r="AE144" s="124" t="s">
        <v>441</v>
      </c>
      <c r="AF144" s="124"/>
      <c r="AG144" s="124" t="str">
        <f t="shared" si="12"/>
        <v>Atención al Cliente-</v>
      </c>
      <c r="AH144" s="124" t="s">
        <v>580</v>
      </c>
      <c r="AI144" s="59"/>
      <c r="AJ144" s="39"/>
      <c r="AK144" s="124" t="s">
        <v>434</v>
      </c>
      <c r="AL144" s="124" t="s">
        <v>436</v>
      </c>
      <c r="AM144" s="124" t="str">
        <f t="shared" si="13"/>
        <v>Aseo Personal-Semanal</v>
      </c>
      <c r="AN144" s="39"/>
      <c r="AO144" s="39"/>
      <c r="AP144" s="39"/>
      <c r="AQ144" s="39"/>
      <c r="AR144" s="39"/>
      <c r="AS144" s="39"/>
      <c r="AT144" s="39"/>
      <c r="AU144" s="39"/>
      <c r="AV144" s="39"/>
      <c r="AW144" s="39"/>
      <c r="AX144" s="39"/>
      <c r="AY144" s="39"/>
      <c r="AZ144" s="39"/>
      <c r="BA144" s="39"/>
      <c r="BB144" s="39"/>
      <c r="BC144" s="39"/>
      <c r="BD144" s="39"/>
      <c r="BE144" s="39"/>
      <c r="BF144" s="39"/>
      <c r="BG144" s="39"/>
      <c r="BH144" s="39"/>
      <c r="BI144" s="39"/>
      <c r="BJ144" s="39"/>
      <c r="BK144" s="39"/>
      <c r="BL144" s="39"/>
      <c r="BM144" s="46"/>
      <c r="BN144" s="46"/>
      <c r="BO144" s="46"/>
      <c r="BP144" s="48"/>
    </row>
    <row r="145" spans="1:68" x14ac:dyDescent="0.25">
      <c r="A145" s="49"/>
      <c r="B145" s="50"/>
      <c r="C145" s="51"/>
      <c r="D145" s="60"/>
      <c r="E145" s="60"/>
      <c r="F145" s="60"/>
      <c r="G145" s="60"/>
      <c r="H145" s="61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125" t="s">
        <v>435</v>
      </c>
      <c r="AA145" s="125" t="s">
        <v>436</v>
      </c>
      <c r="AB145" s="125" t="str">
        <f t="shared" si="14"/>
        <v>Dulces y Paquetes-Semanal</v>
      </c>
      <c r="AC145" s="7"/>
      <c r="AD145" s="7"/>
      <c r="AE145" s="125"/>
      <c r="AF145" s="125"/>
      <c r="AG145" s="125" t="str">
        <f t="shared" si="12"/>
        <v>-</v>
      </c>
      <c r="AH145" s="125"/>
      <c r="AI145" s="61"/>
      <c r="AJ145" s="7"/>
      <c r="AK145" s="125" t="s">
        <v>77</v>
      </c>
      <c r="AL145" s="125" t="s">
        <v>436</v>
      </c>
      <c r="AM145" s="125" t="str">
        <f t="shared" si="13"/>
        <v>Limpieza-Semanal</v>
      </c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52"/>
      <c r="BN145" s="52"/>
      <c r="BO145" s="52"/>
      <c r="BP145" s="54"/>
    </row>
    <row r="146" spans="1:68" x14ac:dyDescent="0.25">
      <c r="A146" s="35">
        <v>37</v>
      </c>
      <c r="B146" s="36">
        <v>44804</v>
      </c>
      <c r="C146" s="37" t="s">
        <v>238</v>
      </c>
      <c r="D146" s="56">
        <v>2</v>
      </c>
      <c r="E146" s="56">
        <v>2</v>
      </c>
      <c r="F146" s="56">
        <v>1</v>
      </c>
      <c r="G146" s="56">
        <v>12</v>
      </c>
      <c r="H146" s="57">
        <v>1</v>
      </c>
      <c r="I146" s="57">
        <v>2</v>
      </c>
      <c r="J146" s="57">
        <v>2</v>
      </c>
      <c r="K146" s="57">
        <v>2</v>
      </c>
      <c r="L146" s="57">
        <v>1</v>
      </c>
      <c r="M146" s="57">
        <v>3</v>
      </c>
      <c r="N146" s="57">
        <v>3</v>
      </c>
      <c r="O146" s="57">
        <v>2</v>
      </c>
      <c r="P146" s="57"/>
      <c r="Q146" s="57">
        <v>3</v>
      </c>
      <c r="R146" s="57" t="s">
        <v>227</v>
      </c>
      <c r="S146" s="57" t="s">
        <v>228</v>
      </c>
      <c r="T146" s="57" t="s">
        <v>94</v>
      </c>
      <c r="U146" s="57"/>
      <c r="V146" s="57" t="s">
        <v>125</v>
      </c>
      <c r="W146" s="57" t="s">
        <v>240</v>
      </c>
      <c r="X146" s="57" t="s">
        <v>239</v>
      </c>
      <c r="Y146" s="57"/>
      <c r="Z146" s="123" t="s">
        <v>433</v>
      </c>
      <c r="AA146" s="123" t="s">
        <v>436</v>
      </c>
      <c r="AB146" s="123" t="str">
        <f t="shared" si="14"/>
        <v>Droguería-Semanal</v>
      </c>
      <c r="AC146" s="38" t="s">
        <v>77</v>
      </c>
      <c r="AD146" s="38" t="s">
        <v>241</v>
      </c>
      <c r="AE146" s="123" t="s">
        <v>441</v>
      </c>
      <c r="AF146" s="123"/>
      <c r="AG146" s="123" t="str">
        <f t="shared" si="12"/>
        <v>Atención al Cliente-</v>
      </c>
      <c r="AH146" s="123" t="s">
        <v>437</v>
      </c>
      <c r="AI146" s="57">
        <v>2</v>
      </c>
      <c r="AJ146" s="38"/>
      <c r="AK146" s="123" t="s">
        <v>433</v>
      </c>
      <c r="AL146" s="123" t="s">
        <v>449</v>
      </c>
      <c r="AM146" s="123" t="str">
        <f t="shared" si="13"/>
        <v>Droguería-Depende de la Provisión</v>
      </c>
      <c r="AN146" s="38"/>
      <c r="AO146" s="38">
        <v>1</v>
      </c>
      <c r="AP146" s="38">
        <v>2</v>
      </c>
      <c r="AQ146" s="38"/>
      <c r="AR146" s="38">
        <v>2</v>
      </c>
      <c r="AS146" s="38"/>
      <c r="AT146" s="38">
        <v>3</v>
      </c>
      <c r="AU146" s="38"/>
      <c r="AV146" s="38">
        <v>1</v>
      </c>
      <c r="AW146" s="38"/>
      <c r="AX146" s="38">
        <v>1</v>
      </c>
      <c r="AY146" s="38"/>
      <c r="AZ146" s="38">
        <v>1</v>
      </c>
      <c r="BA146" s="38"/>
      <c r="BB146" s="38">
        <v>6</v>
      </c>
      <c r="BC146" s="38"/>
      <c r="BD146" s="38">
        <v>4</v>
      </c>
      <c r="BE146" s="38"/>
      <c r="BF146" s="38">
        <v>6</v>
      </c>
      <c r="BG146" s="38"/>
      <c r="BH146" s="38">
        <v>3</v>
      </c>
      <c r="BI146" s="38" t="s">
        <v>80</v>
      </c>
      <c r="BJ146" s="38" t="s">
        <v>107</v>
      </c>
      <c r="BK146" s="38">
        <v>1</v>
      </c>
      <c r="BL146" s="38"/>
      <c r="BM146" s="40" t="s">
        <v>139</v>
      </c>
      <c r="BN146" s="40">
        <v>3202829779</v>
      </c>
      <c r="BO146" s="40"/>
      <c r="BP146" s="42" t="s">
        <v>83</v>
      </c>
    </row>
    <row r="147" spans="1:68" x14ac:dyDescent="0.25">
      <c r="A147" s="43"/>
      <c r="B147" s="44"/>
      <c r="C147" s="45"/>
      <c r="D147" s="58"/>
      <c r="E147" s="58"/>
      <c r="F147" s="58"/>
      <c r="G147" s="58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124" t="s">
        <v>434</v>
      </c>
      <c r="AA147" s="124" t="s">
        <v>437</v>
      </c>
      <c r="AB147" s="124" t="str">
        <f t="shared" si="14"/>
        <v>Aseo Personal-Diario</v>
      </c>
      <c r="AC147" s="39"/>
      <c r="AD147" s="39"/>
      <c r="AE147" s="124"/>
      <c r="AF147" s="124"/>
      <c r="AG147" s="124" t="str">
        <f t="shared" si="12"/>
        <v>-</v>
      </c>
      <c r="AH147" s="124"/>
      <c r="AI147" s="59"/>
      <c r="AJ147" s="39"/>
      <c r="AK147" s="124" t="s">
        <v>435</v>
      </c>
      <c r="AL147" s="124" t="s">
        <v>436</v>
      </c>
      <c r="AM147" s="124" t="str">
        <f t="shared" si="13"/>
        <v>Dulces y Paquetes-Semanal</v>
      </c>
      <c r="AN147" s="39"/>
      <c r="AO147" s="39"/>
      <c r="AP147" s="39"/>
      <c r="AQ147" s="39"/>
      <c r="AR147" s="39"/>
      <c r="AS147" s="39"/>
      <c r="AT147" s="39"/>
      <c r="AU147" s="39"/>
      <c r="AV147" s="39"/>
      <c r="AW147" s="39"/>
      <c r="AX147" s="39"/>
      <c r="AY147" s="39"/>
      <c r="AZ147" s="39"/>
      <c r="BA147" s="39"/>
      <c r="BB147" s="39"/>
      <c r="BC147" s="39"/>
      <c r="BD147" s="39"/>
      <c r="BE147" s="39"/>
      <c r="BF147" s="39"/>
      <c r="BG147" s="39"/>
      <c r="BH147" s="39"/>
      <c r="BI147" s="39"/>
      <c r="BJ147" s="39"/>
      <c r="BK147" s="39"/>
      <c r="BL147" s="39"/>
      <c r="BM147" s="46"/>
      <c r="BN147" s="46"/>
      <c r="BO147" s="46"/>
      <c r="BP147" s="48"/>
    </row>
    <row r="148" spans="1:68" x14ac:dyDescent="0.25">
      <c r="A148" s="43"/>
      <c r="B148" s="44"/>
      <c r="C148" s="45"/>
      <c r="D148" s="58"/>
      <c r="E148" s="58"/>
      <c r="F148" s="58"/>
      <c r="G148" s="58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124" t="s">
        <v>77</v>
      </c>
      <c r="AA148" s="124" t="s">
        <v>437</v>
      </c>
      <c r="AB148" s="124" t="str">
        <f t="shared" si="14"/>
        <v>Limpieza-Diario</v>
      </c>
      <c r="AC148" s="39"/>
      <c r="AD148" s="39"/>
      <c r="AE148" s="124"/>
      <c r="AF148" s="124"/>
      <c r="AG148" s="124" t="str">
        <f t="shared" si="12"/>
        <v>-</v>
      </c>
      <c r="AH148" s="124"/>
      <c r="AI148" s="59"/>
      <c r="AJ148" s="39"/>
      <c r="AK148" s="124" t="s">
        <v>434</v>
      </c>
      <c r="AL148" s="124" t="s">
        <v>436</v>
      </c>
      <c r="AM148" s="124" t="str">
        <f t="shared" si="13"/>
        <v>Aseo Personal-Semanal</v>
      </c>
      <c r="AN148" s="39"/>
      <c r="AO148" s="39"/>
      <c r="AP148" s="39"/>
      <c r="AQ148" s="39"/>
      <c r="AR148" s="39"/>
      <c r="AS148" s="39"/>
      <c r="AT148" s="39"/>
      <c r="AU148" s="39"/>
      <c r="AV148" s="39"/>
      <c r="AW148" s="39"/>
      <c r="AX148" s="39"/>
      <c r="AY148" s="39"/>
      <c r="AZ148" s="39"/>
      <c r="BA148" s="39"/>
      <c r="BB148" s="39"/>
      <c r="BC148" s="39"/>
      <c r="BD148" s="39"/>
      <c r="BE148" s="39"/>
      <c r="BF148" s="39"/>
      <c r="BG148" s="39"/>
      <c r="BH148" s="39"/>
      <c r="BI148" s="39"/>
      <c r="BJ148" s="39"/>
      <c r="BK148" s="39"/>
      <c r="BL148" s="39"/>
      <c r="BM148" s="46"/>
      <c r="BN148" s="46"/>
      <c r="BO148" s="46"/>
      <c r="BP148" s="48"/>
    </row>
    <row r="149" spans="1:68" x14ac:dyDescent="0.25">
      <c r="A149" s="49"/>
      <c r="B149" s="50"/>
      <c r="C149" s="51"/>
      <c r="D149" s="60"/>
      <c r="E149" s="60"/>
      <c r="F149" s="60"/>
      <c r="G149" s="60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125" t="s">
        <v>435</v>
      </c>
      <c r="AA149" s="125" t="s">
        <v>437</v>
      </c>
      <c r="AB149" s="125" t="str">
        <f t="shared" si="14"/>
        <v>Dulces y Paquetes-Diario</v>
      </c>
      <c r="AC149" s="7"/>
      <c r="AD149" s="7"/>
      <c r="AE149" s="125"/>
      <c r="AF149" s="125"/>
      <c r="AG149" s="125" t="str">
        <f t="shared" si="12"/>
        <v>-</v>
      </c>
      <c r="AH149" s="125"/>
      <c r="AI149" s="61"/>
      <c r="AJ149" s="7"/>
      <c r="AK149" s="125" t="s">
        <v>77</v>
      </c>
      <c r="AL149" s="125" t="s">
        <v>436</v>
      </c>
      <c r="AM149" s="125" t="str">
        <f t="shared" si="13"/>
        <v>Limpieza-Semanal</v>
      </c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52"/>
      <c r="BN149" s="52"/>
      <c r="BO149" s="52"/>
      <c r="BP149" s="54"/>
    </row>
    <row r="150" spans="1:68" x14ac:dyDescent="0.25">
      <c r="A150" s="35">
        <v>38</v>
      </c>
      <c r="B150" s="36">
        <v>44804</v>
      </c>
      <c r="C150" s="37" t="s">
        <v>242</v>
      </c>
      <c r="D150" s="56">
        <v>1</v>
      </c>
      <c r="E150" s="56">
        <v>1</v>
      </c>
      <c r="F150" s="56">
        <v>1</v>
      </c>
      <c r="G150" s="56">
        <v>12</v>
      </c>
      <c r="H150" s="57">
        <v>4</v>
      </c>
      <c r="I150" s="57">
        <v>2</v>
      </c>
      <c r="J150" s="57">
        <v>2</v>
      </c>
      <c r="K150" s="57">
        <v>1</v>
      </c>
      <c r="L150" s="57">
        <v>1</v>
      </c>
      <c r="M150" s="57">
        <v>3</v>
      </c>
      <c r="N150" s="57">
        <v>3</v>
      </c>
      <c r="O150" s="57">
        <v>1</v>
      </c>
      <c r="P150" s="57"/>
      <c r="Q150" s="57">
        <v>2</v>
      </c>
      <c r="R150" s="57" t="s">
        <v>227</v>
      </c>
      <c r="S150" s="57" t="s">
        <v>243</v>
      </c>
      <c r="T150" s="57" t="s">
        <v>244</v>
      </c>
      <c r="U150" s="57"/>
      <c r="V150" s="57" t="s">
        <v>303</v>
      </c>
      <c r="W150" s="57" t="s">
        <v>76</v>
      </c>
      <c r="X150" s="57" t="s">
        <v>96</v>
      </c>
      <c r="Y150" s="57"/>
      <c r="Z150" s="123" t="s">
        <v>433</v>
      </c>
      <c r="AA150" s="123" t="s">
        <v>436</v>
      </c>
      <c r="AB150" s="123" t="str">
        <f t="shared" si="14"/>
        <v>Droguería-Semanal</v>
      </c>
      <c r="AC150" s="38" t="s">
        <v>89</v>
      </c>
      <c r="AD150" s="38" t="s">
        <v>245</v>
      </c>
      <c r="AE150" s="123" t="s">
        <v>178</v>
      </c>
      <c r="AF150" s="123"/>
      <c r="AG150" s="123" t="str">
        <f t="shared" si="12"/>
        <v>Promociones-</v>
      </c>
      <c r="AH150" s="123" t="s">
        <v>552</v>
      </c>
      <c r="AI150" s="57">
        <v>2</v>
      </c>
      <c r="AJ150" s="38" t="s">
        <v>246</v>
      </c>
      <c r="AK150" s="123" t="s">
        <v>433</v>
      </c>
      <c r="AL150" s="123" t="s">
        <v>442</v>
      </c>
      <c r="AM150" s="123" t="str">
        <f t="shared" si="13"/>
        <v>Droguería-Mensual</v>
      </c>
      <c r="AN150" s="38" t="s">
        <v>100</v>
      </c>
      <c r="AO150" s="38">
        <v>1</v>
      </c>
      <c r="AP150" s="38">
        <v>2</v>
      </c>
      <c r="AQ150" s="38"/>
      <c r="AR150" s="38">
        <v>2</v>
      </c>
      <c r="AS150" s="38" t="s">
        <v>205</v>
      </c>
      <c r="AT150" s="38">
        <v>2</v>
      </c>
      <c r="AU150" s="38"/>
      <c r="AV150" s="38">
        <v>2</v>
      </c>
      <c r="AW150" s="38"/>
      <c r="AX150" s="38">
        <v>2</v>
      </c>
      <c r="AY150" s="38"/>
      <c r="AZ150" s="38">
        <v>2</v>
      </c>
      <c r="BA150" s="38"/>
      <c r="BB150" s="38">
        <v>6</v>
      </c>
      <c r="BC150" s="38"/>
      <c r="BD150" s="38">
        <v>7</v>
      </c>
      <c r="BE150" s="38"/>
      <c r="BF150" s="38">
        <v>4</v>
      </c>
      <c r="BG150" s="38"/>
      <c r="BH150" s="38">
        <v>3</v>
      </c>
      <c r="BI150" s="38" t="s">
        <v>78</v>
      </c>
      <c r="BJ150" s="38" t="s">
        <v>107</v>
      </c>
      <c r="BK150" s="38">
        <v>4</v>
      </c>
      <c r="BL150" s="38"/>
      <c r="BM150" s="40"/>
      <c r="BN150" s="40">
        <v>3125309644</v>
      </c>
      <c r="BO150" s="40"/>
      <c r="BP150" s="42" t="s">
        <v>84</v>
      </c>
    </row>
    <row r="151" spans="1:68" x14ac:dyDescent="0.25">
      <c r="A151" s="43"/>
      <c r="B151" s="44"/>
      <c r="C151" s="45"/>
      <c r="D151" s="58"/>
      <c r="E151" s="58"/>
      <c r="F151" s="58"/>
      <c r="G151" s="58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124" t="s">
        <v>434</v>
      </c>
      <c r="AA151" s="124" t="s">
        <v>437</v>
      </c>
      <c r="AB151" s="124" t="str">
        <f t="shared" si="14"/>
        <v>Aseo Personal-Diario</v>
      </c>
      <c r="AC151" s="39"/>
      <c r="AD151" s="39"/>
      <c r="AE151" s="124" t="s">
        <v>441</v>
      </c>
      <c r="AF151" s="124" t="s">
        <v>437</v>
      </c>
      <c r="AG151" s="124" t="str">
        <f t="shared" si="12"/>
        <v>Atención al Cliente-Diario</v>
      </c>
      <c r="AH151" s="124" t="s">
        <v>446</v>
      </c>
      <c r="AI151" s="59"/>
      <c r="AJ151" s="39"/>
      <c r="AK151" s="124" t="s">
        <v>435</v>
      </c>
      <c r="AL151" s="124" t="s">
        <v>436</v>
      </c>
      <c r="AM151" s="124" t="str">
        <f t="shared" si="13"/>
        <v>Dulces y Paquetes-Semanal</v>
      </c>
      <c r="AN151" s="39"/>
      <c r="AO151" s="39"/>
      <c r="AP151" s="39"/>
      <c r="AQ151" s="39"/>
      <c r="AR151" s="39"/>
      <c r="AS151" s="39"/>
      <c r="AT151" s="39"/>
      <c r="AU151" s="39"/>
      <c r="AV151" s="39"/>
      <c r="AW151" s="39"/>
      <c r="AX151" s="39"/>
      <c r="AY151" s="39"/>
      <c r="AZ151" s="39"/>
      <c r="BA151" s="39"/>
      <c r="BB151" s="39"/>
      <c r="BC151" s="39"/>
      <c r="BD151" s="39"/>
      <c r="BE151" s="39"/>
      <c r="BF151" s="39"/>
      <c r="BG151" s="39"/>
      <c r="BH151" s="39"/>
      <c r="BI151" s="39"/>
      <c r="BJ151" s="39"/>
      <c r="BK151" s="39"/>
      <c r="BL151" s="39"/>
      <c r="BM151" s="46"/>
      <c r="BN151" s="46"/>
      <c r="BO151" s="46"/>
      <c r="BP151" s="48"/>
    </row>
    <row r="152" spans="1:68" x14ac:dyDescent="0.25">
      <c r="A152" s="43"/>
      <c r="B152" s="44"/>
      <c r="C152" s="45"/>
      <c r="D152" s="58"/>
      <c r="E152" s="58"/>
      <c r="F152" s="58"/>
      <c r="G152" s="58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124" t="s">
        <v>77</v>
      </c>
      <c r="AA152" s="124" t="s">
        <v>437</v>
      </c>
      <c r="AB152" s="124" t="str">
        <f t="shared" si="14"/>
        <v>Limpieza-Diario</v>
      </c>
      <c r="AC152" s="39"/>
      <c r="AD152" s="39"/>
      <c r="AE152" s="124"/>
      <c r="AF152" s="124"/>
      <c r="AG152" s="124" t="str">
        <f t="shared" si="12"/>
        <v>-</v>
      </c>
      <c r="AH152" s="124"/>
      <c r="AI152" s="59"/>
      <c r="AJ152" s="39"/>
      <c r="AK152" s="124" t="s">
        <v>434</v>
      </c>
      <c r="AL152" s="124" t="s">
        <v>509</v>
      </c>
      <c r="AM152" s="124" t="str">
        <f t="shared" si="13"/>
        <v>Aseo Personal-Quincenal</v>
      </c>
      <c r="AN152" s="39"/>
      <c r="AO152" s="39"/>
      <c r="AP152" s="39"/>
      <c r="AQ152" s="39"/>
      <c r="AR152" s="39"/>
      <c r="AS152" s="39"/>
      <c r="AT152" s="39"/>
      <c r="AU152" s="39"/>
      <c r="AV152" s="39"/>
      <c r="AW152" s="39"/>
      <c r="AX152" s="39"/>
      <c r="AY152" s="39"/>
      <c r="AZ152" s="39"/>
      <c r="BA152" s="39"/>
      <c r="BB152" s="39"/>
      <c r="BC152" s="39"/>
      <c r="BD152" s="39"/>
      <c r="BE152" s="39"/>
      <c r="BF152" s="39"/>
      <c r="BG152" s="39"/>
      <c r="BH152" s="39"/>
      <c r="BI152" s="39"/>
      <c r="BJ152" s="39"/>
      <c r="BK152" s="39"/>
      <c r="BL152" s="39"/>
      <c r="BM152" s="46"/>
      <c r="BN152" s="46"/>
      <c r="BO152" s="46"/>
      <c r="BP152" s="48"/>
    </row>
    <row r="153" spans="1:68" x14ac:dyDescent="0.25">
      <c r="A153" s="49"/>
      <c r="B153" s="50"/>
      <c r="C153" s="51"/>
      <c r="D153" s="60"/>
      <c r="E153" s="60"/>
      <c r="F153" s="60"/>
      <c r="G153" s="60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125" t="s">
        <v>435</v>
      </c>
      <c r="AA153" s="125" t="s">
        <v>437</v>
      </c>
      <c r="AB153" s="125" t="str">
        <f t="shared" si="14"/>
        <v>Dulces y Paquetes-Diario</v>
      </c>
      <c r="AC153" s="7"/>
      <c r="AD153" s="7"/>
      <c r="AE153" s="125"/>
      <c r="AF153" s="125"/>
      <c r="AG153" s="125" t="str">
        <f t="shared" si="12"/>
        <v>-</v>
      </c>
      <c r="AH153" s="125"/>
      <c r="AI153" s="61"/>
      <c r="AJ153" s="7"/>
      <c r="AK153" s="125" t="s">
        <v>77</v>
      </c>
      <c r="AL153" s="125" t="s">
        <v>509</v>
      </c>
      <c r="AM153" s="125" t="str">
        <f t="shared" si="13"/>
        <v>Limpieza-Quincenal</v>
      </c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52"/>
      <c r="BN153" s="52"/>
      <c r="BO153" s="52"/>
      <c r="BP153" s="54"/>
    </row>
    <row r="154" spans="1:68" x14ac:dyDescent="0.25">
      <c r="A154" s="35">
        <v>39</v>
      </c>
      <c r="B154" s="36">
        <v>44802</v>
      </c>
      <c r="C154" s="37" t="s">
        <v>247</v>
      </c>
      <c r="D154" s="56">
        <v>1</v>
      </c>
      <c r="E154" s="56">
        <v>2</v>
      </c>
      <c r="F154" s="56">
        <v>1</v>
      </c>
      <c r="G154" s="56">
        <v>12</v>
      </c>
      <c r="H154" s="57">
        <v>2</v>
      </c>
      <c r="I154" s="57">
        <v>1</v>
      </c>
      <c r="J154" s="57">
        <v>1</v>
      </c>
      <c r="K154" s="57">
        <v>1</v>
      </c>
      <c r="L154" s="57">
        <v>1</v>
      </c>
      <c r="M154" s="57">
        <v>2</v>
      </c>
      <c r="N154" s="57">
        <v>3</v>
      </c>
      <c r="O154" s="57">
        <v>1</v>
      </c>
      <c r="P154" s="57"/>
      <c r="Q154" s="57">
        <v>2</v>
      </c>
      <c r="R154" s="57" t="s">
        <v>248</v>
      </c>
      <c r="S154" s="57"/>
      <c r="T154" s="57"/>
      <c r="U154" s="57" t="s">
        <v>0</v>
      </c>
      <c r="V154" s="57" t="s">
        <v>249</v>
      </c>
      <c r="W154" s="57" t="s">
        <v>0</v>
      </c>
      <c r="X154" s="57"/>
      <c r="Y154" s="57"/>
      <c r="Z154" s="123" t="s">
        <v>434</v>
      </c>
      <c r="AA154" s="123"/>
      <c r="AB154" s="123"/>
      <c r="AC154" s="38" t="s">
        <v>250</v>
      </c>
      <c r="AD154" s="38" t="s">
        <v>236</v>
      </c>
      <c r="AE154" s="123" t="s">
        <v>440</v>
      </c>
      <c r="AF154" s="123"/>
      <c r="AG154" s="123" t="str">
        <f t="shared" si="12"/>
        <v>Domicilios-</v>
      </c>
      <c r="AH154" s="123" t="s">
        <v>581</v>
      </c>
      <c r="AI154" s="57">
        <v>1</v>
      </c>
      <c r="AJ154" s="38" t="s">
        <v>251</v>
      </c>
      <c r="AK154" s="123" t="s">
        <v>551</v>
      </c>
      <c r="AL154" s="123" t="s">
        <v>509</v>
      </c>
      <c r="AM154" s="123" t="str">
        <f t="shared" si="13"/>
        <v>Farmacia-Quincenal</v>
      </c>
      <c r="AN154" s="38" t="s">
        <v>252</v>
      </c>
      <c r="AO154" s="38">
        <v>1</v>
      </c>
      <c r="AP154" s="38">
        <v>1</v>
      </c>
      <c r="AQ154" s="38"/>
      <c r="AR154" s="38">
        <v>2</v>
      </c>
      <c r="AS154" s="38" t="s">
        <v>116</v>
      </c>
      <c r="AT154" s="38">
        <v>3</v>
      </c>
      <c r="AU154" s="38"/>
      <c r="AV154" s="38">
        <v>1</v>
      </c>
      <c r="AW154" s="38"/>
      <c r="AX154" s="38">
        <v>2</v>
      </c>
      <c r="AY154" s="38"/>
      <c r="AZ154" s="38">
        <v>2</v>
      </c>
      <c r="BA154" s="38"/>
      <c r="BB154" s="38">
        <v>4</v>
      </c>
      <c r="BC154" s="38"/>
      <c r="BD154" s="38">
        <v>1</v>
      </c>
      <c r="BE154" s="38"/>
      <c r="BF154" s="38">
        <v>3</v>
      </c>
      <c r="BG154" s="38"/>
      <c r="BH154" s="38">
        <v>1</v>
      </c>
      <c r="BI154" s="38" t="s">
        <v>136</v>
      </c>
      <c r="BJ154" s="38" t="s">
        <v>154</v>
      </c>
      <c r="BK154" s="38">
        <v>3</v>
      </c>
      <c r="BL154" s="38"/>
      <c r="BM154" s="40" t="s">
        <v>253</v>
      </c>
      <c r="BN154" s="40">
        <v>3023264101</v>
      </c>
      <c r="BO154" s="41" t="s">
        <v>254</v>
      </c>
      <c r="BP154" s="42" t="s">
        <v>83</v>
      </c>
    </row>
    <row r="155" spans="1:68" x14ac:dyDescent="0.25">
      <c r="A155" s="43"/>
      <c r="B155" s="44"/>
      <c r="C155" s="45"/>
      <c r="D155" s="58"/>
      <c r="E155" s="58"/>
      <c r="F155" s="58"/>
      <c r="G155" s="58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124"/>
      <c r="AA155" s="124"/>
      <c r="AB155" s="124"/>
      <c r="AC155" s="39"/>
      <c r="AD155" s="39"/>
      <c r="AE155" s="124"/>
      <c r="AF155" s="124"/>
      <c r="AG155" s="124" t="str">
        <f t="shared" si="12"/>
        <v>-</v>
      </c>
      <c r="AH155" s="124"/>
      <c r="AI155" s="59"/>
      <c r="AJ155" s="39"/>
      <c r="AK155" s="124" t="s">
        <v>433</v>
      </c>
      <c r="AL155" s="124" t="s">
        <v>509</v>
      </c>
      <c r="AM155" s="124" t="str">
        <f t="shared" si="13"/>
        <v>Droguería-Quincenal</v>
      </c>
      <c r="AN155" s="39"/>
      <c r="AO155" s="39"/>
      <c r="AP155" s="39"/>
      <c r="AQ155" s="39"/>
      <c r="AR155" s="39"/>
      <c r="AS155" s="39"/>
      <c r="AT155" s="39"/>
      <c r="AU155" s="39"/>
      <c r="AV155" s="39"/>
      <c r="AW155" s="39"/>
      <c r="AX155" s="39"/>
      <c r="AY155" s="39"/>
      <c r="AZ155" s="39"/>
      <c r="BA155" s="39"/>
      <c r="BB155" s="39"/>
      <c r="BC155" s="39"/>
      <c r="BD155" s="39"/>
      <c r="BE155" s="39"/>
      <c r="BF155" s="39"/>
      <c r="BG155" s="39"/>
      <c r="BH155" s="39"/>
      <c r="BI155" s="39"/>
      <c r="BJ155" s="39"/>
      <c r="BK155" s="39"/>
      <c r="BL155" s="39"/>
      <c r="BM155" s="46"/>
      <c r="BN155" s="46"/>
      <c r="BO155" s="47"/>
      <c r="BP155" s="48"/>
    </row>
    <row r="156" spans="1:68" x14ac:dyDescent="0.25">
      <c r="A156" s="43"/>
      <c r="B156" s="44"/>
      <c r="C156" s="45"/>
      <c r="D156" s="58"/>
      <c r="E156" s="58"/>
      <c r="F156" s="58"/>
      <c r="G156" s="58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124"/>
      <c r="AA156" s="124"/>
      <c r="AB156" s="124"/>
      <c r="AC156" s="39"/>
      <c r="AD156" s="39"/>
      <c r="AE156" s="124"/>
      <c r="AF156" s="124"/>
      <c r="AG156" s="124" t="str">
        <f t="shared" si="12"/>
        <v>-</v>
      </c>
      <c r="AH156" s="124"/>
      <c r="AI156" s="59"/>
      <c r="AJ156" s="39"/>
      <c r="AK156" s="124" t="s">
        <v>435</v>
      </c>
      <c r="AL156" s="124" t="s">
        <v>442</v>
      </c>
      <c r="AM156" s="124" t="str">
        <f t="shared" si="13"/>
        <v>Dulces y Paquetes-Mensual</v>
      </c>
      <c r="AN156" s="39"/>
      <c r="AO156" s="39"/>
      <c r="AP156" s="39"/>
      <c r="AQ156" s="39"/>
      <c r="AR156" s="39"/>
      <c r="AS156" s="39"/>
      <c r="AT156" s="39"/>
      <c r="AU156" s="39"/>
      <c r="AV156" s="39"/>
      <c r="AW156" s="39"/>
      <c r="AX156" s="39"/>
      <c r="AY156" s="39"/>
      <c r="AZ156" s="39"/>
      <c r="BA156" s="39"/>
      <c r="BB156" s="39"/>
      <c r="BC156" s="39"/>
      <c r="BD156" s="39"/>
      <c r="BE156" s="39"/>
      <c r="BF156" s="39"/>
      <c r="BG156" s="39"/>
      <c r="BH156" s="39"/>
      <c r="BI156" s="39"/>
      <c r="BJ156" s="39"/>
      <c r="BK156" s="39"/>
      <c r="BL156" s="39"/>
      <c r="BM156" s="46"/>
      <c r="BN156" s="46"/>
      <c r="BO156" s="47"/>
      <c r="BP156" s="48"/>
    </row>
    <row r="157" spans="1:68" x14ac:dyDescent="0.25">
      <c r="A157" s="43"/>
      <c r="B157" s="44"/>
      <c r="C157" s="45"/>
      <c r="D157" s="58"/>
      <c r="E157" s="58"/>
      <c r="F157" s="58"/>
      <c r="G157" s="58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124"/>
      <c r="AA157" s="124"/>
      <c r="AB157" s="124"/>
      <c r="AC157" s="39"/>
      <c r="AD157" s="39"/>
      <c r="AE157" s="124"/>
      <c r="AF157" s="124"/>
      <c r="AG157" s="124" t="str">
        <f t="shared" si="12"/>
        <v>-</v>
      </c>
      <c r="AH157" s="124"/>
      <c r="AI157" s="59"/>
      <c r="AJ157" s="39"/>
      <c r="AK157" s="124" t="s">
        <v>434</v>
      </c>
      <c r="AL157" s="124" t="s">
        <v>442</v>
      </c>
      <c r="AM157" s="124" t="str">
        <f t="shared" si="13"/>
        <v>Aseo Personal-Mensual</v>
      </c>
      <c r="AN157" s="39"/>
      <c r="AO157" s="39"/>
      <c r="AP157" s="39"/>
      <c r="AQ157" s="39"/>
      <c r="AR157" s="39"/>
      <c r="AS157" s="39"/>
      <c r="AT157" s="39"/>
      <c r="AU157" s="39"/>
      <c r="AV157" s="39"/>
      <c r="AW157" s="39"/>
      <c r="AX157" s="39"/>
      <c r="AY157" s="39"/>
      <c r="AZ157" s="39"/>
      <c r="BA157" s="39"/>
      <c r="BB157" s="39"/>
      <c r="BC157" s="39"/>
      <c r="BD157" s="39"/>
      <c r="BE157" s="39"/>
      <c r="BF157" s="39"/>
      <c r="BG157" s="39"/>
      <c r="BH157" s="39"/>
      <c r="BI157" s="39"/>
      <c r="BJ157" s="39"/>
      <c r="BK157" s="39"/>
      <c r="BL157" s="39"/>
      <c r="BM157" s="46"/>
      <c r="BN157" s="46"/>
      <c r="BO157" s="47"/>
      <c r="BP157" s="48"/>
    </row>
    <row r="158" spans="1:68" x14ac:dyDescent="0.25">
      <c r="A158" s="49"/>
      <c r="B158" s="50"/>
      <c r="C158" s="51"/>
      <c r="D158" s="60"/>
      <c r="E158" s="60"/>
      <c r="F158" s="60"/>
      <c r="G158" s="60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125"/>
      <c r="AA158" s="125"/>
      <c r="AB158" s="125"/>
      <c r="AC158" s="7"/>
      <c r="AD158" s="7"/>
      <c r="AE158" s="125"/>
      <c r="AF158" s="125"/>
      <c r="AG158" s="125" t="str">
        <f t="shared" si="12"/>
        <v>-</v>
      </c>
      <c r="AH158" s="125"/>
      <c r="AI158" s="61"/>
      <c r="AJ158" s="7"/>
      <c r="AK158" s="125" t="s">
        <v>77</v>
      </c>
      <c r="AL158" s="125" t="s">
        <v>442</v>
      </c>
      <c r="AM158" s="125" t="str">
        <f t="shared" si="13"/>
        <v>Limpieza-Mensual</v>
      </c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52"/>
      <c r="BN158" s="52"/>
      <c r="BO158" s="53"/>
      <c r="BP158" s="54"/>
    </row>
    <row r="159" spans="1:68" x14ac:dyDescent="0.25">
      <c r="A159" s="35">
        <v>40</v>
      </c>
      <c r="B159" s="36">
        <v>44802</v>
      </c>
      <c r="C159" s="37" t="s">
        <v>255</v>
      </c>
      <c r="D159" s="56">
        <v>1</v>
      </c>
      <c r="E159" s="56">
        <v>2</v>
      </c>
      <c r="F159" s="56">
        <v>1</v>
      </c>
      <c r="G159" s="56">
        <v>12</v>
      </c>
      <c r="H159" s="57">
        <v>3</v>
      </c>
      <c r="I159" s="57">
        <v>1</v>
      </c>
      <c r="J159" s="57">
        <v>3</v>
      </c>
      <c r="K159" s="57">
        <v>2</v>
      </c>
      <c r="L159" s="57">
        <v>1</v>
      </c>
      <c r="M159" s="57">
        <v>3</v>
      </c>
      <c r="N159" s="57">
        <v>3</v>
      </c>
      <c r="O159" s="57">
        <v>3</v>
      </c>
      <c r="P159" s="57"/>
      <c r="Q159" s="57">
        <v>2</v>
      </c>
      <c r="R159" s="57" t="s">
        <v>256</v>
      </c>
      <c r="S159" s="57" t="s">
        <v>257</v>
      </c>
      <c r="T159" s="57"/>
      <c r="U159" s="57"/>
      <c r="V159" s="57" t="s">
        <v>125</v>
      </c>
      <c r="W159" s="57" t="s">
        <v>76</v>
      </c>
      <c r="X159" s="57"/>
      <c r="Y159" s="57"/>
      <c r="Z159" s="123" t="s">
        <v>433</v>
      </c>
      <c r="AA159" s="123" t="s">
        <v>436</v>
      </c>
      <c r="AB159" s="123" t="str">
        <f>+CONCATENATE(Z159,"-",AA159)</f>
        <v>Droguería-Semanal</v>
      </c>
      <c r="AC159" s="38" t="s">
        <v>230</v>
      </c>
      <c r="AD159" s="38" t="s">
        <v>78</v>
      </c>
      <c r="AE159" s="123" t="s">
        <v>440</v>
      </c>
      <c r="AF159" s="123" t="s">
        <v>637</v>
      </c>
      <c r="AG159" s="123" t="str">
        <f t="shared" si="12"/>
        <v>Domicilios-Ocasional</v>
      </c>
      <c r="AH159" s="123"/>
      <c r="AI159" s="57">
        <v>2</v>
      </c>
      <c r="AJ159" s="38" t="s">
        <v>258</v>
      </c>
      <c r="AK159" s="123" t="s">
        <v>433</v>
      </c>
      <c r="AL159" s="123" t="s">
        <v>449</v>
      </c>
      <c r="AM159" s="123" t="str">
        <f t="shared" si="13"/>
        <v>Droguería-Depende de la Provisión</v>
      </c>
      <c r="AN159" s="38"/>
      <c r="AO159" s="38">
        <v>1</v>
      </c>
      <c r="AP159" s="38">
        <v>1</v>
      </c>
      <c r="AQ159" s="38"/>
      <c r="AR159" s="38">
        <v>1</v>
      </c>
      <c r="AS159" s="38"/>
      <c r="AT159" s="38">
        <v>3</v>
      </c>
      <c r="AU159" s="38"/>
      <c r="AV159" s="38">
        <v>4</v>
      </c>
      <c r="AW159" s="38"/>
      <c r="AX159" s="38">
        <v>3</v>
      </c>
      <c r="AY159" s="38"/>
      <c r="AZ159" s="38">
        <v>2</v>
      </c>
      <c r="BA159" s="38"/>
      <c r="BB159" s="38">
        <v>3</v>
      </c>
      <c r="BC159" s="38"/>
      <c r="BD159" s="38">
        <v>7</v>
      </c>
      <c r="BE159" s="38"/>
      <c r="BF159" s="38">
        <v>4</v>
      </c>
      <c r="BG159" s="38"/>
      <c r="BH159" s="38">
        <v>3</v>
      </c>
      <c r="BI159" s="38" t="s">
        <v>78</v>
      </c>
      <c r="BJ159" s="38" t="s">
        <v>184</v>
      </c>
      <c r="BK159" s="38">
        <v>3</v>
      </c>
      <c r="BL159" s="38"/>
      <c r="BM159" s="40" t="s">
        <v>259</v>
      </c>
      <c r="BN159" s="40">
        <v>3022623317</v>
      </c>
      <c r="BO159" s="41" t="s">
        <v>260</v>
      </c>
      <c r="BP159" s="42" t="s">
        <v>84</v>
      </c>
    </row>
    <row r="160" spans="1:68" x14ac:dyDescent="0.25">
      <c r="A160" s="43"/>
      <c r="B160" s="44"/>
      <c r="C160" s="45"/>
      <c r="D160" s="58"/>
      <c r="E160" s="58"/>
      <c r="F160" s="58"/>
      <c r="G160" s="58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124" t="s">
        <v>434</v>
      </c>
      <c r="AA160" s="124" t="s">
        <v>509</v>
      </c>
      <c r="AB160" s="124" t="str">
        <f t="shared" ref="AB160:AB169" si="15">+CONCATENATE(Z160,"-",AA160)</f>
        <v>Aseo Personal-Quincenal</v>
      </c>
      <c r="AC160" s="39"/>
      <c r="AD160" s="39"/>
      <c r="AE160" s="124" t="s">
        <v>441</v>
      </c>
      <c r="AF160" s="124" t="s">
        <v>437</v>
      </c>
      <c r="AG160" s="124" t="str">
        <f t="shared" si="12"/>
        <v>Atención al Cliente-Diario</v>
      </c>
      <c r="AH160" s="124" t="s">
        <v>446</v>
      </c>
      <c r="AI160" s="59"/>
      <c r="AJ160" s="39"/>
      <c r="AK160" s="124" t="s">
        <v>435</v>
      </c>
      <c r="AL160" s="124" t="s">
        <v>442</v>
      </c>
      <c r="AM160" s="124" t="str">
        <f t="shared" si="13"/>
        <v>Dulces y Paquetes-Mensual</v>
      </c>
      <c r="AN160" s="39"/>
      <c r="AO160" s="39"/>
      <c r="AP160" s="39"/>
      <c r="AQ160" s="39"/>
      <c r="AR160" s="39"/>
      <c r="AS160" s="39"/>
      <c r="AT160" s="39"/>
      <c r="AU160" s="39"/>
      <c r="AV160" s="39"/>
      <c r="AW160" s="39"/>
      <c r="AX160" s="39"/>
      <c r="AY160" s="39"/>
      <c r="AZ160" s="39"/>
      <c r="BA160" s="39"/>
      <c r="BB160" s="39"/>
      <c r="BC160" s="39"/>
      <c r="BD160" s="39"/>
      <c r="BE160" s="39"/>
      <c r="BF160" s="39"/>
      <c r="BG160" s="39"/>
      <c r="BH160" s="39"/>
      <c r="BI160" s="39"/>
      <c r="BJ160" s="39"/>
      <c r="BK160" s="39"/>
      <c r="BL160" s="39"/>
      <c r="BM160" s="46"/>
      <c r="BN160" s="46"/>
      <c r="BO160" s="47"/>
      <c r="BP160" s="48"/>
    </row>
    <row r="161" spans="1:68" x14ac:dyDescent="0.25">
      <c r="A161" s="43"/>
      <c r="B161" s="44"/>
      <c r="C161" s="45"/>
      <c r="D161" s="58"/>
      <c r="E161" s="58"/>
      <c r="F161" s="58"/>
      <c r="G161" s="58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124" t="s">
        <v>77</v>
      </c>
      <c r="AA161" s="124" t="s">
        <v>509</v>
      </c>
      <c r="AB161" s="124" t="str">
        <f t="shared" si="15"/>
        <v>Limpieza-Quincenal</v>
      </c>
      <c r="AC161" s="39"/>
      <c r="AD161" s="39"/>
      <c r="AE161" s="124"/>
      <c r="AF161" s="124"/>
      <c r="AG161" s="124" t="str">
        <f t="shared" si="12"/>
        <v>-</v>
      </c>
      <c r="AH161" s="124"/>
      <c r="AI161" s="59"/>
      <c r="AJ161" s="39"/>
      <c r="AK161" s="124" t="s">
        <v>434</v>
      </c>
      <c r="AL161" s="124" t="s">
        <v>449</v>
      </c>
      <c r="AM161" s="124" t="str">
        <f t="shared" si="13"/>
        <v>Aseo Personal-Depende de la Provisión</v>
      </c>
      <c r="AN161" s="39"/>
      <c r="AO161" s="39"/>
      <c r="AP161" s="39"/>
      <c r="AQ161" s="39"/>
      <c r="AR161" s="39"/>
      <c r="AS161" s="39"/>
      <c r="AT161" s="39"/>
      <c r="AU161" s="39"/>
      <c r="AV161" s="39"/>
      <c r="AW161" s="39"/>
      <c r="AX161" s="39"/>
      <c r="AY161" s="39"/>
      <c r="AZ161" s="39"/>
      <c r="BA161" s="39"/>
      <c r="BB161" s="39"/>
      <c r="BC161" s="39"/>
      <c r="BD161" s="39"/>
      <c r="BE161" s="39"/>
      <c r="BF161" s="39"/>
      <c r="BG161" s="39"/>
      <c r="BH161" s="39"/>
      <c r="BI161" s="39"/>
      <c r="BJ161" s="39"/>
      <c r="BK161" s="39"/>
      <c r="BL161" s="39"/>
      <c r="BM161" s="46"/>
      <c r="BN161" s="46"/>
      <c r="BO161" s="47"/>
      <c r="BP161" s="48"/>
    </row>
    <row r="162" spans="1:68" x14ac:dyDescent="0.25">
      <c r="A162" s="49"/>
      <c r="B162" s="50"/>
      <c r="C162" s="51"/>
      <c r="D162" s="60"/>
      <c r="E162" s="60"/>
      <c r="F162" s="60"/>
      <c r="G162" s="60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125" t="s">
        <v>435</v>
      </c>
      <c r="AA162" s="125" t="s">
        <v>436</v>
      </c>
      <c r="AB162" s="125" t="str">
        <f t="shared" si="15"/>
        <v>Dulces y Paquetes-Semanal</v>
      </c>
      <c r="AC162" s="7"/>
      <c r="AD162" s="7"/>
      <c r="AE162" s="125"/>
      <c r="AF162" s="125"/>
      <c r="AG162" s="125" t="str">
        <f t="shared" si="12"/>
        <v>-</v>
      </c>
      <c r="AH162" s="125"/>
      <c r="AI162" s="61"/>
      <c r="AJ162" s="7"/>
      <c r="AK162" s="125" t="s">
        <v>77</v>
      </c>
      <c r="AL162" s="125" t="s">
        <v>449</v>
      </c>
      <c r="AM162" s="125" t="str">
        <f t="shared" si="13"/>
        <v>Limpieza-Depende de la Provisión</v>
      </c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52"/>
      <c r="BN162" s="52"/>
      <c r="BO162" s="53"/>
      <c r="BP162" s="54"/>
    </row>
    <row r="163" spans="1:68" x14ac:dyDescent="0.25">
      <c r="A163" s="35">
        <v>41</v>
      </c>
      <c r="B163" s="36">
        <v>44803</v>
      </c>
      <c r="C163" s="37" t="s">
        <v>261</v>
      </c>
      <c r="D163" s="56">
        <v>2</v>
      </c>
      <c r="E163" s="56">
        <v>1</v>
      </c>
      <c r="F163" s="56">
        <v>1</v>
      </c>
      <c r="G163" s="56">
        <v>12</v>
      </c>
      <c r="H163" s="57">
        <v>4</v>
      </c>
      <c r="I163" s="57">
        <v>1</v>
      </c>
      <c r="J163" s="57">
        <v>3</v>
      </c>
      <c r="K163" s="57">
        <v>2</v>
      </c>
      <c r="L163" s="57">
        <v>2</v>
      </c>
      <c r="M163" s="57">
        <v>3</v>
      </c>
      <c r="N163" s="57">
        <v>3</v>
      </c>
      <c r="O163" s="57">
        <v>3</v>
      </c>
      <c r="P163" s="57"/>
      <c r="Q163" s="57">
        <v>3</v>
      </c>
      <c r="R163" s="57" t="s">
        <v>262</v>
      </c>
      <c r="S163" s="57" t="s">
        <v>263</v>
      </c>
      <c r="T163" s="57" t="s">
        <v>264</v>
      </c>
      <c r="U163" s="57"/>
      <c r="V163" s="57" t="s">
        <v>96</v>
      </c>
      <c r="W163" s="57" t="s">
        <v>265</v>
      </c>
      <c r="X163" s="57" t="s">
        <v>125</v>
      </c>
      <c r="Y163" s="57"/>
      <c r="Z163" s="123" t="s">
        <v>433</v>
      </c>
      <c r="AA163" s="123" t="s">
        <v>436</v>
      </c>
      <c r="AB163" s="123" t="str">
        <f t="shared" si="15"/>
        <v>Droguería-Semanal</v>
      </c>
      <c r="AC163" s="38" t="s">
        <v>266</v>
      </c>
      <c r="AD163" s="38" t="s">
        <v>267</v>
      </c>
      <c r="AE163" s="123" t="s">
        <v>178</v>
      </c>
      <c r="AF163" s="123" t="s">
        <v>637</v>
      </c>
      <c r="AG163" s="123" t="str">
        <f t="shared" si="12"/>
        <v>Promociones-Ocasional</v>
      </c>
      <c r="AH163" s="123" t="s">
        <v>549</v>
      </c>
      <c r="AI163" s="57">
        <v>1</v>
      </c>
      <c r="AJ163" s="38" t="s">
        <v>268</v>
      </c>
      <c r="AK163" s="123" t="s">
        <v>433</v>
      </c>
      <c r="AL163" s="123" t="s">
        <v>436</v>
      </c>
      <c r="AM163" s="123" t="str">
        <f t="shared" si="13"/>
        <v>Droguería-Semanal</v>
      </c>
      <c r="AN163" s="38" t="s">
        <v>79</v>
      </c>
      <c r="AO163" s="38">
        <v>4</v>
      </c>
      <c r="AP163" s="38">
        <v>1</v>
      </c>
      <c r="AQ163" s="38"/>
      <c r="AR163" s="38">
        <v>1</v>
      </c>
      <c r="AS163" s="38" t="s">
        <v>101</v>
      </c>
      <c r="AT163" s="38">
        <v>6</v>
      </c>
      <c r="AU163" s="38"/>
      <c r="AV163" s="38">
        <v>5</v>
      </c>
      <c r="AW163" s="38"/>
      <c r="AX163" s="38">
        <v>1</v>
      </c>
      <c r="AY163" s="38"/>
      <c r="AZ163" s="38">
        <v>2</v>
      </c>
      <c r="BA163" s="38"/>
      <c r="BB163" s="38">
        <v>6</v>
      </c>
      <c r="BC163" s="38"/>
      <c r="BD163" s="38">
        <v>7</v>
      </c>
      <c r="BE163" s="38"/>
      <c r="BF163" s="38">
        <v>4</v>
      </c>
      <c r="BG163" s="38"/>
      <c r="BH163" s="38">
        <v>3</v>
      </c>
      <c r="BI163" s="38" t="s">
        <v>136</v>
      </c>
      <c r="BJ163" s="38" t="s">
        <v>214</v>
      </c>
      <c r="BK163" s="38">
        <v>10</v>
      </c>
      <c r="BL163" s="38"/>
      <c r="BM163" s="40" t="s">
        <v>108</v>
      </c>
      <c r="BN163" s="40">
        <v>3142070577</v>
      </c>
      <c r="BO163" s="41" t="s">
        <v>269</v>
      </c>
      <c r="BP163" s="42" t="s">
        <v>84</v>
      </c>
    </row>
    <row r="164" spans="1:68" x14ac:dyDescent="0.25">
      <c r="A164" s="43"/>
      <c r="B164" s="44"/>
      <c r="C164" s="45"/>
      <c r="D164" s="58"/>
      <c r="E164" s="58"/>
      <c r="F164" s="58"/>
      <c r="G164" s="58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124" t="s">
        <v>434</v>
      </c>
      <c r="AA164" s="124" t="s">
        <v>436</v>
      </c>
      <c r="AB164" s="124" t="str">
        <f t="shared" si="15"/>
        <v>Aseo Personal-Semanal</v>
      </c>
      <c r="AC164" s="39"/>
      <c r="AD164" s="39"/>
      <c r="AE164" s="124" t="s">
        <v>440</v>
      </c>
      <c r="AF164" s="124" t="s">
        <v>637</v>
      </c>
      <c r="AG164" s="124" t="str">
        <f t="shared" si="12"/>
        <v>Domicilios-Ocasional</v>
      </c>
      <c r="AH164" s="124" t="s">
        <v>549</v>
      </c>
      <c r="AI164" s="59"/>
      <c r="AJ164" s="39"/>
      <c r="AK164" s="124" t="s">
        <v>435</v>
      </c>
      <c r="AL164" s="124" t="s">
        <v>436</v>
      </c>
      <c r="AM164" s="124" t="str">
        <f t="shared" si="13"/>
        <v>Dulces y Paquetes-Semanal</v>
      </c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"/>
      <c r="BG164" s="39"/>
      <c r="BH164" s="39"/>
      <c r="BI164" s="39"/>
      <c r="BJ164" s="39"/>
      <c r="BK164" s="39"/>
      <c r="BL164" s="39"/>
      <c r="BM164" s="46"/>
      <c r="BN164" s="46"/>
      <c r="BO164" s="47"/>
      <c r="BP164" s="48"/>
    </row>
    <row r="165" spans="1:68" x14ac:dyDescent="0.25">
      <c r="A165" s="43"/>
      <c r="B165" s="44"/>
      <c r="C165" s="45"/>
      <c r="D165" s="58"/>
      <c r="E165" s="58"/>
      <c r="F165" s="58"/>
      <c r="G165" s="58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124" t="s">
        <v>77</v>
      </c>
      <c r="AA165" s="124" t="s">
        <v>509</v>
      </c>
      <c r="AB165" s="124" t="str">
        <f t="shared" si="15"/>
        <v>Limpieza-Quincenal</v>
      </c>
      <c r="AC165" s="39"/>
      <c r="AD165" s="39"/>
      <c r="AE165" s="124" t="s">
        <v>441</v>
      </c>
      <c r="AF165" s="124" t="s">
        <v>437</v>
      </c>
      <c r="AG165" s="124" t="str">
        <f t="shared" si="12"/>
        <v>Atención al Cliente-Diario</v>
      </c>
      <c r="AH165" s="124"/>
      <c r="AI165" s="59"/>
      <c r="AJ165" s="39"/>
      <c r="AK165" s="124" t="s">
        <v>434</v>
      </c>
      <c r="AL165" s="124" t="s">
        <v>509</v>
      </c>
      <c r="AM165" s="124" t="str">
        <f t="shared" si="13"/>
        <v>Aseo Personal-Quincenal</v>
      </c>
      <c r="AN165" s="39"/>
      <c r="AO165" s="39"/>
      <c r="AP165" s="39"/>
      <c r="AQ165" s="39"/>
      <c r="AR165" s="39"/>
      <c r="AS165" s="39"/>
      <c r="AT165" s="39"/>
      <c r="AU165" s="39"/>
      <c r="AV165" s="39"/>
      <c r="AW165" s="39"/>
      <c r="AX165" s="39"/>
      <c r="AY165" s="39"/>
      <c r="AZ165" s="39"/>
      <c r="BA165" s="39"/>
      <c r="BB165" s="39"/>
      <c r="BC165" s="39"/>
      <c r="BD165" s="39"/>
      <c r="BE165" s="39"/>
      <c r="BF165" s="39"/>
      <c r="BG165" s="39"/>
      <c r="BH165" s="39"/>
      <c r="BI165" s="39"/>
      <c r="BJ165" s="39"/>
      <c r="BK165" s="39"/>
      <c r="BL165" s="39"/>
      <c r="BM165" s="46"/>
      <c r="BN165" s="46"/>
      <c r="BO165" s="47"/>
      <c r="BP165" s="48"/>
    </row>
    <row r="166" spans="1:68" x14ac:dyDescent="0.25">
      <c r="A166" s="49"/>
      <c r="B166" s="50"/>
      <c r="C166" s="51"/>
      <c r="D166" s="60"/>
      <c r="E166" s="60"/>
      <c r="F166" s="60"/>
      <c r="G166" s="60"/>
      <c r="H166" s="61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125" t="s">
        <v>435</v>
      </c>
      <c r="AA166" s="125" t="s">
        <v>437</v>
      </c>
      <c r="AB166" s="125" t="str">
        <f t="shared" si="15"/>
        <v>Dulces y Paquetes-Diario</v>
      </c>
      <c r="AC166" s="7"/>
      <c r="AD166" s="7"/>
      <c r="AE166" s="125"/>
      <c r="AF166" s="125"/>
      <c r="AG166" s="125" t="str">
        <f t="shared" si="12"/>
        <v>-</v>
      </c>
      <c r="AH166" s="125"/>
      <c r="AI166" s="61"/>
      <c r="AJ166" s="7"/>
      <c r="AK166" s="125" t="s">
        <v>77</v>
      </c>
      <c r="AL166" s="125" t="s">
        <v>509</v>
      </c>
      <c r="AM166" s="125" t="str">
        <f t="shared" si="13"/>
        <v>Limpieza-Quincenal</v>
      </c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52"/>
      <c r="BN166" s="52"/>
      <c r="BO166" s="53"/>
      <c r="BP166" s="54"/>
    </row>
    <row r="167" spans="1:68" x14ac:dyDescent="0.25">
      <c r="A167" s="35">
        <v>42</v>
      </c>
      <c r="B167" s="36">
        <v>44804</v>
      </c>
      <c r="C167" s="37" t="s">
        <v>270</v>
      </c>
      <c r="D167" s="56">
        <v>2</v>
      </c>
      <c r="E167" s="56">
        <v>2</v>
      </c>
      <c r="F167" s="56">
        <v>1</v>
      </c>
      <c r="G167" s="56">
        <v>12</v>
      </c>
      <c r="H167" s="57">
        <v>2</v>
      </c>
      <c r="I167" s="57">
        <v>1</v>
      </c>
      <c r="J167" s="57">
        <v>3</v>
      </c>
      <c r="K167" s="57">
        <v>2</v>
      </c>
      <c r="L167" s="57">
        <v>1</v>
      </c>
      <c r="M167" s="57">
        <v>3</v>
      </c>
      <c r="N167" s="57">
        <v>3</v>
      </c>
      <c r="O167" s="57">
        <v>3</v>
      </c>
      <c r="P167" s="57"/>
      <c r="Q167" s="57">
        <v>2</v>
      </c>
      <c r="R167" s="57" t="s">
        <v>93</v>
      </c>
      <c r="S167" s="57" t="s">
        <v>120</v>
      </c>
      <c r="T167" s="57" t="s">
        <v>88</v>
      </c>
      <c r="U167" s="57" t="s">
        <v>123</v>
      </c>
      <c r="V167" s="57" t="s">
        <v>95</v>
      </c>
      <c r="W167" s="57" t="s">
        <v>79</v>
      </c>
      <c r="X167" s="57" t="s">
        <v>90</v>
      </c>
      <c r="Y167" s="57" t="s">
        <v>74</v>
      </c>
      <c r="Z167" s="123" t="s">
        <v>434</v>
      </c>
      <c r="AA167" s="123" t="s">
        <v>509</v>
      </c>
      <c r="AB167" s="123" t="str">
        <f t="shared" si="15"/>
        <v>Aseo Personal-Quincenal</v>
      </c>
      <c r="AC167" s="38" t="s">
        <v>568</v>
      </c>
      <c r="AD167" s="38" t="s">
        <v>78</v>
      </c>
      <c r="AE167" s="123" t="s">
        <v>178</v>
      </c>
      <c r="AF167" s="123" t="s">
        <v>436</v>
      </c>
      <c r="AG167" s="123" t="str">
        <f t="shared" si="12"/>
        <v>Promociones-Semanal</v>
      </c>
      <c r="AH167" s="123" t="s">
        <v>583</v>
      </c>
      <c r="AI167" s="57">
        <v>2</v>
      </c>
      <c r="AJ167" s="38" t="s">
        <v>99</v>
      </c>
      <c r="AK167" s="123" t="s">
        <v>433</v>
      </c>
      <c r="AL167" s="123" t="s">
        <v>442</v>
      </c>
      <c r="AM167" s="123" t="str">
        <f t="shared" si="13"/>
        <v>Droguería-Mensual</v>
      </c>
      <c r="AN167" s="38" t="s">
        <v>104</v>
      </c>
      <c r="AO167" s="38">
        <v>1</v>
      </c>
      <c r="AP167" s="38">
        <v>2</v>
      </c>
      <c r="AQ167" s="38"/>
      <c r="AR167" s="38">
        <v>2</v>
      </c>
      <c r="AS167" s="38" t="s">
        <v>205</v>
      </c>
      <c r="AT167" s="38">
        <v>3</v>
      </c>
      <c r="AU167" s="38"/>
      <c r="AV167" s="38">
        <v>1</v>
      </c>
      <c r="AW167" s="38"/>
      <c r="AX167" s="38">
        <v>1</v>
      </c>
      <c r="AY167" s="38"/>
      <c r="AZ167" s="38">
        <v>2</v>
      </c>
      <c r="BA167" s="38"/>
      <c r="BB167" s="38">
        <v>1</v>
      </c>
      <c r="BC167" s="38"/>
      <c r="BD167" s="38">
        <v>7</v>
      </c>
      <c r="BE167" s="38"/>
      <c r="BF167" s="38">
        <v>4</v>
      </c>
      <c r="BG167" s="38"/>
      <c r="BH167" s="38">
        <v>2</v>
      </c>
      <c r="BI167" s="38" t="s">
        <v>271</v>
      </c>
      <c r="BJ167" s="38" t="s">
        <v>107</v>
      </c>
      <c r="BK167" s="38">
        <v>7</v>
      </c>
      <c r="BL167" s="38"/>
      <c r="BM167" s="40" t="s">
        <v>272</v>
      </c>
      <c r="BN167" s="40">
        <v>3132849688</v>
      </c>
      <c r="BO167" s="40"/>
      <c r="BP167" s="42" t="s">
        <v>84</v>
      </c>
    </row>
    <row r="168" spans="1:68" x14ac:dyDescent="0.25">
      <c r="A168" s="43"/>
      <c r="B168" s="44"/>
      <c r="C168" s="45"/>
      <c r="D168" s="58"/>
      <c r="E168" s="58"/>
      <c r="F168" s="58"/>
      <c r="G168" s="58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124" t="s">
        <v>77</v>
      </c>
      <c r="AA168" s="124" t="s">
        <v>509</v>
      </c>
      <c r="AB168" s="124" t="str">
        <f t="shared" si="15"/>
        <v>Limpieza-Quincenal</v>
      </c>
      <c r="AC168" s="39"/>
      <c r="AD168" s="39"/>
      <c r="AE168" s="124" t="s">
        <v>440</v>
      </c>
      <c r="AF168" s="124" t="s">
        <v>437</v>
      </c>
      <c r="AG168" s="124" t="str">
        <f t="shared" si="12"/>
        <v>Domicilios-Diario</v>
      </c>
      <c r="AH168" s="124" t="s">
        <v>553</v>
      </c>
      <c r="AI168" s="59"/>
      <c r="AJ168" s="39"/>
      <c r="AK168" s="124" t="s">
        <v>435</v>
      </c>
      <c r="AL168" s="124" t="s">
        <v>509</v>
      </c>
      <c r="AM168" s="124" t="str">
        <f t="shared" si="13"/>
        <v>Dulces y Paquetes-Quincenal</v>
      </c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39"/>
      <c r="BG168" s="39"/>
      <c r="BH168" s="39"/>
      <c r="BI168" s="39"/>
      <c r="BJ168" s="39"/>
      <c r="BK168" s="39"/>
      <c r="BL168" s="39"/>
      <c r="BM168" s="46"/>
      <c r="BN168" s="46"/>
      <c r="BO168" s="46"/>
      <c r="BP168" s="48"/>
    </row>
    <row r="169" spans="1:68" x14ac:dyDescent="0.25">
      <c r="A169" s="43"/>
      <c r="B169" s="44"/>
      <c r="C169" s="45"/>
      <c r="D169" s="58"/>
      <c r="E169" s="58"/>
      <c r="F169" s="58"/>
      <c r="G169" s="58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124" t="s">
        <v>435</v>
      </c>
      <c r="AA169" s="124" t="s">
        <v>442</v>
      </c>
      <c r="AB169" s="124" t="str">
        <f t="shared" si="15"/>
        <v>Dulces y Paquetes-Mensual</v>
      </c>
      <c r="AC169" s="39"/>
      <c r="AD169" s="39"/>
      <c r="AE169" s="124" t="s">
        <v>441</v>
      </c>
      <c r="AF169" s="124" t="s">
        <v>437</v>
      </c>
      <c r="AG169" s="124" t="str">
        <f t="shared" si="12"/>
        <v>Atención al Cliente-Diario</v>
      </c>
      <c r="AH169" s="124" t="s">
        <v>446</v>
      </c>
      <c r="AI169" s="59"/>
      <c r="AJ169" s="39"/>
      <c r="AK169" s="124" t="s">
        <v>434</v>
      </c>
      <c r="AL169" s="124" t="s">
        <v>509</v>
      </c>
      <c r="AM169" s="124" t="str">
        <f t="shared" si="13"/>
        <v>Aseo Personal-Quincenal</v>
      </c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39"/>
      <c r="BF169" s="39"/>
      <c r="BG169" s="39"/>
      <c r="BH169" s="39"/>
      <c r="BI169" s="39"/>
      <c r="BJ169" s="39"/>
      <c r="BK169" s="39"/>
      <c r="BL169" s="39"/>
      <c r="BM169" s="46"/>
      <c r="BN169" s="46"/>
      <c r="BO169" s="46"/>
      <c r="BP169" s="48"/>
    </row>
    <row r="170" spans="1:68" x14ac:dyDescent="0.25">
      <c r="A170" s="49"/>
      <c r="B170" s="50"/>
      <c r="C170" s="51"/>
      <c r="D170" s="60"/>
      <c r="E170" s="60"/>
      <c r="F170" s="60"/>
      <c r="G170" s="60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125"/>
      <c r="AA170" s="125"/>
      <c r="AB170" s="125"/>
      <c r="AC170" s="7"/>
      <c r="AD170" s="7"/>
      <c r="AE170" s="125"/>
      <c r="AF170" s="125"/>
      <c r="AG170" s="125" t="str">
        <f t="shared" si="12"/>
        <v>-</v>
      </c>
      <c r="AH170" s="125"/>
      <c r="AI170" s="61"/>
      <c r="AJ170" s="7"/>
      <c r="AK170" s="125" t="s">
        <v>77</v>
      </c>
      <c r="AL170" s="125" t="s">
        <v>436</v>
      </c>
      <c r="AM170" s="125" t="str">
        <f t="shared" si="13"/>
        <v>Limpieza-Semanal</v>
      </c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52"/>
      <c r="BN170" s="52"/>
      <c r="BO170" s="52"/>
      <c r="BP170" s="54"/>
    </row>
    <row r="171" spans="1:68" x14ac:dyDescent="0.25">
      <c r="A171" s="35">
        <v>43</v>
      </c>
      <c r="B171" s="36">
        <v>44804</v>
      </c>
      <c r="C171" s="37" t="s">
        <v>273</v>
      </c>
      <c r="D171" s="56">
        <v>1</v>
      </c>
      <c r="E171" s="56">
        <v>3</v>
      </c>
      <c r="F171" s="56">
        <v>1</v>
      </c>
      <c r="G171" s="56">
        <v>12</v>
      </c>
      <c r="H171" s="57">
        <v>1</v>
      </c>
      <c r="I171" s="57">
        <v>2</v>
      </c>
      <c r="J171" s="57">
        <v>1</v>
      </c>
      <c r="K171" s="57">
        <v>1</v>
      </c>
      <c r="L171" s="57">
        <v>1</v>
      </c>
      <c r="M171" s="57">
        <v>3</v>
      </c>
      <c r="N171" s="57">
        <v>1</v>
      </c>
      <c r="O171" s="57">
        <v>2</v>
      </c>
      <c r="P171" s="57"/>
      <c r="Q171" s="57">
        <v>2</v>
      </c>
      <c r="R171" s="57" t="s">
        <v>88</v>
      </c>
      <c r="S171" s="57" t="s">
        <v>156</v>
      </c>
      <c r="T171" s="57"/>
      <c r="U171" s="57"/>
      <c r="V171" s="57" t="s">
        <v>95</v>
      </c>
      <c r="W171" s="57" t="s">
        <v>125</v>
      </c>
      <c r="X171" s="57"/>
      <c r="Y171" s="57"/>
      <c r="Z171" s="123" t="s">
        <v>433</v>
      </c>
      <c r="AA171" s="123" t="s">
        <v>442</v>
      </c>
      <c r="AB171" s="123" t="str">
        <f>+CONCATENATE(Z171,"-",AA171)</f>
        <v>Droguería-Mensual</v>
      </c>
      <c r="AC171" s="38" t="s">
        <v>274</v>
      </c>
      <c r="AD171" s="38" t="s">
        <v>78</v>
      </c>
      <c r="AE171" s="123" t="s">
        <v>448</v>
      </c>
      <c r="AF171" s="123" t="s">
        <v>436</v>
      </c>
      <c r="AG171" s="123" t="str">
        <f t="shared" si="12"/>
        <v>Asesoramiento-Semanal</v>
      </c>
      <c r="AH171" s="123"/>
      <c r="AI171" s="57">
        <v>2</v>
      </c>
      <c r="AJ171" s="38"/>
      <c r="AK171" s="123" t="s">
        <v>435</v>
      </c>
      <c r="AL171" s="123" t="s">
        <v>449</v>
      </c>
      <c r="AM171" s="123" t="str">
        <f t="shared" si="13"/>
        <v>Dulces y Paquetes-Depende de la Provisión</v>
      </c>
      <c r="AN171" s="38" t="s">
        <v>100</v>
      </c>
      <c r="AO171" s="38">
        <v>1</v>
      </c>
      <c r="AP171" s="38">
        <v>2</v>
      </c>
      <c r="AQ171" s="38"/>
      <c r="AR171" s="38">
        <v>2</v>
      </c>
      <c r="AS171" s="38"/>
      <c r="AT171" s="38">
        <v>1</v>
      </c>
      <c r="AU171" s="38"/>
      <c r="AV171" s="38">
        <v>1</v>
      </c>
      <c r="AW171" s="38"/>
      <c r="AX171" s="38">
        <v>1</v>
      </c>
      <c r="AY171" s="38"/>
      <c r="AZ171" s="38">
        <v>2</v>
      </c>
      <c r="BA171" s="38"/>
      <c r="BB171" s="38">
        <v>6</v>
      </c>
      <c r="BC171" s="38"/>
      <c r="BD171" s="38">
        <v>5</v>
      </c>
      <c r="BE171" s="38"/>
      <c r="BF171" s="38">
        <v>6</v>
      </c>
      <c r="BG171" s="38"/>
      <c r="BH171" s="38">
        <v>3</v>
      </c>
      <c r="BI171" s="38" t="s">
        <v>184</v>
      </c>
      <c r="BJ171" s="38" t="s">
        <v>107</v>
      </c>
      <c r="BK171" s="38">
        <v>4</v>
      </c>
      <c r="BL171" s="38"/>
      <c r="BM171" s="40" t="s">
        <v>91</v>
      </c>
      <c r="BN171" s="40">
        <v>3124859084</v>
      </c>
      <c r="BO171" s="40"/>
      <c r="BP171" s="42" t="s">
        <v>84</v>
      </c>
    </row>
    <row r="172" spans="1:68" x14ac:dyDescent="0.25">
      <c r="A172" s="43"/>
      <c r="B172" s="44"/>
      <c r="C172" s="45"/>
      <c r="D172" s="58"/>
      <c r="E172" s="58"/>
      <c r="F172" s="58"/>
      <c r="G172" s="58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124" t="s">
        <v>434</v>
      </c>
      <c r="AA172" s="124" t="s">
        <v>436</v>
      </c>
      <c r="AB172" s="124" t="str">
        <f t="shared" ref="AB172:AB181" si="16">+CONCATENATE(Z172,"-",AA172)</f>
        <v>Aseo Personal-Semanal</v>
      </c>
      <c r="AC172" s="39"/>
      <c r="AD172" s="39"/>
      <c r="AE172" s="124" t="s">
        <v>440</v>
      </c>
      <c r="AF172" s="124" t="s">
        <v>436</v>
      </c>
      <c r="AG172" s="124" t="str">
        <f t="shared" si="12"/>
        <v>Domicilios-Semanal</v>
      </c>
      <c r="AH172" s="124"/>
      <c r="AI172" s="59"/>
      <c r="AJ172" s="39"/>
      <c r="AK172" s="124" t="s">
        <v>434</v>
      </c>
      <c r="AL172" s="124" t="s">
        <v>449</v>
      </c>
      <c r="AM172" s="124" t="str">
        <f t="shared" si="13"/>
        <v>Aseo Personal-Depende de la Provisión</v>
      </c>
      <c r="AN172" s="39"/>
      <c r="AO172" s="39"/>
      <c r="AP172" s="39"/>
      <c r="AQ172" s="39"/>
      <c r="AR172" s="39"/>
      <c r="AS172" s="39"/>
      <c r="AT172" s="39"/>
      <c r="AU172" s="39"/>
      <c r="AV172" s="39"/>
      <c r="AW172" s="39"/>
      <c r="AX172" s="39"/>
      <c r="AY172" s="39"/>
      <c r="AZ172" s="39"/>
      <c r="BA172" s="39"/>
      <c r="BB172" s="39"/>
      <c r="BC172" s="39"/>
      <c r="BD172" s="39"/>
      <c r="BE172" s="39"/>
      <c r="BF172" s="39"/>
      <c r="BG172" s="39"/>
      <c r="BH172" s="39"/>
      <c r="BI172" s="39"/>
      <c r="BJ172" s="39"/>
      <c r="BK172" s="39"/>
      <c r="BL172" s="39"/>
      <c r="BM172" s="46"/>
      <c r="BN172" s="46"/>
      <c r="BO172" s="46"/>
      <c r="BP172" s="48"/>
    </row>
    <row r="173" spans="1:68" x14ac:dyDescent="0.25">
      <c r="A173" s="43"/>
      <c r="B173" s="44"/>
      <c r="C173" s="45"/>
      <c r="D173" s="58"/>
      <c r="E173" s="58"/>
      <c r="F173" s="58"/>
      <c r="G173" s="58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124" t="s">
        <v>77</v>
      </c>
      <c r="AA173" s="124" t="s">
        <v>509</v>
      </c>
      <c r="AB173" s="124" t="str">
        <f t="shared" si="16"/>
        <v>Limpieza-Quincenal</v>
      </c>
      <c r="AC173" s="39"/>
      <c r="AD173" s="39"/>
      <c r="AE173" s="124" t="s">
        <v>441</v>
      </c>
      <c r="AF173" s="124" t="s">
        <v>436</v>
      </c>
      <c r="AG173" s="124" t="str">
        <f t="shared" si="12"/>
        <v>Atención al Cliente-Semanal</v>
      </c>
      <c r="AH173" s="124"/>
      <c r="AI173" s="59"/>
      <c r="AJ173" s="39"/>
      <c r="AK173" s="124" t="s">
        <v>77</v>
      </c>
      <c r="AL173" s="124" t="s">
        <v>449</v>
      </c>
      <c r="AM173" s="124" t="str">
        <f t="shared" si="13"/>
        <v>Limpieza-Depende de la Provisión</v>
      </c>
      <c r="AN173" s="39"/>
      <c r="AO173" s="39"/>
      <c r="AP173" s="39"/>
      <c r="AQ173" s="39"/>
      <c r="AR173" s="39"/>
      <c r="AS173" s="39"/>
      <c r="AT173" s="39"/>
      <c r="AU173" s="39"/>
      <c r="AV173" s="39"/>
      <c r="AW173" s="39"/>
      <c r="AX173" s="39"/>
      <c r="AY173" s="39"/>
      <c r="AZ173" s="39"/>
      <c r="BA173" s="39"/>
      <c r="BB173" s="39"/>
      <c r="BC173" s="39"/>
      <c r="BD173" s="39"/>
      <c r="BE173" s="39"/>
      <c r="BF173" s="39"/>
      <c r="BG173" s="39"/>
      <c r="BH173" s="39"/>
      <c r="BI173" s="39"/>
      <c r="BJ173" s="39"/>
      <c r="BK173" s="39"/>
      <c r="BL173" s="39"/>
      <c r="BM173" s="46"/>
      <c r="BN173" s="46"/>
      <c r="BO173" s="46"/>
      <c r="BP173" s="48"/>
    </row>
    <row r="174" spans="1:68" x14ac:dyDescent="0.25">
      <c r="A174" s="49"/>
      <c r="B174" s="50"/>
      <c r="C174" s="51"/>
      <c r="D174" s="60"/>
      <c r="E174" s="60"/>
      <c r="F174" s="60"/>
      <c r="G174" s="60"/>
      <c r="H174" s="61"/>
      <c r="I174" s="61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125" t="s">
        <v>435</v>
      </c>
      <c r="AA174" s="125" t="s">
        <v>436</v>
      </c>
      <c r="AB174" s="125" t="str">
        <f t="shared" si="16"/>
        <v>Dulces y Paquetes-Semanal</v>
      </c>
      <c r="AC174" s="7"/>
      <c r="AD174" s="7"/>
      <c r="AE174" s="125"/>
      <c r="AF174" s="125"/>
      <c r="AG174" s="125" t="str">
        <f t="shared" si="12"/>
        <v>-</v>
      </c>
      <c r="AH174" s="125"/>
      <c r="AI174" s="61"/>
      <c r="AJ174" s="7"/>
      <c r="AK174" s="125"/>
      <c r="AL174" s="125"/>
      <c r="AM174" s="125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52"/>
      <c r="BN174" s="52"/>
      <c r="BO174" s="52"/>
      <c r="BP174" s="54"/>
    </row>
    <row r="175" spans="1:68" x14ac:dyDescent="0.25">
      <c r="A175" s="35">
        <v>44</v>
      </c>
      <c r="B175" s="36">
        <v>44804</v>
      </c>
      <c r="C175" s="37" t="s">
        <v>275</v>
      </c>
      <c r="D175" s="56">
        <v>1</v>
      </c>
      <c r="E175" s="56">
        <v>1</v>
      </c>
      <c r="F175" s="56">
        <v>1</v>
      </c>
      <c r="G175" s="56">
        <v>12</v>
      </c>
      <c r="H175" s="57">
        <v>2</v>
      </c>
      <c r="I175" s="57">
        <v>1</v>
      </c>
      <c r="J175" s="57">
        <v>1</v>
      </c>
      <c r="K175" s="57">
        <v>2</v>
      </c>
      <c r="L175" s="57">
        <v>1</v>
      </c>
      <c r="M175" s="57">
        <v>3</v>
      </c>
      <c r="N175" s="57">
        <v>3</v>
      </c>
      <c r="O175" s="57">
        <v>2</v>
      </c>
      <c r="P175" s="57"/>
      <c r="Q175" s="57">
        <v>3</v>
      </c>
      <c r="R175" s="57" t="s">
        <v>93</v>
      </c>
      <c r="S175" s="57" t="s">
        <v>169</v>
      </c>
      <c r="T175" s="57"/>
      <c r="U175" s="57"/>
      <c r="V175" s="57" t="s">
        <v>125</v>
      </c>
      <c r="W175" s="57" t="s">
        <v>240</v>
      </c>
      <c r="X175" s="57" t="s">
        <v>145</v>
      </c>
      <c r="Y175" s="57" t="s">
        <v>276</v>
      </c>
      <c r="Z175" s="123" t="s">
        <v>433</v>
      </c>
      <c r="AA175" s="123" t="s">
        <v>442</v>
      </c>
      <c r="AB175" s="123" t="str">
        <f t="shared" si="16"/>
        <v>Droguería-Mensual</v>
      </c>
      <c r="AC175" s="38" t="s">
        <v>277</v>
      </c>
      <c r="AD175" s="38" t="s">
        <v>241</v>
      </c>
      <c r="AE175" s="123" t="s">
        <v>448</v>
      </c>
      <c r="AF175" s="123" t="s">
        <v>437</v>
      </c>
      <c r="AG175" s="123" t="str">
        <f t="shared" si="12"/>
        <v>Asesoramiento-Diario</v>
      </c>
      <c r="AH175" s="123"/>
      <c r="AI175" s="57">
        <v>2</v>
      </c>
      <c r="AJ175" s="38"/>
      <c r="AK175" s="123" t="s">
        <v>433</v>
      </c>
      <c r="AL175" s="123" t="s">
        <v>449</v>
      </c>
      <c r="AM175" s="123" t="str">
        <f t="shared" si="13"/>
        <v>Droguería-Depende de la Provisión</v>
      </c>
      <c r="AN175" s="38" t="s">
        <v>104</v>
      </c>
      <c r="AO175" s="38">
        <v>1</v>
      </c>
      <c r="AP175" s="38">
        <v>2</v>
      </c>
      <c r="AQ175" s="38"/>
      <c r="AR175" s="38">
        <v>2</v>
      </c>
      <c r="AS175" s="38"/>
      <c r="AT175" s="38">
        <v>3</v>
      </c>
      <c r="AU175" s="38"/>
      <c r="AV175" s="38">
        <v>1</v>
      </c>
      <c r="AW175" s="38"/>
      <c r="AX175" s="38">
        <v>1</v>
      </c>
      <c r="AY175" s="38"/>
      <c r="AZ175" s="38">
        <v>2</v>
      </c>
      <c r="BA175" s="38"/>
      <c r="BB175" s="38">
        <v>3</v>
      </c>
      <c r="BC175" s="38"/>
      <c r="BD175" s="38">
        <v>4</v>
      </c>
      <c r="BE175" s="38"/>
      <c r="BF175" s="38">
        <v>4</v>
      </c>
      <c r="BG175" s="38"/>
      <c r="BH175" s="38">
        <v>3</v>
      </c>
      <c r="BI175" s="38" t="s">
        <v>78</v>
      </c>
      <c r="BJ175" s="38" t="s">
        <v>278</v>
      </c>
      <c r="BK175" s="38">
        <v>1</v>
      </c>
      <c r="BL175" s="38"/>
      <c r="BM175" s="40" t="s">
        <v>91</v>
      </c>
      <c r="BN175" s="40">
        <v>3214595042</v>
      </c>
      <c r="BO175" s="41" t="s">
        <v>279</v>
      </c>
      <c r="BP175" s="42" t="s">
        <v>84</v>
      </c>
    </row>
    <row r="176" spans="1:68" x14ac:dyDescent="0.25">
      <c r="A176" s="43"/>
      <c r="B176" s="44"/>
      <c r="C176" s="45"/>
      <c r="D176" s="58"/>
      <c r="E176" s="58"/>
      <c r="F176" s="58"/>
      <c r="G176" s="58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124" t="s">
        <v>434</v>
      </c>
      <c r="AA176" s="124" t="s">
        <v>437</v>
      </c>
      <c r="AB176" s="124" t="str">
        <f t="shared" si="16"/>
        <v>Aseo Personal-Diario</v>
      </c>
      <c r="AC176" s="39"/>
      <c r="AD176" s="39"/>
      <c r="AE176" s="124" t="s">
        <v>441</v>
      </c>
      <c r="AF176" s="124" t="s">
        <v>437</v>
      </c>
      <c r="AG176" s="124" t="str">
        <f t="shared" si="12"/>
        <v>Atención al Cliente-Diario</v>
      </c>
      <c r="AH176" s="124"/>
      <c r="AI176" s="59"/>
      <c r="AJ176" s="39"/>
      <c r="AK176" s="124" t="s">
        <v>435</v>
      </c>
      <c r="AL176" s="124" t="s">
        <v>436</v>
      </c>
      <c r="AM176" s="124" t="str">
        <f t="shared" si="13"/>
        <v>Dulces y Paquetes-Semanal</v>
      </c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39"/>
      <c r="AZ176" s="39"/>
      <c r="BA176" s="39"/>
      <c r="BB176" s="39"/>
      <c r="BC176" s="39"/>
      <c r="BD176" s="39"/>
      <c r="BE176" s="39"/>
      <c r="BF176" s="39"/>
      <c r="BG176" s="39"/>
      <c r="BH176" s="39"/>
      <c r="BI176" s="39"/>
      <c r="BJ176" s="39"/>
      <c r="BK176" s="39"/>
      <c r="BL176" s="39"/>
      <c r="BM176" s="46"/>
      <c r="BN176" s="46"/>
      <c r="BO176" s="47"/>
      <c r="BP176" s="48"/>
    </row>
    <row r="177" spans="1:68" x14ac:dyDescent="0.25">
      <c r="A177" s="43"/>
      <c r="B177" s="44"/>
      <c r="C177" s="45"/>
      <c r="D177" s="58"/>
      <c r="E177" s="58"/>
      <c r="F177" s="58"/>
      <c r="G177" s="58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124" t="s">
        <v>77</v>
      </c>
      <c r="AA177" s="124" t="s">
        <v>437</v>
      </c>
      <c r="AB177" s="124" t="str">
        <f t="shared" si="16"/>
        <v>Limpieza-Diario</v>
      </c>
      <c r="AC177" s="39"/>
      <c r="AD177" s="39"/>
      <c r="AE177" s="124"/>
      <c r="AF177" s="124"/>
      <c r="AG177" s="124" t="str">
        <f t="shared" si="12"/>
        <v>-</v>
      </c>
      <c r="AH177" s="124"/>
      <c r="AI177" s="59"/>
      <c r="AJ177" s="39"/>
      <c r="AK177" s="124" t="s">
        <v>434</v>
      </c>
      <c r="AL177" s="124" t="s">
        <v>509</v>
      </c>
      <c r="AM177" s="124" t="str">
        <f t="shared" si="13"/>
        <v>Aseo Personal-Quincenal</v>
      </c>
      <c r="AN177" s="39"/>
      <c r="AO177" s="39"/>
      <c r="AP177" s="39"/>
      <c r="AQ177" s="39"/>
      <c r="AR177" s="39"/>
      <c r="AS177" s="39"/>
      <c r="AT177" s="39"/>
      <c r="AU177" s="39"/>
      <c r="AV177" s="39"/>
      <c r="AW177" s="39"/>
      <c r="AX177" s="39"/>
      <c r="AY177" s="39"/>
      <c r="AZ177" s="39"/>
      <c r="BA177" s="39"/>
      <c r="BB177" s="39"/>
      <c r="BC177" s="39"/>
      <c r="BD177" s="39"/>
      <c r="BE177" s="39"/>
      <c r="BF177" s="39"/>
      <c r="BG177" s="39"/>
      <c r="BH177" s="39"/>
      <c r="BI177" s="39"/>
      <c r="BJ177" s="39"/>
      <c r="BK177" s="39"/>
      <c r="BL177" s="39"/>
      <c r="BM177" s="46"/>
      <c r="BN177" s="46"/>
      <c r="BO177" s="47"/>
      <c r="BP177" s="48"/>
    </row>
    <row r="178" spans="1:68" x14ac:dyDescent="0.25">
      <c r="A178" s="49"/>
      <c r="B178" s="50"/>
      <c r="C178" s="51"/>
      <c r="D178" s="60"/>
      <c r="E178" s="60"/>
      <c r="F178" s="60"/>
      <c r="G178" s="60"/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125" t="s">
        <v>435</v>
      </c>
      <c r="AA178" s="125" t="s">
        <v>437</v>
      </c>
      <c r="AB178" s="125" t="str">
        <f t="shared" si="16"/>
        <v>Dulces y Paquetes-Diario</v>
      </c>
      <c r="AC178" s="7"/>
      <c r="AD178" s="7"/>
      <c r="AE178" s="125"/>
      <c r="AF178" s="125"/>
      <c r="AG178" s="125" t="str">
        <f t="shared" si="12"/>
        <v>-</v>
      </c>
      <c r="AH178" s="125"/>
      <c r="AI178" s="61"/>
      <c r="AJ178" s="7"/>
      <c r="AK178" s="125" t="s">
        <v>77</v>
      </c>
      <c r="AL178" s="125" t="s">
        <v>442</v>
      </c>
      <c r="AM178" s="125" t="str">
        <f t="shared" si="13"/>
        <v>Limpieza-Mensual</v>
      </c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52"/>
      <c r="BN178" s="52"/>
      <c r="BO178" s="53"/>
      <c r="BP178" s="54"/>
    </row>
    <row r="179" spans="1:68" x14ac:dyDescent="0.25">
      <c r="A179" s="35">
        <v>45</v>
      </c>
      <c r="B179" s="36">
        <v>44793</v>
      </c>
      <c r="C179" s="37" t="s">
        <v>280</v>
      </c>
      <c r="D179" s="56">
        <v>1</v>
      </c>
      <c r="E179" s="56">
        <v>1</v>
      </c>
      <c r="F179" s="56">
        <v>1</v>
      </c>
      <c r="G179" s="56">
        <v>12</v>
      </c>
      <c r="H179" s="57">
        <v>1</v>
      </c>
      <c r="I179" s="57">
        <v>2</v>
      </c>
      <c r="J179" s="57">
        <v>3</v>
      </c>
      <c r="K179" s="57">
        <v>2</v>
      </c>
      <c r="L179" s="57">
        <v>1</v>
      </c>
      <c r="M179" s="57">
        <v>3</v>
      </c>
      <c r="N179" s="57">
        <v>3</v>
      </c>
      <c r="O179" s="57">
        <v>2</v>
      </c>
      <c r="P179" s="57"/>
      <c r="Q179" s="57">
        <v>3</v>
      </c>
      <c r="R179" s="57" t="s">
        <v>73</v>
      </c>
      <c r="S179" s="57" t="s">
        <v>110</v>
      </c>
      <c r="T179" s="57" t="s">
        <v>88</v>
      </c>
      <c r="U179" s="57" t="s">
        <v>121</v>
      </c>
      <c r="V179" s="57" t="s">
        <v>125</v>
      </c>
      <c r="W179" s="57" t="s">
        <v>281</v>
      </c>
      <c r="X179" s="57"/>
      <c r="Y179" s="57"/>
      <c r="Z179" s="123" t="s">
        <v>434</v>
      </c>
      <c r="AA179" s="123" t="s">
        <v>437</v>
      </c>
      <c r="AB179" s="123" t="str">
        <f t="shared" si="16"/>
        <v>Aseo Personal-Diario</v>
      </c>
      <c r="AC179" s="38" t="s">
        <v>77</v>
      </c>
      <c r="AD179" s="38" t="s">
        <v>78</v>
      </c>
      <c r="AE179" s="123" t="s">
        <v>178</v>
      </c>
      <c r="AF179" s="123" t="s">
        <v>511</v>
      </c>
      <c r="AG179" s="123" t="str">
        <f t="shared" si="12"/>
        <v>Promociones-Anual</v>
      </c>
      <c r="AH179" s="123"/>
      <c r="AI179" s="57">
        <v>1</v>
      </c>
      <c r="AJ179" s="38" t="s">
        <v>282</v>
      </c>
      <c r="AK179" s="123" t="s">
        <v>435</v>
      </c>
      <c r="AL179" s="123" t="s">
        <v>509</v>
      </c>
      <c r="AM179" s="123" t="str">
        <f t="shared" si="13"/>
        <v>Dulces y Paquetes-Quincenal</v>
      </c>
      <c r="AN179" s="38" t="s">
        <v>166</v>
      </c>
      <c r="AO179" s="38">
        <v>5</v>
      </c>
      <c r="AP179" s="38">
        <v>1</v>
      </c>
      <c r="AQ179" s="38"/>
      <c r="AR179" s="38">
        <v>2</v>
      </c>
      <c r="AS179" s="38" t="s">
        <v>116</v>
      </c>
      <c r="AT179" s="38">
        <v>3</v>
      </c>
      <c r="AU179" s="38"/>
      <c r="AV179" s="38">
        <v>2</v>
      </c>
      <c r="AW179" s="38"/>
      <c r="AX179" s="38">
        <v>5</v>
      </c>
      <c r="AY179" s="38"/>
      <c r="AZ179" s="38">
        <v>2</v>
      </c>
      <c r="BA179" s="38"/>
      <c r="BB179" s="38">
        <v>3</v>
      </c>
      <c r="BC179" s="38"/>
      <c r="BD179" s="38">
        <v>2</v>
      </c>
      <c r="BE179" s="38"/>
      <c r="BF179" s="38">
        <v>3</v>
      </c>
      <c r="BG179" s="38"/>
      <c r="BH179" s="38">
        <v>2</v>
      </c>
      <c r="BI179" s="38" t="s">
        <v>80</v>
      </c>
      <c r="BJ179" s="38" t="s">
        <v>184</v>
      </c>
      <c r="BK179" s="38">
        <v>1</v>
      </c>
      <c r="BL179" s="38"/>
      <c r="BM179" s="40" t="s">
        <v>283</v>
      </c>
      <c r="BN179" s="40" t="s">
        <v>285</v>
      </c>
      <c r="BO179" s="41" t="s">
        <v>284</v>
      </c>
      <c r="BP179" s="42" t="s">
        <v>84</v>
      </c>
    </row>
    <row r="180" spans="1:68" x14ac:dyDescent="0.25">
      <c r="A180" s="43"/>
      <c r="B180" s="44"/>
      <c r="C180" s="45"/>
      <c r="D180" s="58"/>
      <c r="E180" s="58"/>
      <c r="F180" s="58"/>
      <c r="G180" s="58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124" t="s">
        <v>77</v>
      </c>
      <c r="AA180" s="124" t="s">
        <v>437</v>
      </c>
      <c r="AB180" s="124" t="str">
        <f t="shared" si="16"/>
        <v>Limpieza-Diario</v>
      </c>
      <c r="AC180" s="39"/>
      <c r="AD180" s="39"/>
      <c r="AE180" s="124" t="s">
        <v>439</v>
      </c>
      <c r="AF180" s="124" t="s">
        <v>442</v>
      </c>
      <c r="AG180" s="124" t="str">
        <f t="shared" si="12"/>
        <v>Descuento-Mensual</v>
      </c>
      <c r="AH180" s="124"/>
      <c r="AI180" s="59"/>
      <c r="AJ180" s="39"/>
      <c r="AK180" s="124" t="s">
        <v>434</v>
      </c>
      <c r="AL180" s="124" t="s">
        <v>442</v>
      </c>
      <c r="AM180" s="124" t="str">
        <f t="shared" si="13"/>
        <v>Aseo Personal-Mensual</v>
      </c>
      <c r="AN180" s="39"/>
      <c r="AO180" s="39"/>
      <c r="AP180" s="39"/>
      <c r="AQ180" s="39"/>
      <c r="AR180" s="39"/>
      <c r="AS180" s="39"/>
      <c r="AT180" s="39"/>
      <c r="AU180" s="39"/>
      <c r="AV180" s="39"/>
      <c r="AW180" s="39"/>
      <c r="AX180" s="39"/>
      <c r="AY180" s="39"/>
      <c r="AZ180" s="39"/>
      <c r="BA180" s="39"/>
      <c r="BB180" s="39"/>
      <c r="BC180" s="39"/>
      <c r="BD180" s="39"/>
      <c r="BE180" s="39"/>
      <c r="BF180" s="39"/>
      <c r="BG180" s="39"/>
      <c r="BH180" s="39"/>
      <c r="BI180" s="39"/>
      <c r="BJ180" s="39"/>
      <c r="BK180" s="39"/>
      <c r="BL180" s="39"/>
      <c r="BM180" s="46"/>
      <c r="BN180" s="46"/>
      <c r="BO180" s="47"/>
      <c r="BP180" s="48"/>
    </row>
    <row r="181" spans="1:68" x14ac:dyDescent="0.25">
      <c r="A181" s="43"/>
      <c r="B181" s="44"/>
      <c r="C181" s="45"/>
      <c r="D181" s="58"/>
      <c r="E181" s="58"/>
      <c r="F181" s="58"/>
      <c r="G181" s="58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124" t="s">
        <v>435</v>
      </c>
      <c r="AA181" s="124" t="s">
        <v>437</v>
      </c>
      <c r="AB181" s="124" t="str">
        <f t="shared" si="16"/>
        <v>Dulces y Paquetes-Diario</v>
      </c>
      <c r="AC181" s="39"/>
      <c r="AD181" s="39"/>
      <c r="AE181" s="124" t="s">
        <v>195</v>
      </c>
      <c r="AF181" s="124" t="s">
        <v>442</v>
      </c>
      <c r="AG181" s="124" t="str">
        <f t="shared" si="12"/>
        <v>Ofertas-Mensual</v>
      </c>
      <c r="AH181" s="124"/>
      <c r="AI181" s="59"/>
      <c r="AJ181" s="39"/>
      <c r="AK181" s="124" t="s">
        <v>77</v>
      </c>
      <c r="AL181" s="124" t="s">
        <v>442</v>
      </c>
      <c r="AM181" s="124" t="str">
        <f t="shared" si="13"/>
        <v>Limpieza-Mensual</v>
      </c>
      <c r="AN181" s="39"/>
      <c r="AO181" s="39"/>
      <c r="AP181" s="39"/>
      <c r="AQ181" s="39"/>
      <c r="AR181" s="39"/>
      <c r="AS181" s="39"/>
      <c r="AT181" s="39"/>
      <c r="AU181" s="39"/>
      <c r="AV181" s="39"/>
      <c r="AW181" s="39"/>
      <c r="AX181" s="39"/>
      <c r="AY181" s="39"/>
      <c r="AZ181" s="39"/>
      <c r="BA181" s="39"/>
      <c r="BB181" s="39"/>
      <c r="BC181" s="39"/>
      <c r="BD181" s="39"/>
      <c r="BE181" s="39"/>
      <c r="BF181" s="39"/>
      <c r="BG181" s="39"/>
      <c r="BH181" s="39"/>
      <c r="BI181" s="39"/>
      <c r="BJ181" s="39"/>
      <c r="BK181" s="39"/>
      <c r="BL181" s="39"/>
      <c r="BM181" s="46"/>
      <c r="BN181" s="46"/>
      <c r="BO181" s="47"/>
      <c r="BP181" s="48"/>
    </row>
    <row r="182" spans="1:68" x14ac:dyDescent="0.25">
      <c r="A182" s="43"/>
      <c r="B182" s="44"/>
      <c r="C182" s="45"/>
      <c r="D182" s="58"/>
      <c r="E182" s="58"/>
      <c r="F182" s="58"/>
      <c r="G182" s="58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124"/>
      <c r="AA182" s="124"/>
      <c r="AB182" s="124"/>
      <c r="AC182" s="39"/>
      <c r="AD182" s="39"/>
      <c r="AE182" s="124" t="s">
        <v>440</v>
      </c>
      <c r="AF182" s="124" t="s">
        <v>437</v>
      </c>
      <c r="AG182" s="124" t="str">
        <f t="shared" si="12"/>
        <v>Domicilios-Diario</v>
      </c>
      <c r="AH182" s="124"/>
      <c r="AI182" s="59"/>
      <c r="AJ182" s="39"/>
      <c r="AK182" s="124"/>
      <c r="AL182" s="124"/>
      <c r="AM182" s="124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39"/>
      <c r="BG182" s="39"/>
      <c r="BH182" s="39"/>
      <c r="BI182" s="39"/>
      <c r="BJ182" s="39"/>
      <c r="BK182" s="39"/>
      <c r="BL182" s="39"/>
      <c r="BM182" s="46"/>
      <c r="BN182" s="46"/>
      <c r="BO182" s="47"/>
      <c r="BP182" s="48"/>
    </row>
    <row r="183" spans="1:68" x14ac:dyDescent="0.25">
      <c r="A183" s="49"/>
      <c r="B183" s="50"/>
      <c r="C183" s="51"/>
      <c r="D183" s="60"/>
      <c r="E183" s="60"/>
      <c r="F183" s="60"/>
      <c r="G183" s="60"/>
      <c r="H183" s="61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125"/>
      <c r="AA183" s="125"/>
      <c r="AB183" s="125"/>
      <c r="AC183" s="7"/>
      <c r="AD183" s="7"/>
      <c r="AE183" s="125" t="s">
        <v>441</v>
      </c>
      <c r="AF183" s="125" t="s">
        <v>437</v>
      </c>
      <c r="AG183" s="125" t="str">
        <f t="shared" si="12"/>
        <v>Atención al Cliente-Diario</v>
      </c>
      <c r="AH183" s="125"/>
      <c r="AI183" s="61"/>
      <c r="AJ183" s="7"/>
      <c r="AK183" s="125"/>
      <c r="AL183" s="125"/>
      <c r="AM183" s="125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52"/>
      <c r="BN183" s="52"/>
      <c r="BO183" s="53"/>
      <c r="BP183" s="54"/>
    </row>
    <row r="184" spans="1:68" x14ac:dyDescent="0.25">
      <c r="A184" s="35">
        <v>46</v>
      </c>
      <c r="B184" s="36">
        <v>44802</v>
      </c>
      <c r="C184" s="37" t="s">
        <v>286</v>
      </c>
      <c r="D184" s="56">
        <v>2</v>
      </c>
      <c r="E184" s="56">
        <v>2</v>
      </c>
      <c r="F184" s="56">
        <v>1</v>
      </c>
      <c r="G184" s="56">
        <v>12</v>
      </c>
      <c r="H184" s="57">
        <v>4</v>
      </c>
      <c r="I184" s="57">
        <v>1</v>
      </c>
      <c r="J184" s="57">
        <v>1</v>
      </c>
      <c r="K184" s="57">
        <v>2</v>
      </c>
      <c r="L184" s="57">
        <v>1</v>
      </c>
      <c r="M184" s="57">
        <v>2</v>
      </c>
      <c r="N184" s="57">
        <v>3</v>
      </c>
      <c r="O184" s="57">
        <v>2</v>
      </c>
      <c r="P184" s="57"/>
      <c r="Q184" s="57">
        <v>2</v>
      </c>
      <c r="R184" s="57" t="s">
        <v>287</v>
      </c>
      <c r="S184" s="57" t="s">
        <v>88</v>
      </c>
      <c r="T184" s="57" t="s">
        <v>288</v>
      </c>
      <c r="U184" s="57" t="s">
        <v>289</v>
      </c>
      <c r="V184" s="57" t="s">
        <v>249</v>
      </c>
      <c r="W184" s="57" t="s">
        <v>0</v>
      </c>
      <c r="X184" s="57"/>
      <c r="Y184" s="57"/>
      <c r="Z184" s="123" t="s">
        <v>434</v>
      </c>
      <c r="AA184" s="123" t="s">
        <v>437</v>
      </c>
      <c r="AB184" s="123" t="str">
        <f>+CONCATENATE(Z184,"-",AA184)</f>
        <v>Aseo Personal-Diario</v>
      </c>
      <c r="AC184" s="38" t="s">
        <v>77</v>
      </c>
      <c r="AD184" s="38" t="s">
        <v>147</v>
      </c>
      <c r="AE184" s="123" t="s">
        <v>178</v>
      </c>
      <c r="AF184" s="123" t="s">
        <v>509</v>
      </c>
      <c r="AG184" s="123" t="str">
        <f t="shared" si="12"/>
        <v>Promociones-Quincenal</v>
      </c>
      <c r="AH184" s="123" t="s">
        <v>444</v>
      </c>
      <c r="AI184" s="57">
        <v>1</v>
      </c>
      <c r="AJ184" s="38" t="s">
        <v>290</v>
      </c>
      <c r="AK184" s="123" t="s">
        <v>435</v>
      </c>
      <c r="AL184" s="123" t="s">
        <v>436</v>
      </c>
      <c r="AM184" s="123" t="str">
        <f t="shared" si="13"/>
        <v>Dulces y Paquetes-Semanal</v>
      </c>
      <c r="AN184" s="38" t="s">
        <v>100</v>
      </c>
      <c r="AO184" s="38">
        <v>1</v>
      </c>
      <c r="AP184" s="38">
        <v>1</v>
      </c>
      <c r="AQ184" s="38"/>
      <c r="AR184" s="38">
        <v>2</v>
      </c>
      <c r="AS184" s="38"/>
      <c r="AT184" s="38">
        <v>2</v>
      </c>
      <c r="AU184" s="38"/>
      <c r="AV184" s="38">
        <v>3</v>
      </c>
      <c r="AW184" s="38"/>
      <c r="AX184" s="38">
        <v>1</v>
      </c>
      <c r="AY184" s="38"/>
      <c r="AZ184" s="38">
        <v>1</v>
      </c>
      <c r="BA184" s="38"/>
      <c r="BB184" s="38">
        <v>2</v>
      </c>
      <c r="BC184" s="38"/>
      <c r="BD184" s="38">
        <v>2</v>
      </c>
      <c r="BE184" s="38"/>
      <c r="BF184" s="38">
        <v>4</v>
      </c>
      <c r="BG184" s="38"/>
      <c r="BH184" s="38">
        <v>3</v>
      </c>
      <c r="BI184" s="38" t="s">
        <v>184</v>
      </c>
      <c r="BJ184" s="38" t="s">
        <v>291</v>
      </c>
      <c r="BK184" s="38">
        <v>1</v>
      </c>
      <c r="BL184" s="38"/>
      <c r="BM184" s="40" t="s">
        <v>292</v>
      </c>
      <c r="BN184" s="40">
        <v>3212086537</v>
      </c>
      <c r="BO184" s="40"/>
      <c r="BP184" s="42" t="s">
        <v>84</v>
      </c>
    </row>
    <row r="185" spans="1:68" x14ac:dyDescent="0.25">
      <c r="A185" s="43"/>
      <c r="B185" s="44"/>
      <c r="C185" s="45"/>
      <c r="D185" s="58"/>
      <c r="E185" s="58"/>
      <c r="F185" s="58"/>
      <c r="G185" s="58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124" t="s">
        <v>77</v>
      </c>
      <c r="AA185" s="124" t="s">
        <v>437</v>
      </c>
      <c r="AB185" s="124" t="str">
        <f t="shared" ref="AB185:AB190" si="17">+CONCATENATE(Z185,"-",AA185)</f>
        <v>Limpieza-Diario</v>
      </c>
      <c r="AC185" s="39"/>
      <c r="AD185" s="39"/>
      <c r="AE185" s="124" t="s">
        <v>439</v>
      </c>
      <c r="AF185" s="124" t="s">
        <v>437</v>
      </c>
      <c r="AG185" s="124" t="str">
        <f t="shared" si="12"/>
        <v>Descuento-Diario</v>
      </c>
      <c r="AH185" s="124" t="s">
        <v>584</v>
      </c>
      <c r="AI185" s="59"/>
      <c r="AJ185" s="39"/>
      <c r="AK185" s="124" t="s">
        <v>434</v>
      </c>
      <c r="AL185" s="124" t="s">
        <v>436</v>
      </c>
      <c r="AM185" s="124" t="str">
        <f t="shared" si="13"/>
        <v>Aseo Personal-Semanal</v>
      </c>
      <c r="AN185" s="39"/>
      <c r="AO185" s="39"/>
      <c r="AP185" s="39"/>
      <c r="AQ185" s="39"/>
      <c r="AR185" s="39"/>
      <c r="AS185" s="39"/>
      <c r="AT185" s="39"/>
      <c r="AU185" s="39"/>
      <c r="AV185" s="39"/>
      <c r="AW185" s="39"/>
      <c r="AX185" s="39"/>
      <c r="AY185" s="39"/>
      <c r="AZ185" s="39"/>
      <c r="BA185" s="39"/>
      <c r="BB185" s="39"/>
      <c r="BC185" s="39"/>
      <c r="BD185" s="39"/>
      <c r="BE185" s="39"/>
      <c r="BF185" s="39"/>
      <c r="BG185" s="39"/>
      <c r="BH185" s="39"/>
      <c r="BI185" s="39"/>
      <c r="BJ185" s="39"/>
      <c r="BK185" s="39"/>
      <c r="BL185" s="39"/>
      <c r="BM185" s="46"/>
      <c r="BN185" s="46"/>
      <c r="BO185" s="46"/>
      <c r="BP185" s="48"/>
    </row>
    <row r="186" spans="1:68" x14ac:dyDescent="0.25">
      <c r="A186" s="43"/>
      <c r="B186" s="44"/>
      <c r="C186" s="45"/>
      <c r="D186" s="58"/>
      <c r="E186" s="58"/>
      <c r="F186" s="58"/>
      <c r="G186" s="58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124" t="s">
        <v>435</v>
      </c>
      <c r="AA186" s="124" t="s">
        <v>437</v>
      </c>
      <c r="AB186" s="124" t="str">
        <f t="shared" si="17"/>
        <v>Dulces y Paquetes-Diario</v>
      </c>
      <c r="AC186" s="39"/>
      <c r="AD186" s="39"/>
      <c r="AE186" s="124" t="s">
        <v>195</v>
      </c>
      <c r="AF186" s="124" t="s">
        <v>436</v>
      </c>
      <c r="AG186" s="124" t="str">
        <f t="shared" si="12"/>
        <v>Ofertas-Semanal</v>
      </c>
      <c r="AH186" s="124" t="s">
        <v>552</v>
      </c>
      <c r="AI186" s="59"/>
      <c r="AJ186" s="39"/>
      <c r="AK186" s="124" t="s">
        <v>77</v>
      </c>
      <c r="AL186" s="124" t="s">
        <v>436</v>
      </c>
      <c r="AM186" s="124" t="str">
        <f t="shared" si="13"/>
        <v>Limpieza-Semanal</v>
      </c>
      <c r="AN186" s="39"/>
      <c r="AO186" s="39"/>
      <c r="AP186" s="39"/>
      <c r="AQ186" s="39"/>
      <c r="AR186" s="39"/>
      <c r="AS186" s="39"/>
      <c r="AT186" s="39"/>
      <c r="AU186" s="39"/>
      <c r="AV186" s="39"/>
      <c r="AW186" s="39"/>
      <c r="AX186" s="39"/>
      <c r="AY186" s="39"/>
      <c r="AZ186" s="39"/>
      <c r="BA186" s="39"/>
      <c r="BB186" s="39"/>
      <c r="BC186" s="39"/>
      <c r="BD186" s="39"/>
      <c r="BE186" s="39"/>
      <c r="BF186" s="39"/>
      <c r="BG186" s="39"/>
      <c r="BH186" s="39"/>
      <c r="BI186" s="39"/>
      <c r="BJ186" s="39"/>
      <c r="BK186" s="39"/>
      <c r="BL186" s="39"/>
      <c r="BM186" s="46"/>
      <c r="BN186" s="46"/>
      <c r="BO186" s="46"/>
      <c r="BP186" s="48"/>
    </row>
    <row r="187" spans="1:68" x14ac:dyDescent="0.25">
      <c r="A187" s="43"/>
      <c r="B187" s="44"/>
      <c r="C187" s="45"/>
      <c r="D187" s="58"/>
      <c r="E187" s="58"/>
      <c r="F187" s="58"/>
      <c r="G187" s="58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124"/>
      <c r="AA187" s="124"/>
      <c r="AB187" s="124"/>
      <c r="AC187" s="39"/>
      <c r="AD187" s="39"/>
      <c r="AE187" s="124" t="s">
        <v>440</v>
      </c>
      <c r="AF187" s="124" t="s">
        <v>437</v>
      </c>
      <c r="AG187" s="124" t="str">
        <f t="shared" si="12"/>
        <v>Domicilios-Diario</v>
      </c>
      <c r="AH187" s="124" t="s">
        <v>585</v>
      </c>
      <c r="AI187" s="59"/>
      <c r="AJ187" s="39"/>
      <c r="AK187" s="124"/>
      <c r="AL187" s="124"/>
      <c r="AM187" s="124"/>
      <c r="AN187" s="39"/>
      <c r="AO187" s="39"/>
      <c r="AP187" s="39"/>
      <c r="AQ187" s="39"/>
      <c r="AR187" s="39"/>
      <c r="AS187" s="39"/>
      <c r="AT187" s="39"/>
      <c r="AU187" s="39"/>
      <c r="AV187" s="39"/>
      <c r="AW187" s="39"/>
      <c r="AX187" s="39"/>
      <c r="AY187" s="39"/>
      <c r="AZ187" s="39"/>
      <c r="BA187" s="39"/>
      <c r="BB187" s="39"/>
      <c r="BC187" s="39"/>
      <c r="BD187" s="39"/>
      <c r="BE187" s="39"/>
      <c r="BF187" s="39"/>
      <c r="BG187" s="39"/>
      <c r="BH187" s="39"/>
      <c r="BI187" s="39"/>
      <c r="BJ187" s="39"/>
      <c r="BK187" s="39"/>
      <c r="BL187" s="39"/>
      <c r="BM187" s="46"/>
      <c r="BN187" s="46"/>
      <c r="BO187" s="46"/>
      <c r="BP187" s="48"/>
    </row>
    <row r="188" spans="1:68" x14ac:dyDescent="0.25">
      <c r="A188" s="43"/>
      <c r="B188" s="44"/>
      <c r="C188" s="45"/>
      <c r="D188" s="58"/>
      <c r="E188" s="58"/>
      <c r="F188" s="58"/>
      <c r="G188" s="58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124"/>
      <c r="AA188" s="124"/>
      <c r="AB188" s="124"/>
      <c r="AC188" s="39"/>
      <c r="AD188" s="39"/>
      <c r="AE188" s="124" t="s">
        <v>448</v>
      </c>
      <c r="AF188" s="124" t="s">
        <v>437</v>
      </c>
      <c r="AG188" s="124" t="str">
        <f t="shared" si="12"/>
        <v>Asesoramiento-Diario</v>
      </c>
      <c r="AH188" s="124" t="s">
        <v>586</v>
      </c>
      <c r="AI188" s="59"/>
      <c r="AJ188" s="39"/>
      <c r="AK188" s="124"/>
      <c r="AL188" s="124"/>
      <c r="AM188" s="124"/>
      <c r="AN188" s="39"/>
      <c r="AO188" s="39"/>
      <c r="AP188" s="39"/>
      <c r="AQ188" s="39"/>
      <c r="AR188" s="39"/>
      <c r="AS188" s="39"/>
      <c r="AT188" s="39"/>
      <c r="AU188" s="39"/>
      <c r="AV188" s="39"/>
      <c r="AW188" s="39"/>
      <c r="AX188" s="39"/>
      <c r="AY188" s="39"/>
      <c r="AZ188" s="39"/>
      <c r="BA188" s="39"/>
      <c r="BB188" s="39"/>
      <c r="BC188" s="39"/>
      <c r="BD188" s="39"/>
      <c r="BE188" s="39"/>
      <c r="BF188" s="39"/>
      <c r="BG188" s="39"/>
      <c r="BH188" s="39"/>
      <c r="BI188" s="39"/>
      <c r="BJ188" s="39"/>
      <c r="BK188" s="39"/>
      <c r="BL188" s="39"/>
      <c r="BM188" s="46"/>
      <c r="BN188" s="46"/>
      <c r="BO188" s="46"/>
      <c r="BP188" s="48"/>
    </row>
    <row r="189" spans="1:68" x14ac:dyDescent="0.25">
      <c r="A189" s="49"/>
      <c r="B189" s="50"/>
      <c r="C189" s="51"/>
      <c r="D189" s="60"/>
      <c r="E189" s="60"/>
      <c r="F189" s="60"/>
      <c r="G189" s="60"/>
      <c r="H189" s="61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125"/>
      <c r="AA189" s="125"/>
      <c r="AB189" s="124"/>
      <c r="AC189" s="7"/>
      <c r="AD189" s="7"/>
      <c r="AE189" s="125" t="s">
        <v>441</v>
      </c>
      <c r="AF189" s="125" t="s">
        <v>437</v>
      </c>
      <c r="AG189" s="125" t="str">
        <f t="shared" si="12"/>
        <v>Atención al Cliente-Diario</v>
      </c>
      <c r="AH189" s="125" t="s">
        <v>446</v>
      </c>
      <c r="AI189" s="61"/>
      <c r="AJ189" s="7"/>
      <c r="AK189" s="125"/>
      <c r="AL189" s="125"/>
      <c r="AM189" s="125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52"/>
      <c r="BN189" s="52"/>
      <c r="BO189" s="52"/>
      <c r="BP189" s="54"/>
    </row>
    <row r="190" spans="1:68" x14ac:dyDescent="0.25">
      <c r="A190" s="35">
        <v>47</v>
      </c>
      <c r="B190" s="36">
        <v>44804</v>
      </c>
      <c r="C190" s="37" t="s">
        <v>293</v>
      </c>
      <c r="D190" s="56">
        <v>2</v>
      </c>
      <c r="E190" s="56">
        <v>1</v>
      </c>
      <c r="F190" s="56">
        <v>1</v>
      </c>
      <c r="G190" s="56">
        <v>12</v>
      </c>
      <c r="H190" s="57">
        <v>4</v>
      </c>
      <c r="I190" s="57">
        <v>1</v>
      </c>
      <c r="J190" s="57">
        <v>1</v>
      </c>
      <c r="K190" s="57">
        <v>1</v>
      </c>
      <c r="L190" s="57">
        <v>1</v>
      </c>
      <c r="M190" s="57">
        <v>3</v>
      </c>
      <c r="N190" s="57">
        <v>3</v>
      </c>
      <c r="O190" s="57">
        <v>1</v>
      </c>
      <c r="P190" s="57"/>
      <c r="Q190" s="57">
        <v>1</v>
      </c>
      <c r="R190" s="57" t="s">
        <v>294</v>
      </c>
      <c r="S190" s="57"/>
      <c r="T190" s="57"/>
      <c r="U190" s="57"/>
      <c r="V190" s="57" t="s">
        <v>125</v>
      </c>
      <c r="W190" s="57" t="s">
        <v>124</v>
      </c>
      <c r="X190" s="57"/>
      <c r="Y190" s="57"/>
      <c r="Z190" s="124" t="s">
        <v>435</v>
      </c>
      <c r="AA190" s="123" t="s">
        <v>436</v>
      </c>
      <c r="AB190" s="123" t="str">
        <f t="shared" si="17"/>
        <v>Dulces y Paquetes-Semanal</v>
      </c>
      <c r="AC190" s="38" t="s">
        <v>267</v>
      </c>
      <c r="AD190" s="38" t="s">
        <v>295</v>
      </c>
      <c r="AE190" s="124" t="s">
        <v>440</v>
      </c>
      <c r="AF190" s="123" t="s">
        <v>436</v>
      </c>
      <c r="AG190" s="123" t="str">
        <f t="shared" si="12"/>
        <v>Domicilios-Semanal</v>
      </c>
      <c r="AH190" s="123" t="s">
        <v>581</v>
      </c>
      <c r="AI190" s="57">
        <v>1</v>
      </c>
      <c r="AJ190" s="38" t="s">
        <v>80</v>
      </c>
      <c r="AK190" s="123" t="s">
        <v>435</v>
      </c>
      <c r="AL190" s="123" t="s">
        <v>436</v>
      </c>
      <c r="AM190" s="123" t="str">
        <f t="shared" si="13"/>
        <v>Dulces y Paquetes-Semanal</v>
      </c>
      <c r="AN190" s="38" t="s">
        <v>104</v>
      </c>
      <c r="AO190" s="38">
        <v>4</v>
      </c>
      <c r="AP190" s="38">
        <v>1</v>
      </c>
      <c r="AQ190" s="38"/>
      <c r="AR190" s="38">
        <v>2</v>
      </c>
      <c r="AS190" s="38"/>
      <c r="AT190" s="38">
        <v>3</v>
      </c>
      <c r="AU190" s="38"/>
      <c r="AV190" s="38">
        <v>1</v>
      </c>
      <c r="AW190" s="38"/>
      <c r="AX190" s="38">
        <v>1</v>
      </c>
      <c r="AY190" s="38"/>
      <c r="AZ190" s="38">
        <v>2</v>
      </c>
      <c r="BA190" s="38"/>
      <c r="BB190" s="38">
        <v>4</v>
      </c>
      <c r="BC190" s="38"/>
      <c r="BD190" s="38">
        <v>2</v>
      </c>
      <c r="BE190" s="38"/>
      <c r="BF190" s="38">
        <v>3</v>
      </c>
      <c r="BG190" s="38"/>
      <c r="BH190" s="38">
        <v>1</v>
      </c>
      <c r="BI190" s="38" t="s">
        <v>184</v>
      </c>
      <c r="BJ190" s="38" t="s">
        <v>296</v>
      </c>
      <c r="BK190" s="38">
        <v>1</v>
      </c>
      <c r="BL190" s="38"/>
      <c r="BM190" s="40" t="s">
        <v>297</v>
      </c>
      <c r="BN190" s="40">
        <v>3144918694</v>
      </c>
      <c r="BO190" s="40"/>
      <c r="BP190" s="42" t="s">
        <v>84</v>
      </c>
    </row>
    <row r="191" spans="1:68" x14ac:dyDescent="0.25">
      <c r="A191" s="43"/>
      <c r="B191" s="44"/>
      <c r="C191" s="45"/>
      <c r="D191" s="58"/>
      <c r="E191" s="58"/>
      <c r="F191" s="58"/>
      <c r="G191" s="58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124"/>
      <c r="AA191" s="124"/>
      <c r="AB191" s="124"/>
      <c r="AC191" s="39"/>
      <c r="AD191" s="39"/>
      <c r="AE191" s="124" t="s">
        <v>441</v>
      </c>
      <c r="AF191" s="124" t="s">
        <v>437</v>
      </c>
      <c r="AG191" s="124" t="str">
        <f t="shared" si="12"/>
        <v>Atención al Cliente-Diario</v>
      </c>
      <c r="AH191" s="124" t="s">
        <v>573</v>
      </c>
      <c r="AI191" s="59"/>
      <c r="AJ191" s="39"/>
      <c r="AK191" s="124"/>
      <c r="AL191" s="124"/>
      <c r="AM191" s="124"/>
      <c r="AN191" s="39"/>
      <c r="AO191" s="39"/>
      <c r="AP191" s="39"/>
      <c r="AQ191" s="39"/>
      <c r="AR191" s="39"/>
      <c r="AS191" s="39"/>
      <c r="AT191" s="39"/>
      <c r="AU191" s="39"/>
      <c r="AV191" s="39"/>
      <c r="AW191" s="39"/>
      <c r="AX191" s="39"/>
      <c r="AY191" s="39"/>
      <c r="AZ191" s="39"/>
      <c r="BA191" s="39"/>
      <c r="BB191" s="39"/>
      <c r="BC191" s="39"/>
      <c r="BD191" s="39"/>
      <c r="BE191" s="39"/>
      <c r="BF191" s="39"/>
      <c r="BG191" s="39"/>
      <c r="BH191" s="39"/>
      <c r="BI191" s="39"/>
      <c r="BJ191" s="39"/>
      <c r="BK191" s="39"/>
      <c r="BL191" s="39"/>
      <c r="BM191" s="46"/>
      <c r="BN191" s="46"/>
      <c r="BO191" s="46"/>
      <c r="BP191" s="48"/>
    </row>
    <row r="192" spans="1:68" x14ac:dyDescent="0.25">
      <c r="A192" s="35">
        <v>48</v>
      </c>
      <c r="B192" s="36">
        <v>44802</v>
      </c>
      <c r="C192" s="37" t="s">
        <v>298</v>
      </c>
      <c r="D192" s="56">
        <v>1</v>
      </c>
      <c r="E192" s="56">
        <v>2</v>
      </c>
      <c r="F192" s="56">
        <v>1</v>
      </c>
      <c r="G192" s="56">
        <v>12</v>
      </c>
      <c r="H192" s="57">
        <v>2</v>
      </c>
      <c r="I192" s="57">
        <v>1</v>
      </c>
      <c r="J192" s="57">
        <v>2</v>
      </c>
      <c r="K192" s="57">
        <v>2</v>
      </c>
      <c r="L192" s="57">
        <v>1</v>
      </c>
      <c r="M192" s="57">
        <v>1</v>
      </c>
      <c r="N192" s="57">
        <v>3</v>
      </c>
      <c r="O192" s="57">
        <v>2</v>
      </c>
      <c r="P192" s="57"/>
      <c r="Q192" s="57">
        <v>3</v>
      </c>
      <c r="R192" s="57" t="s">
        <v>560</v>
      </c>
      <c r="S192" s="57" t="s">
        <v>88</v>
      </c>
      <c r="T192" s="57"/>
      <c r="U192" s="57" t="s">
        <v>0</v>
      </c>
      <c r="V192" s="57" t="s">
        <v>249</v>
      </c>
      <c r="W192" s="57" t="s">
        <v>0</v>
      </c>
      <c r="X192" s="57"/>
      <c r="Y192" s="57"/>
      <c r="Z192" s="123" t="s">
        <v>435</v>
      </c>
      <c r="AA192" s="123"/>
      <c r="AB192" s="123"/>
      <c r="AC192" s="38" t="s">
        <v>299</v>
      </c>
      <c r="AD192" s="38"/>
      <c r="AE192" s="123" t="s">
        <v>440</v>
      </c>
      <c r="AF192" s="123" t="s">
        <v>437</v>
      </c>
      <c r="AG192" s="123" t="str">
        <f t="shared" si="12"/>
        <v>Domicilios-Diario</v>
      </c>
      <c r="AH192" s="123" t="s">
        <v>587</v>
      </c>
      <c r="AI192" s="57">
        <v>1</v>
      </c>
      <c r="AJ192" s="38" t="s">
        <v>300</v>
      </c>
      <c r="AK192" s="123" t="s">
        <v>435</v>
      </c>
      <c r="AL192" s="123" t="s">
        <v>436</v>
      </c>
      <c r="AM192" s="123" t="str">
        <f t="shared" si="13"/>
        <v>Dulces y Paquetes-Semanal</v>
      </c>
      <c r="AN192" s="38" t="s">
        <v>104</v>
      </c>
      <c r="AO192" s="38">
        <v>1</v>
      </c>
      <c r="AP192" s="38">
        <v>2</v>
      </c>
      <c r="AQ192" s="38"/>
      <c r="AR192" s="38">
        <v>2</v>
      </c>
      <c r="AS192" s="38"/>
      <c r="AT192" s="38">
        <v>3</v>
      </c>
      <c r="AU192" s="38"/>
      <c r="AV192" s="38">
        <v>1</v>
      </c>
      <c r="AW192" s="38"/>
      <c r="AX192" s="38">
        <v>1</v>
      </c>
      <c r="AY192" s="38"/>
      <c r="AZ192" s="38">
        <v>2</v>
      </c>
      <c r="BA192" s="38"/>
      <c r="BB192" s="38">
        <v>6</v>
      </c>
      <c r="BC192" s="38"/>
      <c r="BD192" s="38">
        <v>4</v>
      </c>
      <c r="BE192" s="38"/>
      <c r="BF192" s="38">
        <v>4</v>
      </c>
      <c r="BG192" s="38"/>
      <c r="BH192" s="38">
        <v>2</v>
      </c>
      <c r="BI192" s="38" t="s">
        <v>136</v>
      </c>
      <c r="BJ192" s="38" t="s">
        <v>184</v>
      </c>
      <c r="BK192" s="38">
        <v>3</v>
      </c>
      <c r="BL192" s="38"/>
      <c r="BM192" s="40" t="s">
        <v>139</v>
      </c>
      <c r="BN192" s="40">
        <v>3116095268</v>
      </c>
      <c r="BO192" s="41" t="s">
        <v>301</v>
      </c>
      <c r="BP192" s="42" t="s">
        <v>84</v>
      </c>
    </row>
    <row r="193" spans="1:68" x14ac:dyDescent="0.25">
      <c r="A193" s="43"/>
      <c r="B193" s="44"/>
      <c r="C193" s="45"/>
      <c r="D193" s="58"/>
      <c r="E193" s="58"/>
      <c r="F193" s="58"/>
      <c r="G193" s="58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124"/>
      <c r="AA193" s="124"/>
      <c r="AB193" s="124"/>
      <c r="AC193" s="39"/>
      <c r="AD193" s="39"/>
      <c r="AE193" s="124"/>
      <c r="AF193" s="124"/>
      <c r="AG193" s="124" t="str">
        <f t="shared" si="12"/>
        <v>-</v>
      </c>
      <c r="AH193" s="124"/>
      <c r="AI193" s="59"/>
      <c r="AJ193" s="39"/>
      <c r="AK193" s="124"/>
      <c r="AL193" s="124"/>
      <c r="AM193" s="124"/>
      <c r="AN193" s="39"/>
      <c r="AO193" s="39"/>
      <c r="AP193" s="39"/>
      <c r="AQ193" s="39"/>
      <c r="AR193" s="39"/>
      <c r="AS193" s="39"/>
      <c r="AT193" s="39"/>
      <c r="AU193" s="39"/>
      <c r="AV193" s="39"/>
      <c r="AW193" s="39"/>
      <c r="AX193" s="39"/>
      <c r="AY193" s="39"/>
      <c r="AZ193" s="39"/>
      <c r="BA193" s="39"/>
      <c r="BB193" s="39"/>
      <c r="BC193" s="39"/>
      <c r="BD193" s="39"/>
      <c r="BE193" s="39"/>
      <c r="BF193" s="39"/>
      <c r="BG193" s="39"/>
      <c r="BH193" s="39"/>
      <c r="BI193" s="39"/>
      <c r="BJ193" s="39"/>
      <c r="BK193" s="39"/>
      <c r="BL193" s="39"/>
      <c r="BM193" s="46"/>
      <c r="BN193" s="46"/>
      <c r="BO193" s="47"/>
      <c r="BP193" s="48"/>
    </row>
    <row r="194" spans="1:68" x14ac:dyDescent="0.25">
      <c r="A194" s="49"/>
      <c r="B194" s="50"/>
      <c r="C194" s="51"/>
      <c r="D194" s="60"/>
      <c r="E194" s="60"/>
      <c r="F194" s="60"/>
      <c r="G194" s="60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125"/>
      <c r="AA194" s="125"/>
      <c r="AB194" s="125"/>
      <c r="AC194" s="7"/>
      <c r="AD194" s="7"/>
      <c r="AE194" s="125"/>
      <c r="AF194" s="125"/>
      <c r="AG194" s="125" t="str">
        <f t="shared" si="12"/>
        <v>-</v>
      </c>
      <c r="AH194" s="125"/>
      <c r="AI194" s="61"/>
      <c r="AJ194" s="7"/>
      <c r="AK194" s="125"/>
      <c r="AL194" s="125"/>
      <c r="AM194" s="125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52"/>
      <c r="BN194" s="52"/>
      <c r="BO194" s="53"/>
      <c r="BP194" s="54"/>
    </row>
    <row r="195" spans="1:68" x14ac:dyDescent="0.25">
      <c r="A195" s="35">
        <v>49</v>
      </c>
      <c r="B195" s="36">
        <v>44804</v>
      </c>
      <c r="C195" s="37" t="s">
        <v>302</v>
      </c>
      <c r="D195" s="56">
        <v>2</v>
      </c>
      <c r="E195" s="56">
        <v>2</v>
      </c>
      <c r="F195" s="56">
        <v>1</v>
      </c>
      <c r="G195" s="56">
        <v>12</v>
      </c>
      <c r="H195" s="57">
        <v>2</v>
      </c>
      <c r="I195" s="57">
        <v>1</v>
      </c>
      <c r="J195" s="57">
        <v>2</v>
      </c>
      <c r="K195" s="57">
        <v>2</v>
      </c>
      <c r="L195" s="57">
        <v>1</v>
      </c>
      <c r="M195" s="57">
        <v>3</v>
      </c>
      <c r="N195" s="57">
        <v>3</v>
      </c>
      <c r="O195" s="57">
        <v>2</v>
      </c>
      <c r="P195" s="57"/>
      <c r="Q195" s="57">
        <v>2</v>
      </c>
      <c r="R195" s="57"/>
      <c r="S195" s="57"/>
      <c r="T195" s="57"/>
      <c r="U195" s="57"/>
      <c r="V195" s="57" t="s">
        <v>303</v>
      </c>
      <c r="W195" s="57" t="s">
        <v>194</v>
      </c>
      <c r="X195" s="57" t="s">
        <v>229</v>
      </c>
      <c r="Y195" s="57"/>
      <c r="Z195" s="123" t="s">
        <v>435</v>
      </c>
      <c r="AA195" s="123"/>
      <c r="AB195" s="123"/>
      <c r="AC195" s="38" t="s">
        <v>188</v>
      </c>
      <c r="AD195" s="38" t="s">
        <v>231</v>
      </c>
      <c r="AE195" s="123" t="s">
        <v>440</v>
      </c>
      <c r="AF195" s="123" t="s">
        <v>437</v>
      </c>
      <c r="AG195" s="123" t="str">
        <f t="shared" si="12"/>
        <v>Domicilios-Diario</v>
      </c>
      <c r="AH195" s="123" t="s">
        <v>553</v>
      </c>
      <c r="AI195" s="57">
        <v>1</v>
      </c>
      <c r="AJ195" s="38" t="s">
        <v>304</v>
      </c>
      <c r="AK195" s="123" t="s">
        <v>435</v>
      </c>
      <c r="AL195" s="123" t="s">
        <v>436</v>
      </c>
      <c r="AM195" s="123" t="str">
        <f t="shared" si="13"/>
        <v>Dulces y Paquetes-Semanal</v>
      </c>
      <c r="AN195" s="38" t="s">
        <v>100</v>
      </c>
      <c r="AO195" s="38">
        <v>1</v>
      </c>
      <c r="AP195" s="38">
        <v>1</v>
      </c>
      <c r="AQ195" s="38"/>
      <c r="AR195" s="38">
        <v>2</v>
      </c>
      <c r="AS195" s="38" t="s">
        <v>116</v>
      </c>
      <c r="AT195" s="38">
        <v>3</v>
      </c>
      <c r="AU195" s="38"/>
      <c r="AV195" s="38">
        <v>2</v>
      </c>
      <c r="AW195" s="38"/>
      <c r="AX195" s="38">
        <v>2</v>
      </c>
      <c r="AY195" s="38"/>
      <c r="AZ195" s="38">
        <v>2</v>
      </c>
      <c r="BA195" s="38"/>
      <c r="BB195" s="38">
        <v>3</v>
      </c>
      <c r="BC195" s="38"/>
      <c r="BD195" s="38">
        <v>7</v>
      </c>
      <c r="BE195" s="38"/>
      <c r="BF195" s="38">
        <v>6</v>
      </c>
      <c r="BG195" s="38"/>
      <c r="BH195" s="38">
        <v>3</v>
      </c>
      <c r="BI195" s="38" t="s">
        <v>80</v>
      </c>
      <c r="BJ195" s="38" t="s">
        <v>305</v>
      </c>
      <c r="BK195" s="38">
        <v>1</v>
      </c>
      <c r="BL195" s="38"/>
      <c r="BM195" s="40" t="s">
        <v>306</v>
      </c>
      <c r="BN195" s="40">
        <v>3213971041</v>
      </c>
      <c r="BO195" s="40"/>
      <c r="BP195" s="42" t="s">
        <v>83</v>
      </c>
    </row>
    <row r="196" spans="1:68" x14ac:dyDescent="0.25">
      <c r="A196" s="49"/>
      <c r="B196" s="50"/>
      <c r="C196" s="51"/>
      <c r="D196" s="60"/>
      <c r="E196" s="60"/>
      <c r="F196" s="60"/>
      <c r="G196" s="60"/>
      <c r="H196" s="61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125"/>
      <c r="AA196" s="125"/>
      <c r="AB196" s="125"/>
      <c r="AC196" s="7"/>
      <c r="AD196" s="7"/>
      <c r="AE196" s="125"/>
      <c r="AF196" s="125"/>
      <c r="AG196" s="125" t="str">
        <f t="shared" si="12"/>
        <v>-</v>
      </c>
      <c r="AH196" s="125"/>
      <c r="AI196" s="61"/>
      <c r="AJ196" s="7"/>
      <c r="AK196" s="125"/>
      <c r="AL196" s="125"/>
      <c r="AM196" s="125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52"/>
      <c r="BN196" s="52"/>
      <c r="BO196" s="52"/>
      <c r="BP196" s="54"/>
    </row>
    <row r="197" spans="1:68" x14ac:dyDescent="0.25">
      <c r="A197" s="35">
        <v>50</v>
      </c>
      <c r="B197" s="36">
        <v>44804</v>
      </c>
      <c r="C197" s="37" t="s">
        <v>307</v>
      </c>
      <c r="D197" s="56">
        <v>1</v>
      </c>
      <c r="E197" s="56">
        <v>2</v>
      </c>
      <c r="F197" s="56">
        <v>1</v>
      </c>
      <c r="G197" s="56">
        <v>12</v>
      </c>
      <c r="H197" s="57">
        <v>4</v>
      </c>
      <c r="I197" s="57">
        <v>3</v>
      </c>
      <c r="J197" s="57">
        <v>3</v>
      </c>
      <c r="K197" s="57">
        <v>2</v>
      </c>
      <c r="L197" s="57">
        <v>1</v>
      </c>
      <c r="M197" s="57">
        <v>3</v>
      </c>
      <c r="N197" s="57">
        <v>3</v>
      </c>
      <c r="O197" s="57">
        <v>3</v>
      </c>
      <c r="P197" s="57"/>
      <c r="Q197" s="57">
        <v>2</v>
      </c>
      <c r="R197" s="57"/>
      <c r="S197" s="57"/>
      <c r="T197" s="57"/>
      <c r="U197" s="57"/>
      <c r="V197" s="57" t="s">
        <v>165</v>
      </c>
      <c r="W197" s="57" t="s">
        <v>194</v>
      </c>
      <c r="X197" s="57"/>
      <c r="Y197" s="57"/>
      <c r="Z197" s="123" t="s">
        <v>433</v>
      </c>
      <c r="AA197" s="123" t="s">
        <v>509</v>
      </c>
      <c r="AB197" s="123" t="str">
        <f>+CONCATENATE(Z197,"-",AA197)</f>
        <v>Droguería-Quincenal</v>
      </c>
      <c r="AC197" s="38" t="s">
        <v>308</v>
      </c>
      <c r="AD197" s="38" t="s">
        <v>309</v>
      </c>
      <c r="AE197" s="123" t="s">
        <v>195</v>
      </c>
      <c r="AF197" s="123" t="s">
        <v>442</v>
      </c>
      <c r="AG197" s="123" t="str">
        <f t="shared" si="12"/>
        <v>Ofertas-Mensual</v>
      </c>
      <c r="AH197" s="123" t="s">
        <v>552</v>
      </c>
      <c r="AI197" s="57">
        <v>2</v>
      </c>
      <c r="AJ197" s="38" t="s">
        <v>99</v>
      </c>
      <c r="AK197" s="123" t="s">
        <v>433</v>
      </c>
      <c r="AL197" s="123" t="s">
        <v>509</v>
      </c>
      <c r="AM197" s="123" t="str">
        <f t="shared" si="13"/>
        <v>Droguería-Quincenal</v>
      </c>
      <c r="AN197" s="38" t="s">
        <v>104</v>
      </c>
      <c r="AO197" s="38">
        <v>1</v>
      </c>
      <c r="AP197" s="38">
        <v>2</v>
      </c>
      <c r="AQ197" s="38"/>
      <c r="AR197" s="38">
        <v>2</v>
      </c>
      <c r="AS197" s="38"/>
      <c r="AT197" s="38">
        <v>3</v>
      </c>
      <c r="AU197" s="38"/>
      <c r="AV197" s="38">
        <v>1</v>
      </c>
      <c r="AW197" s="38"/>
      <c r="AX197" s="38">
        <v>2</v>
      </c>
      <c r="AY197" s="38"/>
      <c r="AZ197" s="38">
        <v>2</v>
      </c>
      <c r="BA197" s="38"/>
      <c r="BB197" s="38">
        <v>4</v>
      </c>
      <c r="BC197" s="38"/>
      <c r="BD197" s="38">
        <v>4</v>
      </c>
      <c r="BE197" s="38"/>
      <c r="BF197" s="38">
        <v>4</v>
      </c>
      <c r="BG197" s="38"/>
      <c r="BH197" s="38">
        <v>2</v>
      </c>
      <c r="BI197" s="38" t="s">
        <v>184</v>
      </c>
      <c r="BJ197" s="38" t="s">
        <v>296</v>
      </c>
      <c r="BK197" s="38">
        <v>4</v>
      </c>
      <c r="BL197" s="38"/>
      <c r="BM197" s="40" t="s">
        <v>310</v>
      </c>
      <c r="BN197" s="40">
        <v>3142844355</v>
      </c>
      <c r="BO197" s="40"/>
      <c r="BP197" s="42" t="s">
        <v>83</v>
      </c>
    </row>
    <row r="198" spans="1:68" x14ac:dyDescent="0.25">
      <c r="A198" s="43"/>
      <c r="B198" s="44"/>
      <c r="C198" s="45"/>
      <c r="D198" s="58"/>
      <c r="E198" s="58"/>
      <c r="F198" s="58"/>
      <c r="G198" s="58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124" t="s">
        <v>434</v>
      </c>
      <c r="AA198" s="124" t="s">
        <v>509</v>
      </c>
      <c r="AB198" s="124" t="str">
        <f t="shared" ref="AB198:AB264" si="18">+CONCATENATE(Z198,"-",AA198)</f>
        <v>Aseo Personal-Quincenal</v>
      </c>
      <c r="AC198" s="39"/>
      <c r="AD198" s="39"/>
      <c r="AE198" s="124" t="s">
        <v>440</v>
      </c>
      <c r="AF198" s="124" t="s">
        <v>437</v>
      </c>
      <c r="AG198" s="124" t="str">
        <f t="shared" ref="AG198:AG261" si="19">+CONCATENATE(AE198,"-",AF198)</f>
        <v>Domicilios-Diario</v>
      </c>
      <c r="AH198" s="124" t="s">
        <v>553</v>
      </c>
      <c r="AI198" s="59"/>
      <c r="AJ198" s="39"/>
      <c r="AK198" s="124" t="s">
        <v>435</v>
      </c>
      <c r="AL198" s="124" t="s">
        <v>436</v>
      </c>
      <c r="AM198" s="124" t="str">
        <f t="shared" ref="AM198:AM261" si="20">CONCATENATE(AK198,"-",AL198)</f>
        <v>Dulces y Paquetes-Semanal</v>
      </c>
      <c r="AN198" s="39"/>
      <c r="AO198" s="39"/>
      <c r="AP198" s="39"/>
      <c r="AQ198" s="39"/>
      <c r="AR198" s="39"/>
      <c r="AS198" s="39"/>
      <c r="AT198" s="39"/>
      <c r="AU198" s="39"/>
      <c r="AV198" s="39"/>
      <c r="AW198" s="39"/>
      <c r="AX198" s="39"/>
      <c r="AY198" s="39"/>
      <c r="AZ198" s="39"/>
      <c r="BA198" s="39"/>
      <c r="BB198" s="39"/>
      <c r="BC198" s="39"/>
      <c r="BD198" s="39"/>
      <c r="BE198" s="39"/>
      <c r="BF198" s="39"/>
      <c r="BG198" s="39"/>
      <c r="BH198" s="39"/>
      <c r="BI198" s="39"/>
      <c r="BJ198" s="39"/>
      <c r="BK198" s="39"/>
      <c r="BL198" s="39"/>
      <c r="BM198" s="46"/>
      <c r="BN198" s="46"/>
      <c r="BO198" s="46"/>
      <c r="BP198" s="48"/>
    </row>
    <row r="199" spans="1:68" x14ac:dyDescent="0.25">
      <c r="A199" s="43"/>
      <c r="B199" s="44"/>
      <c r="C199" s="45"/>
      <c r="D199" s="58"/>
      <c r="E199" s="58"/>
      <c r="F199" s="58"/>
      <c r="G199" s="58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124" t="s">
        <v>435</v>
      </c>
      <c r="AA199" s="124" t="s">
        <v>436</v>
      </c>
      <c r="AB199" s="124" t="str">
        <f t="shared" si="18"/>
        <v>Dulces y Paquetes-Semanal</v>
      </c>
      <c r="AC199" s="39"/>
      <c r="AD199" s="39"/>
      <c r="AE199" s="124" t="s">
        <v>441</v>
      </c>
      <c r="AF199" s="124" t="s">
        <v>437</v>
      </c>
      <c r="AG199" s="124" t="str">
        <f t="shared" si="19"/>
        <v>Atención al Cliente-Diario</v>
      </c>
      <c r="AH199" s="124" t="s">
        <v>446</v>
      </c>
      <c r="AI199" s="59"/>
      <c r="AJ199" s="39"/>
      <c r="AK199" s="124" t="s">
        <v>434</v>
      </c>
      <c r="AL199" s="124" t="s">
        <v>509</v>
      </c>
      <c r="AM199" s="124" t="str">
        <f t="shared" si="20"/>
        <v>Aseo Personal-Quincenal</v>
      </c>
      <c r="AN199" s="39"/>
      <c r="AO199" s="39"/>
      <c r="AP199" s="39"/>
      <c r="AQ199" s="39"/>
      <c r="AR199" s="39"/>
      <c r="AS199" s="39"/>
      <c r="AT199" s="39"/>
      <c r="AU199" s="39"/>
      <c r="AV199" s="39"/>
      <c r="AW199" s="39"/>
      <c r="AX199" s="39"/>
      <c r="AY199" s="39"/>
      <c r="AZ199" s="39"/>
      <c r="BA199" s="39"/>
      <c r="BB199" s="39"/>
      <c r="BC199" s="39"/>
      <c r="BD199" s="39"/>
      <c r="BE199" s="39"/>
      <c r="BF199" s="39"/>
      <c r="BG199" s="39"/>
      <c r="BH199" s="39"/>
      <c r="BI199" s="39"/>
      <c r="BJ199" s="39"/>
      <c r="BK199" s="39"/>
      <c r="BL199" s="39"/>
      <c r="BM199" s="46"/>
      <c r="BN199" s="46"/>
      <c r="BO199" s="46"/>
      <c r="BP199" s="48"/>
    </row>
    <row r="200" spans="1:68" x14ac:dyDescent="0.25">
      <c r="A200" s="49"/>
      <c r="B200" s="50"/>
      <c r="C200" s="51"/>
      <c r="D200" s="60"/>
      <c r="E200" s="60"/>
      <c r="F200" s="60"/>
      <c r="G200" s="60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125"/>
      <c r="AA200" s="125"/>
      <c r="AB200" s="124"/>
      <c r="AC200" s="7"/>
      <c r="AD200" s="7"/>
      <c r="AE200" s="125"/>
      <c r="AF200" s="125"/>
      <c r="AG200" s="125" t="str">
        <f t="shared" si="19"/>
        <v>-</v>
      </c>
      <c r="AH200" s="125"/>
      <c r="AI200" s="61"/>
      <c r="AJ200" s="7"/>
      <c r="AK200" s="125" t="s">
        <v>77</v>
      </c>
      <c r="AL200" s="125" t="s">
        <v>436</v>
      </c>
      <c r="AM200" s="125" t="str">
        <f t="shared" si="20"/>
        <v>Limpieza-Semanal</v>
      </c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52"/>
      <c r="BN200" s="52"/>
      <c r="BO200" s="52"/>
      <c r="BP200" s="54"/>
    </row>
    <row r="201" spans="1:68" x14ac:dyDescent="0.25">
      <c r="A201" s="35">
        <v>51</v>
      </c>
      <c r="B201" s="36">
        <v>44804</v>
      </c>
      <c r="C201" s="37" t="s">
        <v>311</v>
      </c>
      <c r="D201" s="56">
        <v>1</v>
      </c>
      <c r="E201" s="56">
        <v>2</v>
      </c>
      <c r="F201" s="56">
        <v>1</v>
      </c>
      <c r="G201" s="56">
        <v>12</v>
      </c>
      <c r="H201" s="57">
        <v>1</v>
      </c>
      <c r="I201" s="57">
        <v>1</v>
      </c>
      <c r="J201" s="57">
        <v>2</v>
      </c>
      <c r="K201" s="57">
        <v>2</v>
      </c>
      <c r="L201" s="57">
        <v>1</v>
      </c>
      <c r="M201" s="57">
        <v>3</v>
      </c>
      <c r="N201" s="57">
        <v>3</v>
      </c>
      <c r="O201" s="57">
        <v>1</v>
      </c>
      <c r="P201" s="57"/>
      <c r="Q201" s="57">
        <v>2</v>
      </c>
      <c r="R201" s="57" t="s">
        <v>312</v>
      </c>
      <c r="S201" s="57" t="s">
        <v>313</v>
      </c>
      <c r="T201" s="57" t="s">
        <v>314</v>
      </c>
      <c r="U201" s="57"/>
      <c r="V201" s="57" t="s">
        <v>145</v>
      </c>
      <c r="W201" s="57" t="s">
        <v>96</v>
      </c>
      <c r="X201" s="57" t="s">
        <v>125</v>
      </c>
      <c r="Y201" s="57" t="s">
        <v>76</v>
      </c>
      <c r="Z201" s="123" t="s">
        <v>434</v>
      </c>
      <c r="AA201" s="123" t="s">
        <v>509</v>
      </c>
      <c r="AB201" s="124" t="str">
        <f t="shared" si="18"/>
        <v>Aseo Personal-Quincenal</v>
      </c>
      <c r="AC201" s="38" t="s">
        <v>315</v>
      </c>
      <c r="AD201" s="38" t="s">
        <v>219</v>
      </c>
      <c r="AE201" s="123" t="s">
        <v>178</v>
      </c>
      <c r="AF201" s="123" t="s">
        <v>442</v>
      </c>
      <c r="AG201" s="123" t="str">
        <f t="shared" si="19"/>
        <v>Promociones-Mensual</v>
      </c>
      <c r="AH201" s="123" t="s">
        <v>552</v>
      </c>
      <c r="AI201" s="57">
        <v>1</v>
      </c>
      <c r="AJ201" s="38" t="s">
        <v>316</v>
      </c>
      <c r="AK201" s="123" t="s">
        <v>433</v>
      </c>
      <c r="AL201" s="123" t="s">
        <v>509</v>
      </c>
      <c r="AM201" s="123" t="str">
        <f t="shared" si="20"/>
        <v>Droguería-Quincenal</v>
      </c>
      <c r="AN201" s="38" t="s">
        <v>104</v>
      </c>
      <c r="AO201" s="38">
        <v>1</v>
      </c>
      <c r="AP201" s="38">
        <v>2</v>
      </c>
      <c r="AQ201" s="38"/>
      <c r="AR201" s="38">
        <v>2</v>
      </c>
      <c r="AS201" s="38"/>
      <c r="AT201" s="38">
        <v>5</v>
      </c>
      <c r="AU201" s="38"/>
      <c r="AV201" s="38">
        <v>4</v>
      </c>
      <c r="AW201" s="38"/>
      <c r="AX201" s="38">
        <v>1</v>
      </c>
      <c r="AY201" s="38"/>
      <c r="AZ201" s="38">
        <v>2</v>
      </c>
      <c r="BA201" s="38"/>
      <c r="BB201" s="38">
        <v>6</v>
      </c>
      <c r="BC201" s="38"/>
      <c r="BD201" s="38">
        <v>2</v>
      </c>
      <c r="BE201" s="38"/>
      <c r="BF201" s="38">
        <v>4</v>
      </c>
      <c r="BG201" s="38"/>
      <c r="BH201" s="38">
        <v>3</v>
      </c>
      <c r="BI201" s="38" t="s">
        <v>136</v>
      </c>
      <c r="BJ201" s="38" t="s">
        <v>184</v>
      </c>
      <c r="BK201" s="38">
        <v>4</v>
      </c>
      <c r="BL201" s="38"/>
      <c r="BM201" s="40" t="s">
        <v>310</v>
      </c>
      <c r="BN201" s="40">
        <v>3115323115</v>
      </c>
      <c r="BO201" s="40"/>
      <c r="BP201" s="42" t="s">
        <v>84</v>
      </c>
    </row>
    <row r="202" spans="1:68" x14ac:dyDescent="0.25">
      <c r="A202" s="43"/>
      <c r="B202" s="44"/>
      <c r="C202" s="45"/>
      <c r="D202" s="58"/>
      <c r="E202" s="58"/>
      <c r="F202" s="58"/>
      <c r="G202" s="58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124" t="s">
        <v>77</v>
      </c>
      <c r="AA202" s="124" t="s">
        <v>509</v>
      </c>
      <c r="AB202" s="124" t="str">
        <f t="shared" si="18"/>
        <v>Limpieza-Quincenal</v>
      </c>
      <c r="AC202" s="39"/>
      <c r="AD202" s="39"/>
      <c r="AE202" s="124" t="s">
        <v>441</v>
      </c>
      <c r="AF202" s="124" t="s">
        <v>437</v>
      </c>
      <c r="AG202" s="124" t="str">
        <f t="shared" si="19"/>
        <v>Atención al Cliente-Diario</v>
      </c>
      <c r="AH202" s="124" t="s">
        <v>446</v>
      </c>
      <c r="AI202" s="59"/>
      <c r="AJ202" s="39"/>
      <c r="AK202" s="124" t="s">
        <v>435</v>
      </c>
      <c r="AL202" s="124" t="s">
        <v>436</v>
      </c>
      <c r="AM202" s="124" t="str">
        <f t="shared" si="20"/>
        <v>Dulces y Paquetes-Semanal</v>
      </c>
      <c r="AN202" s="39"/>
      <c r="AO202" s="39"/>
      <c r="AP202" s="39"/>
      <c r="AQ202" s="39"/>
      <c r="AR202" s="39"/>
      <c r="AS202" s="39"/>
      <c r="AT202" s="39"/>
      <c r="AU202" s="39"/>
      <c r="AV202" s="39"/>
      <c r="AW202" s="39"/>
      <c r="AX202" s="39"/>
      <c r="AY202" s="39"/>
      <c r="AZ202" s="39"/>
      <c r="BA202" s="39"/>
      <c r="BB202" s="39"/>
      <c r="BC202" s="39"/>
      <c r="BD202" s="39"/>
      <c r="BE202" s="39"/>
      <c r="BF202" s="39"/>
      <c r="BG202" s="39"/>
      <c r="BH202" s="39"/>
      <c r="BI202" s="39"/>
      <c r="BJ202" s="39"/>
      <c r="BK202" s="39"/>
      <c r="BL202" s="39"/>
      <c r="BM202" s="46"/>
      <c r="BN202" s="46"/>
      <c r="BO202" s="46"/>
      <c r="BP202" s="48"/>
    </row>
    <row r="203" spans="1:68" x14ac:dyDescent="0.25">
      <c r="A203" s="43"/>
      <c r="B203" s="44"/>
      <c r="C203" s="45"/>
      <c r="D203" s="58"/>
      <c r="E203" s="58"/>
      <c r="F203" s="58"/>
      <c r="G203" s="58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124" t="s">
        <v>435</v>
      </c>
      <c r="AA203" s="124" t="s">
        <v>509</v>
      </c>
      <c r="AB203" s="124" t="str">
        <f t="shared" si="18"/>
        <v>Dulces y Paquetes-Quincenal</v>
      </c>
      <c r="AC203" s="39"/>
      <c r="AD203" s="39"/>
      <c r="AE203" s="124"/>
      <c r="AF203" s="124"/>
      <c r="AG203" s="124" t="str">
        <f t="shared" si="19"/>
        <v>-</v>
      </c>
      <c r="AH203" s="124"/>
      <c r="AI203" s="59"/>
      <c r="AJ203" s="39"/>
      <c r="AK203" s="124" t="s">
        <v>434</v>
      </c>
      <c r="AL203" s="124" t="s">
        <v>509</v>
      </c>
      <c r="AM203" s="124" t="str">
        <f t="shared" si="20"/>
        <v>Aseo Personal-Quincenal</v>
      </c>
      <c r="AN203" s="39"/>
      <c r="AO203" s="39"/>
      <c r="AP203" s="39"/>
      <c r="AQ203" s="39"/>
      <c r="AR203" s="39"/>
      <c r="AS203" s="39"/>
      <c r="AT203" s="39"/>
      <c r="AU203" s="39"/>
      <c r="AV203" s="39"/>
      <c r="AW203" s="39"/>
      <c r="AX203" s="39"/>
      <c r="AY203" s="39"/>
      <c r="AZ203" s="39"/>
      <c r="BA203" s="39"/>
      <c r="BB203" s="39"/>
      <c r="BC203" s="39"/>
      <c r="BD203" s="39"/>
      <c r="BE203" s="39"/>
      <c r="BF203" s="39"/>
      <c r="BG203" s="39"/>
      <c r="BH203" s="39"/>
      <c r="BI203" s="39"/>
      <c r="BJ203" s="39"/>
      <c r="BK203" s="39"/>
      <c r="BL203" s="39"/>
      <c r="BM203" s="46"/>
      <c r="BN203" s="46"/>
      <c r="BO203" s="46"/>
      <c r="BP203" s="48"/>
    </row>
    <row r="204" spans="1:68" x14ac:dyDescent="0.25">
      <c r="A204" s="49"/>
      <c r="B204" s="50"/>
      <c r="C204" s="51"/>
      <c r="D204" s="60"/>
      <c r="E204" s="60"/>
      <c r="F204" s="60"/>
      <c r="G204" s="60"/>
      <c r="H204" s="61"/>
      <c r="I204" s="61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125"/>
      <c r="AA204" s="125"/>
      <c r="AB204" s="124"/>
      <c r="AC204" s="7"/>
      <c r="AD204" s="7"/>
      <c r="AE204" s="125"/>
      <c r="AF204" s="125"/>
      <c r="AG204" s="125" t="str">
        <f t="shared" si="19"/>
        <v>-</v>
      </c>
      <c r="AH204" s="125"/>
      <c r="AI204" s="61"/>
      <c r="AJ204" s="7"/>
      <c r="AK204" s="125" t="s">
        <v>77</v>
      </c>
      <c r="AL204" s="125" t="s">
        <v>509</v>
      </c>
      <c r="AM204" s="125" t="str">
        <f t="shared" si="20"/>
        <v>Limpieza-Quincenal</v>
      </c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52"/>
      <c r="BN204" s="52"/>
      <c r="BO204" s="52"/>
      <c r="BP204" s="54"/>
    </row>
    <row r="205" spans="1:68" x14ac:dyDescent="0.25">
      <c r="A205" s="35">
        <v>52</v>
      </c>
      <c r="B205" s="36">
        <v>44803</v>
      </c>
      <c r="C205" s="37" t="s">
        <v>317</v>
      </c>
      <c r="D205" s="56">
        <v>2</v>
      </c>
      <c r="E205" s="56">
        <v>2</v>
      </c>
      <c r="F205" s="56">
        <v>1</v>
      </c>
      <c r="G205" s="56">
        <v>12</v>
      </c>
      <c r="H205" s="57">
        <v>2</v>
      </c>
      <c r="I205" s="57">
        <v>1</v>
      </c>
      <c r="J205" s="57">
        <v>2</v>
      </c>
      <c r="K205" s="57">
        <v>2</v>
      </c>
      <c r="L205" s="57">
        <v>1</v>
      </c>
      <c r="M205" s="57">
        <v>3</v>
      </c>
      <c r="N205" s="57">
        <v>3</v>
      </c>
      <c r="O205" s="57">
        <v>2</v>
      </c>
      <c r="P205" s="57"/>
      <c r="Q205" s="57">
        <v>2</v>
      </c>
      <c r="R205" s="57"/>
      <c r="S205" s="57"/>
      <c r="T205" s="57"/>
      <c r="U205" s="57"/>
      <c r="V205" s="57"/>
      <c r="W205" s="57"/>
      <c r="X205" s="57"/>
      <c r="Y205" s="57"/>
      <c r="Z205" s="123" t="s">
        <v>433</v>
      </c>
      <c r="AA205" s="123" t="s">
        <v>442</v>
      </c>
      <c r="AB205" s="123" t="str">
        <f t="shared" si="18"/>
        <v>Droguería-Mensual</v>
      </c>
      <c r="AC205" s="38"/>
      <c r="AD205" s="38"/>
      <c r="AE205" s="123" t="s">
        <v>439</v>
      </c>
      <c r="AF205" s="131" t="s">
        <v>437</v>
      </c>
      <c r="AG205" s="131" t="str">
        <f t="shared" si="19"/>
        <v>Descuento-Diario</v>
      </c>
      <c r="AH205" s="123" t="s">
        <v>588</v>
      </c>
      <c r="AI205" s="57">
        <v>1</v>
      </c>
      <c r="AJ205" s="38"/>
      <c r="AK205" s="123" t="s">
        <v>433</v>
      </c>
      <c r="AL205" s="123" t="s">
        <v>509</v>
      </c>
      <c r="AM205" s="123" t="str">
        <f t="shared" si="20"/>
        <v>Droguería-Quincenal</v>
      </c>
      <c r="AN205" s="38"/>
      <c r="AO205" s="38">
        <v>1</v>
      </c>
      <c r="AP205" s="38">
        <v>1</v>
      </c>
      <c r="AQ205" s="38"/>
      <c r="AR205" s="38">
        <v>1</v>
      </c>
      <c r="AS205" s="38"/>
      <c r="AT205" s="38">
        <v>3</v>
      </c>
      <c r="AU205" s="38"/>
      <c r="AV205" s="38">
        <v>1</v>
      </c>
      <c r="AW205" s="38"/>
      <c r="AX205" s="38">
        <v>2</v>
      </c>
      <c r="AY205" s="38"/>
      <c r="AZ205" s="38">
        <v>2</v>
      </c>
      <c r="BA205" s="38"/>
      <c r="BB205" s="38">
        <v>3</v>
      </c>
      <c r="BC205" s="38"/>
      <c r="BD205" s="38">
        <v>2</v>
      </c>
      <c r="BE205" s="38"/>
      <c r="BF205" s="38">
        <v>4</v>
      </c>
      <c r="BG205" s="38"/>
      <c r="BH205" s="38">
        <v>3</v>
      </c>
      <c r="BI205" s="38" t="s">
        <v>80</v>
      </c>
      <c r="BJ205" s="38" t="s">
        <v>184</v>
      </c>
      <c r="BK205" s="38">
        <v>1</v>
      </c>
      <c r="BL205" s="38"/>
      <c r="BM205" s="40"/>
      <c r="BN205" s="40">
        <v>3124194162</v>
      </c>
      <c r="BO205" s="41" t="s">
        <v>318</v>
      </c>
      <c r="BP205" s="42" t="s">
        <v>84</v>
      </c>
    </row>
    <row r="206" spans="1:68" x14ac:dyDescent="0.25">
      <c r="A206" s="43"/>
      <c r="B206" s="44"/>
      <c r="C206" s="45"/>
      <c r="D206" s="58"/>
      <c r="E206" s="58"/>
      <c r="F206" s="58"/>
      <c r="G206" s="58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124" t="s">
        <v>434</v>
      </c>
      <c r="AA206" s="124" t="s">
        <v>509</v>
      </c>
      <c r="AB206" s="124" t="str">
        <f t="shared" si="18"/>
        <v>Aseo Personal-Quincenal</v>
      </c>
      <c r="AC206" s="39"/>
      <c r="AD206" s="39"/>
      <c r="AE206" s="124" t="s">
        <v>195</v>
      </c>
      <c r="AF206" s="129" t="s">
        <v>637</v>
      </c>
      <c r="AG206" s="129" t="str">
        <f t="shared" si="19"/>
        <v>Ofertas-Ocasional</v>
      </c>
      <c r="AH206" s="124" t="s">
        <v>552</v>
      </c>
      <c r="AI206" s="59"/>
      <c r="AJ206" s="39"/>
      <c r="AK206" s="124" t="s">
        <v>435</v>
      </c>
      <c r="AL206" s="124" t="s">
        <v>436</v>
      </c>
      <c r="AM206" s="124" t="str">
        <f t="shared" si="20"/>
        <v>Dulces y Paquetes-Semanal</v>
      </c>
      <c r="AN206" s="39"/>
      <c r="AO206" s="39"/>
      <c r="AP206" s="39"/>
      <c r="AQ206" s="39"/>
      <c r="AR206" s="39"/>
      <c r="AS206" s="39"/>
      <c r="AT206" s="39"/>
      <c r="AU206" s="39"/>
      <c r="AV206" s="39"/>
      <c r="AW206" s="39"/>
      <c r="AX206" s="39"/>
      <c r="AY206" s="39"/>
      <c r="AZ206" s="39"/>
      <c r="BA206" s="39"/>
      <c r="BB206" s="39"/>
      <c r="BC206" s="39"/>
      <c r="BD206" s="39"/>
      <c r="BE206" s="39"/>
      <c r="BF206" s="39"/>
      <c r="BG206" s="39"/>
      <c r="BH206" s="39"/>
      <c r="BI206" s="39"/>
      <c r="BJ206" s="39"/>
      <c r="BK206" s="39"/>
      <c r="BL206" s="39"/>
      <c r="BM206" s="46"/>
      <c r="BN206" s="46"/>
      <c r="BO206" s="47"/>
      <c r="BP206" s="48"/>
    </row>
    <row r="207" spans="1:68" x14ac:dyDescent="0.25">
      <c r="A207" s="43"/>
      <c r="B207" s="44"/>
      <c r="C207" s="45"/>
      <c r="D207" s="58"/>
      <c r="E207" s="58"/>
      <c r="F207" s="58"/>
      <c r="G207" s="58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124" t="s">
        <v>77</v>
      </c>
      <c r="AA207" s="124" t="s">
        <v>436</v>
      </c>
      <c r="AB207" s="124" t="str">
        <f t="shared" si="18"/>
        <v>Limpieza-Semanal</v>
      </c>
      <c r="AC207" s="39"/>
      <c r="AD207" s="39"/>
      <c r="AE207" s="124" t="s">
        <v>441</v>
      </c>
      <c r="AF207" s="129" t="s">
        <v>437</v>
      </c>
      <c r="AG207" s="129" t="str">
        <f t="shared" si="19"/>
        <v>Atención al Cliente-Diario</v>
      </c>
      <c r="AH207" s="124" t="s">
        <v>589</v>
      </c>
      <c r="AI207" s="59"/>
      <c r="AJ207" s="39"/>
      <c r="AK207" s="124" t="s">
        <v>434</v>
      </c>
      <c r="AL207" s="124" t="s">
        <v>509</v>
      </c>
      <c r="AM207" s="124" t="str">
        <f t="shared" si="20"/>
        <v>Aseo Personal-Quincenal</v>
      </c>
      <c r="AN207" s="39"/>
      <c r="AO207" s="39"/>
      <c r="AP207" s="39"/>
      <c r="AQ207" s="39"/>
      <c r="AR207" s="39"/>
      <c r="AS207" s="39"/>
      <c r="AT207" s="39"/>
      <c r="AU207" s="39"/>
      <c r="AV207" s="39"/>
      <c r="AW207" s="39"/>
      <c r="AX207" s="39"/>
      <c r="AY207" s="39"/>
      <c r="AZ207" s="39"/>
      <c r="BA207" s="39"/>
      <c r="BB207" s="39"/>
      <c r="BC207" s="39"/>
      <c r="BD207" s="39"/>
      <c r="BE207" s="39"/>
      <c r="BF207" s="39"/>
      <c r="BG207" s="39"/>
      <c r="BH207" s="39"/>
      <c r="BI207" s="39"/>
      <c r="BJ207" s="39"/>
      <c r="BK207" s="39"/>
      <c r="BL207" s="39"/>
      <c r="BM207" s="46"/>
      <c r="BN207" s="46"/>
      <c r="BO207" s="47"/>
      <c r="BP207" s="48"/>
    </row>
    <row r="208" spans="1:68" x14ac:dyDescent="0.25">
      <c r="A208" s="49"/>
      <c r="B208" s="50"/>
      <c r="C208" s="51"/>
      <c r="D208" s="60"/>
      <c r="E208" s="60"/>
      <c r="F208" s="60"/>
      <c r="G208" s="60"/>
      <c r="H208" s="61"/>
      <c r="I208" s="61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125" t="s">
        <v>435</v>
      </c>
      <c r="AA208" s="125" t="s">
        <v>436</v>
      </c>
      <c r="AB208" s="125" t="str">
        <f t="shared" si="18"/>
        <v>Dulces y Paquetes-Semanal</v>
      </c>
      <c r="AC208" s="7"/>
      <c r="AD208" s="7"/>
      <c r="AE208" s="125"/>
      <c r="AF208" s="125"/>
      <c r="AG208" s="125" t="str">
        <f t="shared" si="19"/>
        <v>-</v>
      </c>
      <c r="AH208" s="125"/>
      <c r="AI208" s="61"/>
      <c r="AJ208" s="7"/>
      <c r="AK208" s="125" t="s">
        <v>77</v>
      </c>
      <c r="AL208" s="125" t="s">
        <v>436</v>
      </c>
      <c r="AM208" s="125" t="str">
        <f t="shared" si="20"/>
        <v>Limpieza-Semanal</v>
      </c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52"/>
      <c r="BN208" s="52"/>
      <c r="BO208" s="53"/>
      <c r="BP208" s="54"/>
    </row>
    <row r="209" spans="1:68" x14ac:dyDescent="0.25">
      <c r="A209" s="35">
        <v>53</v>
      </c>
      <c r="B209" s="36">
        <v>44804</v>
      </c>
      <c r="C209" s="37" t="s">
        <v>319</v>
      </c>
      <c r="D209" s="56">
        <v>1</v>
      </c>
      <c r="E209" s="56">
        <v>1</v>
      </c>
      <c r="F209" s="56">
        <v>2</v>
      </c>
      <c r="G209" s="56">
        <v>3</v>
      </c>
      <c r="H209" s="57">
        <v>4</v>
      </c>
      <c r="I209" s="57">
        <v>1</v>
      </c>
      <c r="J209" s="57">
        <v>1</v>
      </c>
      <c r="K209" s="57">
        <v>2</v>
      </c>
      <c r="L209" s="57">
        <v>1</v>
      </c>
      <c r="M209" s="57">
        <v>1</v>
      </c>
      <c r="N209" s="57">
        <v>3</v>
      </c>
      <c r="O209" s="57">
        <v>1</v>
      </c>
      <c r="P209" s="57"/>
      <c r="Q209" s="57">
        <v>2</v>
      </c>
      <c r="R209" s="57" t="s">
        <v>114</v>
      </c>
      <c r="S209" s="57" t="s">
        <v>191</v>
      </c>
      <c r="T209" s="57" t="s">
        <v>320</v>
      </c>
      <c r="U209" s="57" t="s">
        <v>0</v>
      </c>
      <c r="V209" s="57" t="s">
        <v>249</v>
      </c>
      <c r="W209" s="57" t="s">
        <v>125</v>
      </c>
      <c r="X209" s="57"/>
      <c r="Y209" s="57"/>
      <c r="Z209" s="123" t="s">
        <v>434</v>
      </c>
      <c r="AA209" s="123"/>
      <c r="AB209" s="123"/>
      <c r="AC209" s="77" t="s">
        <v>321</v>
      </c>
      <c r="AD209" s="38" t="s">
        <v>241</v>
      </c>
      <c r="AE209" s="123"/>
      <c r="AF209" s="123"/>
      <c r="AG209" s="123" t="str">
        <f t="shared" si="19"/>
        <v>-</v>
      </c>
      <c r="AH209" s="123"/>
      <c r="AI209" s="57">
        <v>2</v>
      </c>
      <c r="AJ209" s="38"/>
      <c r="AK209" s="123" t="s">
        <v>434</v>
      </c>
      <c r="AL209" s="123" t="s">
        <v>509</v>
      </c>
      <c r="AM209" s="123" t="str">
        <f t="shared" si="20"/>
        <v>Aseo Personal-Quincenal</v>
      </c>
      <c r="AN209" s="38" t="s">
        <v>322</v>
      </c>
      <c r="AO209" s="38">
        <v>1</v>
      </c>
      <c r="AP209" s="38">
        <v>1</v>
      </c>
      <c r="AQ209" s="38"/>
      <c r="AR209" s="38">
        <v>2</v>
      </c>
      <c r="AS209" s="38"/>
      <c r="AT209" s="38">
        <v>1</v>
      </c>
      <c r="AU209" s="38"/>
      <c r="AV209" s="38">
        <v>1</v>
      </c>
      <c r="AW209" s="38"/>
      <c r="AX209" s="38">
        <v>1</v>
      </c>
      <c r="AY209" s="38"/>
      <c r="AZ209" s="38">
        <v>2</v>
      </c>
      <c r="BA209" s="38"/>
      <c r="BB209" s="38">
        <v>2</v>
      </c>
      <c r="BC209" s="38"/>
      <c r="BD209" s="38">
        <v>4</v>
      </c>
      <c r="BE209" s="38"/>
      <c r="BF209" s="38">
        <v>3</v>
      </c>
      <c r="BG209" s="38"/>
      <c r="BH209" s="38">
        <v>3</v>
      </c>
      <c r="BI209" s="38" t="s">
        <v>78</v>
      </c>
      <c r="BJ209" s="38" t="s">
        <v>96</v>
      </c>
      <c r="BK209" s="38">
        <v>4</v>
      </c>
      <c r="BL209" s="38"/>
      <c r="BM209" s="40" t="s">
        <v>323</v>
      </c>
      <c r="BN209" s="40">
        <v>3142503620</v>
      </c>
      <c r="BO209" s="40"/>
      <c r="BP209" s="42" t="s">
        <v>83</v>
      </c>
    </row>
    <row r="210" spans="1:68" x14ac:dyDescent="0.25">
      <c r="A210" s="49"/>
      <c r="B210" s="50"/>
      <c r="C210" s="51"/>
      <c r="D210" s="60"/>
      <c r="E210" s="60"/>
      <c r="F210" s="60"/>
      <c r="G210" s="60"/>
      <c r="H210" s="61"/>
      <c r="I210" s="61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125"/>
      <c r="AA210" s="125"/>
      <c r="AB210" s="125"/>
      <c r="AC210" s="79"/>
      <c r="AD210" s="7"/>
      <c r="AE210" s="125"/>
      <c r="AF210" s="125"/>
      <c r="AG210" s="125" t="str">
        <f t="shared" si="19"/>
        <v>-</v>
      </c>
      <c r="AH210" s="125"/>
      <c r="AI210" s="61"/>
      <c r="AJ210" s="7"/>
      <c r="AK210" s="125" t="s">
        <v>77</v>
      </c>
      <c r="AL210" s="125" t="s">
        <v>442</v>
      </c>
      <c r="AM210" s="125" t="str">
        <f t="shared" si="20"/>
        <v>Limpieza-Mensual</v>
      </c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52"/>
      <c r="BN210" s="52"/>
      <c r="BO210" s="52"/>
      <c r="BP210" s="54"/>
    </row>
    <row r="211" spans="1:68" x14ac:dyDescent="0.25">
      <c r="A211" s="35">
        <v>54</v>
      </c>
      <c r="B211" s="36">
        <v>44804</v>
      </c>
      <c r="C211" s="37" t="s">
        <v>324</v>
      </c>
      <c r="D211" s="56">
        <v>1</v>
      </c>
      <c r="E211" s="56">
        <v>2</v>
      </c>
      <c r="F211" s="56">
        <v>1</v>
      </c>
      <c r="G211" s="56">
        <v>12</v>
      </c>
      <c r="H211" s="57">
        <v>4</v>
      </c>
      <c r="I211" s="57">
        <v>1</v>
      </c>
      <c r="J211" s="57">
        <v>1</v>
      </c>
      <c r="K211" s="57">
        <v>2</v>
      </c>
      <c r="L211" s="57">
        <v>1</v>
      </c>
      <c r="M211" s="57">
        <v>3</v>
      </c>
      <c r="N211" s="57">
        <v>3</v>
      </c>
      <c r="O211" s="57">
        <v>2</v>
      </c>
      <c r="P211" s="57"/>
      <c r="Q211" s="57">
        <v>3</v>
      </c>
      <c r="R211" s="57" t="s">
        <v>111</v>
      </c>
      <c r="S211" s="57" t="s">
        <v>325</v>
      </c>
      <c r="T211" s="57" t="s">
        <v>135</v>
      </c>
      <c r="U211" s="57" t="s">
        <v>0</v>
      </c>
      <c r="V211" s="57" t="s">
        <v>326</v>
      </c>
      <c r="W211" s="57" t="s">
        <v>327</v>
      </c>
      <c r="X211" s="57"/>
      <c r="Y211" s="57"/>
      <c r="Z211" s="123" t="s">
        <v>434</v>
      </c>
      <c r="AA211" s="123" t="s">
        <v>437</v>
      </c>
      <c r="AB211" s="123" t="str">
        <f t="shared" si="18"/>
        <v>Aseo Personal-Diario</v>
      </c>
      <c r="AC211" s="77" t="s">
        <v>89</v>
      </c>
      <c r="AD211" s="38" t="s">
        <v>328</v>
      </c>
      <c r="AE211" s="123" t="s">
        <v>178</v>
      </c>
      <c r="AF211" s="123" t="s">
        <v>509</v>
      </c>
      <c r="AG211" s="123" t="str">
        <f t="shared" si="19"/>
        <v>Promociones-Quincenal</v>
      </c>
      <c r="AH211" s="123" t="s">
        <v>444</v>
      </c>
      <c r="AI211" s="57">
        <v>2</v>
      </c>
      <c r="AJ211" s="38"/>
      <c r="AK211" s="123" t="s">
        <v>435</v>
      </c>
      <c r="AL211" s="123" t="s">
        <v>449</v>
      </c>
      <c r="AM211" s="123" t="str">
        <f t="shared" si="20"/>
        <v>Dulces y Paquetes-Depende de la Provisión</v>
      </c>
      <c r="AN211" s="38" t="s">
        <v>100</v>
      </c>
      <c r="AO211" s="38">
        <v>1</v>
      </c>
      <c r="AP211" s="38">
        <v>2</v>
      </c>
      <c r="AQ211" s="38"/>
      <c r="AR211" s="38">
        <v>2</v>
      </c>
      <c r="AS211" s="38"/>
      <c r="AT211" s="38">
        <v>3</v>
      </c>
      <c r="AU211" s="38"/>
      <c r="AV211" s="38">
        <v>1</v>
      </c>
      <c r="AW211" s="38"/>
      <c r="AX211" s="38">
        <v>1</v>
      </c>
      <c r="AY211" s="38"/>
      <c r="AZ211" s="38">
        <v>2</v>
      </c>
      <c r="BA211" s="38"/>
      <c r="BB211" s="38">
        <v>6</v>
      </c>
      <c r="BC211" s="38"/>
      <c r="BD211" s="38">
        <v>4</v>
      </c>
      <c r="BE211" s="38"/>
      <c r="BF211" s="38">
        <v>4</v>
      </c>
      <c r="BG211" s="38"/>
      <c r="BH211" s="38">
        <v>3</v>
      </c>
      <c r="BI211" s="38" t="s">
        <v>184</v>
      </c>
      <c r="BJ211" s="38" t="s">
        <v>329</v>
      </c>
      <c r="BK211" s="38">
        <v>4</v>
      </c>
      <c r="BL211" s="38"/>
      <c r="BM211" s="40" t="s">
        <v>91</v>
      </c>
      <c r="BN211" s="40">
        <v>3125521799</v>
      </c>
      <c r="BO211" s="41" t="s">
        <v>330</v>
      </c>
      <c r="BP211" s="42" t="s">
        <v>84</v>
      </c>
    </row>
    <row r="212" spans="1:68" x14ac:dyDescent="0.25">
      <c r="A212" s="43"/>
      <c r="B212" s="44"/>
      <c r="C212" s="45"/>
      <c r="D212" s="58"/>
      <c r="E212" s="58"/>
      <c r="F212" s="58"/>
      <c r="G212" s="58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124" t="s">
        <v>77</v>
      </c>
      <c r="AA212" s="124" t="s">
        <v>437</v>
      </c>
      <c r="AB212" s="124" t="str">
        <f t="shared" si="18"/>
        <v>Limpieza-Diario</v>
      </c>
      <c r="AC212" s="78"/>
      <c r="AD212" s="39"/>
      <c r="AE212" s="124" t="s">
        <v>439</v>
      </c>
      <c r="AF212" s="124" t="s">
        <v>436</v>
      </c>
      <c r="AG212" s="124" t="str">
        <f t="shared" si="19"/>
        <v>Descuento-Semanal</v>
      </c>
      <c r="AH212" s="124" t="s">
        <v>590</v>
      </c>
      <c r="AI212" s="59"/>
      <c r="AJ212" s="39"/>
      <c r="AK212" s="124" t="s">
        <v>434</v>
      </c>
      <c r="AL212" s="124" t="s">
        <v>449</v>
      </c>
      <c r="AM212" s="124" t="str">
        <f t="shared" si="20"/>
        <v>Aseo Personal-Depende de la Provisión</v>
      </c>
      <c r="AN212" s="39"/>
      <c r="AO212" s="39"/>
      <c r="AP212" s="39"/>
      <c r="AQ212" s="39"/>
      <c r="AR212" s="39"/>
      <c r="AS212" s="39"/>
      <c r="AT212" s="39"/>
      <c r="AU212" s="39"/>
      <c r="AV212" s="39"/>
      <c r="AW212" s="39"/>
      <c r="AX212" s="39"/>
      <c r="AY212" s="39"/>
      <c r="AZ212" s="39"/>
      <c r="BA212" s="39"/>
      <c r="BB212" s="39"/>
      <c r="BC212" s="39"/>
      <c r="BD212" s="39"/>
      <c r="BE212" s="39"/>
      <c r="BF212" s="39"/>
      <c r="BG212" s="39"/>
      <c r="BH212" s="39"/>
      <c r="BI212" s="39"/>
      <c r="BJ212" s="39"/>
      <c r="BK212" s="39"/>
      <c r="BL212" s="39"/>
      <c r="BM212" s="46"/>
      <c r="BN212" s="46"/>
      <c r="BO212" s="47"/>
      <c r="BP212" s="48"/>
    </row>
    <row r="213" spans="1:68" x14ac:dyDescent="0.25">
      <c r="A213" s="43"/>
      <c r="B213" s="44"/>
      <c r="C213" s="45"/>
      <c r="D213" s="58"/>
      <c r="E213" s="58"/>
      <c r="F213" s="58"/>
      <c r="G213" s="58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124" t="s">
        <v>435</v>
      </c>
      <c r="AA213" s="124" t="s">
        <v>437</v>
      </c>
      <c r="AB213" s="124" t="str">
        <f t="shared" si="18"/>
        <v>Dulces y Paquetes-Diario</v>
      </c>
      <c r="AC213" s="78"/>
      <c r="AD213" s="39"/>
      <c r="AE213" s="124" t="s">
        <v>195</v>
      </c>
      <c r="AF213" s="124" t="s">
        <v>442</v>
      </c>
      <c r="AG213" s="124" t="str">
        <f t="shared" si="19"/>
        <v>Ofertas-Mensual</v>
      </c>
      <c r="AH213" s="124" t="s">
        <v>552</v>
      </c>
      <c r="AI213" s="59"/>
      <c r="AJ213" s="39"/>
      <c r="AK213" s="124" t="s">
        <v>77</v>
      </c>
      <c r="AL213" s="124" t="s">
        <v>449</v>
      </c>
      <c r="AM213" s="124" t="str">
        <f t="shared" si="20"/>
        <v>Limpieza-Depende de la Provisión</v>
      </c>
      <c r="AN213" s="39"/>
      <c r="AO213" s="39"/>
      <c r="AP213" s="39"/>
      <c r="AQ213" s="39"/>
      <c r="AR213" s="39"/>
      <c r="AS213" s="39"/>
      <c r="AT213" s="39"/>
      <c r="AU213" s="39"/>
      <c r="AV213" s="39"/>
      <c r="AW213" s="39"/>
      <c r="AX213" s="39"/>
      <c r="AY213" s="39"/>
      <c r="AZ213" s="39"/>
      <c r="BA213" s="39"/>
      <c r="BB213" s="39"/>
      <c r="BC213" s="39"/>
      <c r="BD213" s="39"/>
      <c r="BE213" s="39"/>
      <c r="BF213" s="39"/>
      <c r="BG213" s="39"/>
      <c r="BH213" s="39"/>
      <c r="BI213" s="39"/>
      <c r="BJ213" s="39"/>
      <c r="BK213" s="39"/>
      <c r="BL213" s="39"/>
      <c r="BM213" s="46"/>
      <c r="BN213" s="46"/>
      <c r="BO213" s="47"/>
      <c r="BP213" s="48"/>
    </row>
    <row r="214" spans="1:68" x14ac:dyDescent="0.25">
      <c r="A214" s="43"/>
      <c r="B214" s="44"/>
      <c r="C214" s="45"/>
      <c r="D214" s="58"/>
      <c r="E214" s="58"/>
      <c r="F214" s="58"/>
      <c r="G214" s="58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124"/>
      <c r="AA214" s="124"/>
      <c r="AB214" s="124"/>
      <c r="AC214" s="78"/>
      <c r="AD214" s="39"/>
      <c r="AE214" s="124" t="s">
        <v>440</v>
      </c>
      <c r="AF214" s="124" t="s">
        <v>437</v>
      </c>
      <c r="AG214" s="124" t="str">
        <f t="shared" si="19"/>
        <v>Domicilios-Diario</v>
      </c>
      <c r="AH214" s="124" t="s">
        <v>591</v>
      </c>
      <c r="AI214" s="59"/>
      <c r="AJ214" s="39"/>
      <c r="AK214" s="124"/>
      <c r="AL214" s="124"/>
      <c r="AM214" s="124"/>
      <c r="AN214" s="39"/>
      <c r="AO214" s="39"/>
      <c r="AP214" s="39"/>
      <c r="AQ214" s="39"/>
      <c r="AR214" s="39"/>
      <c r="AS214" s="39"/>
      <c r="AT214" s="39"/>
      <c r="AU214" s="39"/>
      <c r="AV214" s="39"/>
      <c r="AW214" s="39"/>
      <c r="AX214" s="39"/>
      <c r="AY214" s="39"/>
      <c r="AZ214" s="39"/>
      <c r="BA214" s="39"/>
      <c r="BB214" s="39"/>
      <c r="BC214" s="39"/>
      <c r="BD214" s="39"/>
      <c r="BE214" s="39"/>
      <c r="BF214" s="39"/>
      <c r="BG214" s="39"/>
      <c r="BH214" s="39"/>
      <c r="BI214" s="39"/>
      <c r="BJ214" s="39"/>
      <c r="BK214" s="39"/>
      <c r="BL214" s="39"/>
      <c r="BM214" s="46"/>
      <c r="BN214" s="46"/>
      <c r="BO214" s="47"/>
      <c r="BP214" s="48"/>
    </row>
    <row r="215" spans="1:68" x14ac:dyDescent="0.25">
      <c r="A215" s="49"/>
      <c r="B215" s="50"/>
      <c r="C215" s="51"/>
      <c r="D215" s="60"/>
      <c r="E215" s="60"/>
      <c r="F215" s="60"/>
      <c r="G215" s="60"/>
      <c r="H215" s="61"/>
      <c r="I215" s="61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125"/>
      <c r="AA215" s="125"/>
      <c r="AB215" s="124"/>
      <c r="AC215" s="79"/>
      <c r="AD215" s="7"/>
      <c r="AE215" s="125" t="s">
        <v>441</v>
      </c>
      <c r="AF215" s="125" t="s">
        <v>437</v>
      </c>
      <c r="AG215" s="125" t="str">
        <f t="shared" si="19"/>
        <v>Atención al Cliente-Diario</v>
      </c>
      <c r="AH215" s="125" t="s">
        <v>592</v>
      </c>
      <c r="AI215" s="61"/>
      <c r="AJ215" s="7"/>
      <c r="AK215" s="125"/>
      <c r="AL215" s="125"/>
      <c r="AM215" s="125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52"/>
      <c r="BN215" s="52"/>
      <c r="BO215" s="53"/>
      <c r="BP215" s="54"/>
    </row>
    <row r="216" spans="1:68" x14ac:dyDescent="0.25">
      <c r="A216" s="35">
        <v>55</v>
      </c>
      <c r="B216" s="36">
        <v>44805</v>
      </c>
      <c r="C216" s="37" t="s">
        <v>331</v>
      </c>
      <c r="D216" s="56">
        <v>2</v>
      </c>
      <c r="E216" s="56">
        <v>2</v>
      </c>
      <c r="F216" s="56">
        <v>1</v>
      </c>
      <c r="G216" s="56">
        <v>12</v>
      </c>
      <c r="H216" s="57">
        <v>2</v>
      </c>
      <c r="I216" s="57">
        <v>1</v>
      </c>
      <c r="J216" s="57">
        <v>3</v>
      </c>
      <c r="K216" s="57">
        <v>2</v>
      </c>
      <c r="L216" s="57">
        <v>1</v>
      </c>
      <c r="M216" s="57">
        <v>3</v>
      </c>
      <c r="N216" s="57">
        <v>3</v>
      </c>
      <c r="O216" s="57">
        <v>2</v>
      </c>
      <c r="P216" s="57"/>
      <c r="Q216" s="57">
        <v>3</v>
      </c>
      <c r="R216" s="57" t="s">
        <v>169</v>
      </c>
      <c r="S216" s="57" t="s">
        <v>73</v>
      </c>
      <c r="T216" s="57" t="s">
        <v>289</v>
      </c>
      <c r="U216" s="57"/>
      <c r="V216" s="57" t="s">
        <v>96</v>
      </c>
      <c r="W216" s="57" t="s">
        <v>332</v>
      </c>
      <c r="X216" s="57" t="s">
        <v>145</v>
      </c>
      <c r="Y216" s="57"/>
      <c r="Z216" s="123" t="s">
        <v>433</v>
      </c>
      <c r="AA216" s="123" t="s">
        <v>442</v>
      </c>
      <c r="AB216" s="123" t="str">
        <f t="shared" si="18"/>
        <v>Droguería-Mensual</v>
      </c>
      <c r="AC216" s="38" t="s">
        <v>333</v>
      </c>
      <c r="AD216" s="38" t="s">
        <v>231</v>
      </c>
      <c r="AE216" s="123" t="s">
        <v>448</v>
      </c>
      <c r="AF216" s="123" t="s">
        <v>437</v>
      </c>
      <c r="AG216" s="123" t="str">
        <f t="shared" si="19"/>
        <v>Asesoramiento-Diario</v>
      </c>
      <c r="AH216" s="123"/>
      <c r="AI216" s="57">
        <v>2</v>
      </c>
      <c r="AJ216" s="38" t="s">
        <v>99</v>
      </c>
      <c r="AK216" s="123" t="s">
        <v>433</v>
      </c>
      <c r="AL216" s="123" t="s">
        <v>449</v>
      </c>
      <c r="AM216" s="123" t="str">
        <f t="shared" si="20"/>
        <v>Droguería-Depende de la Provisión</v>
      </c>
      <c r="AN216" s="38" t="s">
        <v>104</v>
      </c>
      <c r="AO216" s="38">
        <v>1</v>
      </c>
      <c r="AP216" s="38">
        <v>2</v>
      </c>
      <c r="AQ216" s="38"/>
      <c r="AR216" s="38">
        <v>1</v>
      </c>
      <c r="AS216" s="38" t="s">
        <v>101</v>
      </c>
      <c r="AT216" s="38">
        <v>3</v>
      </c>
      <c r="AU216" s="38"/>
      <c r="AV216" s="38">
        <v>2</v>
      </c>
      <c r="AW216" s="38"/>
      <c r="AX216" s="38">
        <v>5</v>
      </c>
      <c r="AY216" s="38"/>
      <c r="AZ216" s="38">
        <v>2</v>
      </c>
      <c r="BA216" s="38"/>
      <c r="BB216" s="38">
        <v>4</v>
      </c>
      <c r="BC216" s="38"/>
      <c r="BD216" s="38">
        <v>4</v>
      </c>
      <c r="BE216" s="38"/>
      <c r="BF216" s="38">
        <v>4</v>
      </c>
      <c r="BG216" s="38"/>
      <c r="BH216" s="38">
        <v>2</v>
      </c>
      <c r="BI216" s="38" t="s">
        <v>334</v>
      </c>
      <c r="BJ216" s="38" t="s">
        <v>184</v>
      </c>
      <c r="BK216" s="38">
        <v>1</v>
      </c>
      <c r="BL216" s="38"/>
      <c r="BM216" s="40" t="s">
        <v>335</v>
      </c>
      <c r="BN216" s="40">
        <v>3143946381</v>
      </c>
      <c r="BO216" s="40"/>
      <c r="BP216" s="42" t="s">
        <v>84</v>
      </c>
    </row>
    <row r="217" spans="1:68" x14ac:dyDescent="0.25">
      <c r="A217" s="43"/>
      <c r="B217" s="44"/>
      <c r="C217" s="45"/>
      <c r="D217" s="58"/>
      <c r="E217" s="58"/>
      <c r="F217" s="58"/>
      <c r="G217" s="58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  <c r="Z217" s="124" t="s">
        <v>434</v>
      </c>
      <c r="AA217" s="124" t="s">
        <v>442</v>
      </c>
      <c r="AB217" s="124" t="str">
        <f t="shared" si="18"/>
        <v>Aseo Personal-Mensual</v>
      </c>
      <c r="AC217" s="39"/>
      <c r="AD217" s="39"/>
      <c r="AE217" s="124" t="s">
        <v>440</v>
      </c>
      <c r="AF217" s="124" t="s">
        <v>437</v>
      </c>
      <c r="AG217" s="124" t="str">
        <f t="shared" si="19"/>
        <v>Domicilios-Diario</v>
      </c>
      <c r="AH217" s="124"/>
      <c r="AI217" s="59"/>
      <c r="AJ217" s="39"/>
      <c r="AK217" s="124" t="s">
        <v>434</v>
      </c>
      <c r="AL217" s="124" t="s">
        <v>442</v>
      </c>
      <c r="AM217" s="124" t="str">
        <f t="shared" si="20"/>
        <v>Aseo Personal-Mensual</v>
      </c>
      <c r="AN217" s="39"/>
      <c r="AO217" s="39"/>
      <c r="AP217" s="39"/>
      <c r="AQ217" s="39"/>
      <c r="AR217" s="39"/>
      <c r="AS217" s="39"/>
      <c r="AT217" s="39"/>
      <c r="AU217" s="39"/>
      <c r="AV217" s="39"/>
      <c r="AW217" s="39"/>
      <c r="AX217" s="39"/>
      <c r="AY217" s="39"/>
      <c r="AZ217" s="39"/>
      <c r="BA217" s="39"/>
      <c r="BB217" s="39"/>
      <c r="BC217" s="39"/>
      <c r="BD217" s="39"/>
      <c r="BE217" s="39"/>
      <c r="BF217" s="39"/>
      <c r="BG217" s="39"/>
      <c r="BH217" s="39"/>
      <c r="BI217" s="39"/>
      <c r="BJ217" s="39"/>
      <c r="BK217" s="39"/>
      <c r="BL217" s="39"/>
      <c r="BM217" s="46"/>
      <c r="BN217" s="46"/>
      <c r="BO217" s="46"/>
      <c r="BP217" s="48"/>
    </row>
    <row r="218" spans="1:68" x14ac:dyDescent="0.25">
      <c r="A218" s="49"/>
      <c r="B218" s="50"/>
      <c r="C218" s="51"/>
      <c r="D218" s="60"/>
      <c r="E218" s="60"/>
      <c r="F218" s="60"/>
      <c r="G218" s="60"/>
      <c r="H218" s="61"/>
      <c r="I218" s="61"/>
      <c r="J218" s="61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125"/>
      <c r="AA218" s="125"/>
      <c r="AB218" s="124"/>
      <c r="AC218" s="7"/>
      <c r="AD218" s="7"/>
      <c r="AE218" s="125" t="s">
        <v>441</v>
      </c>
      <c r="AF218" s="125" t="s">
        <v>437</v>
      </c>
      <c r="AG218" s="125" t="str">
        <f t="shared" si="19"/>
        <v>Atención al Cliente-Diario</v>
      </c>
      <c r="AH218" s="125"/>
      <c r="AI218" s="61"/>
      <c r="AJ218" s="7"/>
      <c r="AK218" s="125"/>
      <c r="AL218" s="125"/>
      <c r="AM218" s="125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52"/>
      <c r="BN218" s="52"/>
      <c r="BO218" s="52"/>
      <c r="BP218" s="54"/>
    </row>
    <row r="219" spans="1:68" x14ac:dyDescent="0.25">
      <c r="A219" s="35">
        <v>56</v>
      </c>
      <c r="B219" s="36">
        <v>44805</v>
      </c>
      <c r="C219" s="37" t="s">
        <v>336</v>
      </c>
      <c r="D219" s="56">
        <v>2</v>
      </c>
      <c r="E219" s="56">
        <v>2</v>
      </c>
      <c r="F219" s="56">
        <v>1</v>
      </c>
      <c r="G219" s="56">
        <v>12</v>
      </c>
      <c r="H219" s="57">
        <v>4</v>
      </c>
      <c r="I219" s="57">
        <v>1</v>
      </c>
      <c r="J219" s="57">
        <v>2</v>
      </c>
      <c r="K219" s="57">
        <v>2</v>
      </c>
      <c r="L219" s="57">
        <v>2</v>
      </c>
      <c r="M219" s="57">
        <v>3</v>
      </c>
      <c r="N219" s="57">
        <v>3</v>
      </c>
      <c r="O219" s="57">
        <v>4</v>
      </c>
      <c r="P219" s="57"/>
      <c r="Q219" s="57">
        <v>3</v>
      </c>
      <c r="R219" s="57" t="s">
        <v>337</v>
      </c>
      <c r="S219" s="57" t="s">
        <v>87</v>
      </c>
      <c r="T219" s="57"/>
      <c r="U219" s="57"/>
      <c r="V219" s="57" t="s">
        <v>125</v>
      </c>
      <c r="W219" s="57" t="s">
        <v>240</v>
      </c>
      <c r="X219" s="57" t="s">
        <v>338</v>
      </c>
      <c r="Y219" s="57"/>
      <c r="Z219" s="123" t="s">
        <v>433</v>
      </c>
      <c r="AA219" s="123" t="s">
        <v>442</v>
      </c>
      <c r="AB219" s="123" t="str">
        <f t="shared" si="18"/>
        <v>Droguería-Mensual</v>
      </c>
      <c r="AC219" s="38" t="s">
        <v>77</v>
      </c>
      <c r="AD219" s="38" t="s">
        <v>231</v>
      </c>
      <c r="AE219" s="123" t="s">
        <v>178</v>
      </c>
      <c r="AF219" s="123" t="s">
        <v>442</v>
      </c>
      <c r="AG219" s="123" t="str">
        <f t="shared" si="19"/>
        <v>Promociones-Mensual</v>
      </c>
      <c r="AH219" s="123" t="s">
        <v>444</v>
      </c>
      <c r="AI219" s="57">
        <v>2</v>
      </c>
      <c r="AJ219" s="38"/>
      <c r="AK219" s="123" t="s">
        <v>433</v>
      </c>
      <c r="AL219" s="123" t="s">
        <v>449</v>
      </c>
      <c r="AM219" s="123" t="str">
        <f t="shared" si="20"/>
        <v>Droguería-Depende de la Provisión</v>
      </c>
      <c r="AN219" s="38" t="s">
        <v>104</v>
      </c>
      <c r="AO219" s="38">
        <v>1</v>
      </c>
      <c r="AP219" s="38">
        <v>1</v>
      </c>
      <c r="AQ219" s="38"/>
      <c r="AR219" s="38">
        <v>1</v>
      </c>
      <c r="AS219" s="38"/>
      <c r="AT219" s="57">
        <v>7</v>
      </c>
      <c r="AU219" s="38"/>
      <c r="AV219" s="38">
        <v>1</v>
      </c>
      <c r="AW219" s="38"/>
      <c r="AX219" s="38">
        <v>5</v>
      </c>
      <c r="AY219" s="38"/>
      <c r="AZ219" s="38">
        <v>2</v>
      </c>
      <c r="BA219" s="38"/>
      <c r="BB219" s="57">
        <v>6</v>
      </c>
      <c r="BC219" s="38"/>
      <c r="BD219" s="38">
        <v>2</v>
      </c>
      <c r="BE219" s="38"/>
      <c r="BF219" s="38">
        <v>4</v>
      </c>
      <c r="BG219" s="38"/>
      <c r="BH219" s="38">
        <v>2</v>
      </c>
      <c r="BI219" s="38" t="s">
        <v>80</v>
      </c>
      <c r="BJ219" s="38" t="s">
        <v>214</v>
      </c>
      <c r="BK219" s="38">
        <v>4</v>
      </c>
      <c r="BL219" s="38"/>
      <c r="BM219" s="40" t="s">
        <v>339</v>
      </c>
      <c r="BN219" s="40">
        <v>3142041858</v>
      </c>
      <c r="BO219" s="41" t="s">
        <v>340</v>
      </c>
      <c r="BP219" s="42" t="s">
        <v>84</v>
      </c>
    </row>
    <row r="220" spans="1:68" x14ac:dyDescent="0.25">
      <c r="A220" s="43"/>
      <c r="B220" s="44"/>
      <c r="C220" s="45"/>
      <c r="D220" s="58"/>
      <c r="E220" s="58"/>
      <c r="F220" s="58"/>
      <c r="G220" s="58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124" t="s">
        <v>434</v>
      </c>
      <c r="AA220" s="124" t="s">
        <v>509</v>
      </c>
      <c r="AB220" s="124" t="str">
        <f t="shared" si="18"/>
        <v>Aseo Personal-Quincenal</v>
      </c>
      <c r="AC220" s="39"/>
      <c r="AD220" s="39"/>
      <c r="AE220" s="124" t="s">
        <v>439</v>
      </c>
      <c r="AF220" s="124" t="s">
        <v>442</v>
      </c>
      <c r="AG220" s="124" t="str">
        <f t="shared" si="19"/>
        <v>Descuento-Mensual</v>
      </c>
      <c r="AH220" s="124" t="s">
        <v>552</v>
      </c>
      <c r="AI220" s="59"/>
      <c r="AJ220" s="39"/>
      <c r="AK220" s="124" t="s">
        <v>435</v>
      </c>
      <c r="AL220" s="124" t="s">
        <v>442</v>
      </c>
      <c r="AM220" s="124" t="str">
        <f t="shared" si="20"/>
        <v>Dulces y Paquetes-Mensual</v>
      </c>
      <c r="AN220" s="39"/>
      <c r="AO220" s="39"/>
      <c r="AP220" s="39"/>
      <c r="AQ220" s="39"/>
      <c r="AR220" s="39"/>
      <c r="AS220" s="39"/>
      <c r="AT220" s="59"/>
      <c r="AU220" s="39"/>
      <c r="AV220" s="39"/>
      <c r="AW220" s="39"/>
      <c r="AX220" s="39"/>
      <c r="AY220" s="39"/>
      <c r="AZ220" s="39"/>
      <c r="BA220" s="39"/>
      <c r="BB220" s="59"/>
      <c r="BC220" s="39"/>
      <c r="BD220" s="39"/>
      <c r="BE220" s="39"/>
      <c r="BF220" s="39"/>
      <c r="BG220" s="39"/>
      <c r="BH220" s="39"/>
      <c r="BI220" s="39"/>
      <c r="BJ220" s="39"/>
      <c r="BK220" s="39"/>
      <c r="BL220" s="39"/>
      <c r="BM220" s="46"/>
      <c r="BN220" s="46"/>
      <c r="BO220" s="47"/>
      <c r="BP220" s="48"/>
    </row>
    <row r="221" spans="1:68" x14ac:dyDescent="0.25">
      <c r="A221" s="43"/>
      <c r="B221" s="44"/>
      <c r="C221" s="45"/>
      <c r="D221" s="58"/>
      <c r="E221" s="58"/>
      <c r="F221" s="58"/>
      <c r="G221" s="58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124" t="s">
        <v>77</v>
      </c>
      <c r="AA221" s="124" t="s">
        <v>509</v>
      </c>
      <c r="AB221" s="124" t="str">
        <f t="shared" si="18"/>
        <v>Limpieza-Quincenal</v>
      </c>
      <c r="AC221" s="39"/>
      <c r="AD221" s="39"/>
      <c r="AE221" s="124" t="s">
        <v>440</v>
      </c>
      <c r="AF221" s="124" t="s">
        <v>437</v>
      </c>
      <c r="AG221" s="124" t="str">
        <f t="shared" si="19"/>
        <v>Domicilios-Diario</v>
      </c>
      <c r="AH221" s="124" t="s">
        <v>553</v>
      </c>
      <c r="AI221" s="59"/>
      <c r="AJ221" s="39"/>
      <c r="AK221" s="124" t="s">
        <v>434</v>
      </c>
      <c r="AL221" s="124" t="s">
        <v>442</v>
      </c>
      <c r="AM221" s="124" t="str">
        <f t="shared" si="20"/>
        <v>Aseo Personal-Mensual</v>
      </c>
      <c r="AN221" s="39"/>
      <c r="AO221" s="39"/>
      <c r="AP221" s="39"/>
      <c r="AQ221" s="39"/>
      <c r="AR221" s="39"/>
      <c r="AS221" s="39"/>
      <c r="AT221" s="59"/>
      <c r="AU221" s="39"/>
      <c r="AV221" s="39"/>
      <c r="AW221" s="39"/>
      <c r="AX221" s="39"/>
      <c r="AY221" s="39"/>
      <c r="AZ221" s="39"/>
      <c r="BA221" s="39"/>
      <c r="BB221" s="59"/>
      <c r="BC221" s="39"/>
      <c r="BD221" s="39"/>
      <c r="BE221" s="39"/>
      <c r="BF221" s="39"/>
      <c r="BG221" s="39"/>
      <c r="BH221" s="39"/>
      <c r="BI221" s="39"/>
      <c r="BJ221" s="39"/>
      <c r="BK221" s="39"/>
      <c r="BL221" s="39"/>
      <c r="BM221" s="46"/>
      <c r="BN221" s="46"/>
      <c r="BO221" s="47"/>
      <c r="BP221" s="48"/>
    </row>
    <row r="222" spans="1:68" x14ac:dyDescent="0.25">
      <c r="A222" s="49"/>
      <c r="B222" s="50"/>
      <c r="C222" s="51"/>
      <c r="D222" s="60"/>
      <c r="E222" s="60"/>
      <c r="F222" s="60"/>
      <c r="G222" s="60"/>
      <c r="H222" s="61"/>
      <c r="I222" s="61"/>
      <c r="J222" s="61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125" t="s">
        <v>435</v>
      </c>
      <c r="AA222" s="125" t="s">
        <v>509</v>
      </c>
      <c r="AB222" s="125" t="str">
        <f t="shared" si="18"/>
        <v>Dulces y Paquetes-Quincenal</v>
      </c>
      <c r="AC222" s="7"/>
      <c r="AD222" s="7"/>
      <c r="AE222" s="125" t="s">
        <v>441</v>
      </c>
      <c r="AF222" s="125" t="s">
        <v>437</v>
      </c>
      <c r="AG222" s="125" t="str">
        <f t="shared" si="19"/>
        <v>Atención al Cliente-Diario</v>
      </c>
      <c r="AH222" s="125" t="s">
        <v>446</v>
      </c>
      <c r="AI222" s="61"/>
      <c r="AJ222" s="7"/>
      <c r="AK222" s="125" t="s">
        <v>77</v>
      </c>
      <c r="AL222" s="125" t="s">
        <v>436</v>
      </c>
      <c r="AM222" s="125" t="str">
        <f t="shared" si="20"/>
        <v>Limpieza-Semanal</v>
      </c>
      <c r="AN222" s="7"/>
      <c r="AO222" s="7"/>
      <c r="AP222" s="7"/>
      <c r="AQ222" s="7"/>
      <c r="AR222" s="7"/>
      <c r="AS222" s="7"/>
      <c r="AT222" s="61"/>
      <c r="AU222" s="7"/>
      <c r="AV222" s="7"/>
      <c r="AW222" s="7"/>
      <c r="AX222" s="7"/>
      <c r="AY222" s="7"/>
      <c r="AZ222" s="7"/>
      <c r="BA222" s="7"/>
      <c r="BB222" s="61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52"/>
      <c r="BN222" s="52"/>
      <c r="BO222" s="53"/>
      <c r="BP222" s="54"/>
    </row>
    <row r="223" spans="1:68" ht="14.25" customHeight="1" x14ac:dyDescent="0.25">
      <c r="A223" s="35">
        <v>57</v>
      </c>
      <c r="B223" s="36">
        <v>44805</v>
      </c>
      <c r="C223" s="37" t="s">
        <v>341</v>
      </c>
      <c r="D223" s="56">
        <v>2</v>
      </c>
      <c r="E223" s="56">
        <v>2</v>
      </c>
      <c r="F223" s="56">
        <v>1</v>
      </c>
      <c r="G223" s="56">
        <v>12</v>
      </c>
      <c r="H223" s="57">
        <v>2</v>
      </c>
      <c r="I223" s="57">
        <v>1</v>
      </c>
      <c r="J223" s="57">
        <v>2</v>
      </c>
      <c r="K223" s="57">
        <v>2</v>
      </c>
      <c r="L223" s="57">
        <v>1</v>
      </c>
      <c r="M223" s="57">
        <v>3</v>
      </c>
      <c r="N223" s="57">
        <v>3</v>
      </c>
      <c r="O223" s="57">
        <v>2</v>
      </c>
      <c r="P223" s="57"/>
      <c r="Q223" s="57">
        <v>3</v>
      </c>
      <c r="R223" s="57" t="s">
        <v>342</v>
      </c>
      <c r="S223" s="57" t="s">
        <v>343</v>
      </c>
      <c r="T223" s="57" t="s">
        <v>344</v>
      </c>
      <c r="U223" s="57"/>
      <c r="V223" s="57" t="s">
        <v>125</v>
      </c>
      <c r="W223" s="57" t="s">
        <v>96</v>
      </c>
      <c r="X223" s="57"/>
      <c r="Y223" s="57"/>
      <c r="Z223" s="123" t="s">
        <v>433</v>
      </c>
      <c r="AA223" s="123" t="s">
        <v>437</v>
      </c>
      <c r="AB223" s="123" t="str">
        <f t="shared" si="18"/>
        <v>Droguería-Diario</v>
      </c>
      <c r="AC223" s="38" t="s">
        <v>188</v>
      </c>
      <c r="AD223" s="38" t="s">
        <v>328</v>
      </c>
      <c r="AE223" s="123" t="s">
        <v>195</v>
      </c>
      <c r="AF223" s="123" t="s">
        <v>637</v>
      </c>
      <c r="AG223" s="123" t="str">
        <f t="shared" si="19"/>
        <v>Ofertas-Ocasional</v>
      </c>
      <c r="AH223" s="123" t="s">
        <v>552</v>
      </c>
      <c r="AI223" s="57">
        <v>2</v>
      </c>
      <c r="AJ223" s="38"/>
      <c r="AK223" s="123" t="s">
        <v>433</v>
      </c>
      <c r="AL223" s="123" t="s">
        <v>509</v>
      </c>
      <c r="AM223" s="123" t="str">
        <f t="shared" si="20"/>
        <v>Droguería-Quincenal</v>
      </c>
      <c r="AN223" s="38" t="s">
        <v>104</v>
      </c>
      <c r="AO223" s="38">
        <v>1</v>
      </c>
      <c r="AP223" s="38">
        <v>2</v>
      </c>
      <c r="AQ223" s="38"/>
      <c r="AR223" s="38">
        <v>2</v>
      </c>
      <c r="AS223" s="38"/>
      <c r="AT223" s="38">
        <v>3</v>
      </c>
      <c r="AU223" s="38"/>
      <c r="AV223" s="38">
        <v>1</v>
      </c>
      <c r="AW223" s="38"/>
      <c r="AX223" s="38">
        <v>1</v>
      </c>
      <c r="AY223" s="38"/>
      <c r="AZ223" s="38">
        <v>2</v>
      </c>
      <c r="BA223" s="38"/>
      <c r="BB223" s="38">
        <v>4</v>
      </c>
      <c r="BC223" s="38"/>
      <c r="BD223" s="38">
        <v>4</v>
      </c>
      <c r="BE223" s="38"/>
      <c r="BF223" s="38">
        <v>4</v>
      </c>
      <c r="BG223" s="38"/>
      <c r="BH223" s="38">
        <v>3</v>
      </c>
      <c r="BI223" s="38" t="s">
        <v>78</v>
      </c>
      <c r="BJ223" s="38" t="s">
        <v>107</v>
      </c>
      <c r="BK223" s="38">
        <v>1</v>
      </c>
      <c r="BL223" s="38"/>
      <c r="BM223" s="40" t="s">
        <v>345</v>
      </c>
      <c r="BN223" s="40">
        <v>3202959377</v>
      </c>
      <c r="BO223" s="40"/>
      <c r="BP223" s="42" t="s">
        <v>84</v>
      </c>
    </row>
    <row r="224" spans="1:68" ht="14.25" customHeight="1" x14ac:dyDescent="0.25">
      <c r="A224" s="43"/>
      <c r="B224" s="44"/>
      <c r="C224" s="45"/>
      <c r="D224" s="58"/>
      <c r="E224" s="58"/>
      <c r="F224" s="58"/>
      <c r="G224" s="58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124" t="s">
        <v>434</v>
      </c>
      <c r="AA224" s="124" t="s">
        <v>437</v>
      </c>
      <c r="AB224" s="124" t="str">
        <f t="shared" si="18"/>
        <v>Aseo Personal-Diario</v>
      </c>
      <c r="AC224" s="39"/>
      <c r="AD224" s="39"/>
      <c r="AE224" s="124" t="s">
        <v>441</v>
      </c>
      <c r="AF224" s="124" t="s">
        <v>437</v>
      </c>
      <c r="AG224" s="124" t="str">
        <f t="shared" si="19"/>
        <v>Atención al Cliente-Diario</v>
      </c>
      <c r="AH224" s="124" t="s">
        <v>446</v>
      </c>
      <c r="AI224" s="59"/>
      <c r="AJ224" s="39"/>
      <c r="AK224" s="124" t="s">
        <v>435</v>
      </c>
      <c r="AL224" s="124" t="s">
        <v>509</v>
      </c>
      <c r="AM224" s="124" t="str">
        <f t="shared" si="20"/>
        <v>Dulces y Paquetes-Quincenal</v>
      </c>
      <c r="AN224" s="39"/>
      <c r="AO224" s="39"/>
      <c r="AP224" s="39"/>
      <c r="AQ224" s="39"/>
      <c r="AR224" s="39"/>
      <c r="AS224" s="39"/>
      <c r="AT224" s="39"/>
      <c r="AU224" s="39"/>
      <c r="AV224" s="39"/>
      <c r="AW224" s="39"/>
      <c r="AX224" s="39"/>
      <c r="AY224" s="39"/>
      <c r="AZ224" s="39"/>
      <c r="BA224" s="39"/>
      <c r="BB224" s="39"/>
      <c r="BC224" s="39"/>
      <c r="BD224" s="39"/>
      <c r="BE224" s="39"/>
      <c r="BF224" s="39"/>
      <c r="BG224" s="39"/>
      <c r="BH224" s="39"/>
      <c r="BI224" s="39"/>
      <c r="BJ224" s="39"/>
      <c r="BK224" s="39"/>
      <c r="BL224" s="39"/>
      <c r="BM224" s="46"/>
      <c r="BN224" s="46"/>
      <c r="BO224" s="46"/>
      <c r="BP224" s="48"/>
    </row>
    <row r="225" spans="1:68" ht="14.25" customHeight="1" x14ac:dyDescent="0.25">
      <c r="A225" s="43"/>
      <c r="B225" s="44"/>
      <c r="C225" s="45"/>
      <c r="D225" s="58"/>
      <c r="E225" s="58"/>
      <c r="F225" s="58"/>
      <c r="G225" s="58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124" t="s">
        <v>77</v>
      </c>
      <c r="AA225" s="124" t="s">
        <v>437</v>
      </c>
      <c r="AB225" s="124" t="str">
        <f t="shared" si="18"/>
        <v>Limpieza-Diario</v>
      </c>
      <c r="AC225" s="39"/>
      <c r="AD225" s="39"/>
      <c r="AE225" s="124"/>
      <c r="AF225" s="124"/>
      <c r="AG225" s="124" t="str">
        <f t="shared" si="19"/>
        <v>-</v>
      </c>
      <c r="AH225" s="124"/>
      <c r="AI225" s="59"/>
      <c r="AJ225" s="39"/>
      <c r="AK225" s="124" t="s">
        <v>434</v>
      </c>
      <c r="AL225" s="124" t="s">
        <v>509</v>
      </c>
      <c r="AM225" s="124" t="str">
        <f t="shared" si="20"/>
        <v>Aseo Personal-Quincenal</v>
      </c>
      <c r="AN225" s="39"/>
      <c r="AO225" s="39"/>
      <c r="AP225" s="39"/>
      <c r="AQ225" s="39"/>
      <c r="AR225" s="39"/>
      <c r="AS225" s="39"/>
      <c r="AT225" s="39"/>
      <c r="AU225" s="39"/>
      <c r="AV225" s="39"/>
      <c r="AW225" s="39"/>
      <c r="AX225" s="39"/>
      <c r="AY225" s="39"/>
      <c r="AZ225" s="39"/>
      <c r="BA225" s="39"/>
      <c r="BB225" s="39"/>
      <c r="BC225" s="39"/>
      <c r="BD225" s="39"/>
      <c r="BE225" s="39"/>
      <c r="BF225" s="39"/>
      <c r="BG225" s="39"/>
      <c r="BH225" s="39"/>
      <c r="BI225" s="39"/>
      <c r="BJ225" s="39"/>
      <c r="BK225" s="39"/>
      <c r="BL225" s="39"/>
      <c r="BM225" s="46"/>
      <c r="BN225" s="46"/>
      <c r="BO225" s="46"/>
      <c r="BP225" s="48"/>
    </row>
    <row r="226" spans="1:68" ht="14.25" customHeight="1" x14ac:dyDescent="0.25">
      <c r="A226" s="49"/>
      <c r="B226" s="50"/>
      <c r="C226" s="51"/>
      <c r="D226" s="60"/>
      <c r="E226" s="60"/>
      <c r="F226" s="60"/>
      <c r="G226" s="60"/>
      <c r="H226" s="61"/>
      <c r="I226" s="61"/>
      <c r="J226" s="61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125" t="s">
        <v>435</v>
      </c>
      <c r="AA226" s="125" t="s">
        <v>437</v>
      </c>
      <c r="AB226" s="125" t="str">
        <f t="shared" si="18"/>
        <v>Dulces y Paquetes-Diario</v>
      </c>
      <c r="AC226" s="7"/>
      <c r="AD226" s="7"/>
      <c r="AE226" s="125"/>
      <c r="AF226" s="125"/>
      <c r="AG226" s="125" t="str">
        <f t="shared" si="19"/>
        <v>-</v>
      </c>
      <c r="AH226" s="125"/>
      <c r="AI226" s="61"/>
      <c r="AJ226" s="7"/>
      <c r="AK226" s="125" t="s">
        <v>77</v>
      </c>
      <c r="AL226" s="125" t="s">
        <v>509</v>
      </c>
      <c r="AM226" s="125" t="str">
        <f t="shared" si="20"/>
        <v>Limpieza-Quincenal</v>
      </c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52"/>
      <c r="BN226" s="52"/>
      <c r="BO226" s="52"/>
      <c r="BP226" s="54"/>
    </row>
    <row r="227" spans="1:68" x14ac:dyDescent="0.25">
      <c r="A227" s="35">
        <v>58</v>
      </c>
      <c r="B227" s="36">
        <v>44805</v>
      </c>
      <c r="C227" s="37" t="s">
        <v>346</v>
      </c>
      <c r="D227" s="56">
        <v>2</v>
      </c>
      <c r="E227" s="56">
        <v>2</v>
      </c>
      <c r="F227" s="56">
        <v>1</v>
      </c>
      <c r="G227" s="56">
        <v>12</v>
      </c>
      <c r="H227" s="57">
        <v>4</v>
      </c>
      <c r="I227" s="57">
        <v>2</v>
      </c>
      <c r="J227" s="57">
        <v>3</v>
      </c>
      <c r="K227" s="57">
        <v>2</v>
      </c>
      <c r="L227" s="57">
        <v>3</v>
      </c>
      <c r="M227" s="57">
        <v>3</v>
      </c>
      <c r="N227" s="57">
        <v>3</v>
      </c>
      <c r="O227" s="57">
        <v>3</v>
      </c>
      <c r="P227" s="57"/>
      <c r="Q227" s="57">
        <v>3</v>
      </c>
      <c r="R227" s="57" t="s">
        <v>93</v>
      </c>
      <c r="S227" s="57" t="s">
        <v>73</v>
      </c>
      <c r="T227" s="57" t="s">
        <v>94</v>
      </c>
      <c r="U227" s="57"/>
      <c r="V227" s="57" t="s">
        <v>96</v>
      </c>
      <c r="W227" s="57"/>
      <c r="X227" s="57"/>
      <c r="Y227" s="57"/>
      <c r="Z227" s="123" t="s">
        <v>433</v>
      </c>
      <c r="AA227" s="123" t="s">
        <v>436</v>
      </c>
      <c r="AB227" s="123" t="str">
        <f t="shared" si="18"/>
        <v>Droguería-Semanal</v>
      </c>
      <c r="AC227" s="38" t="s">
        <v>315</v>
      </c>
      <c r="AD227" s="38"/>
      <c r="AE227" s="123" t="s">
        <v>448</v>
      </c>
      <c r="AF227" s="123" t="s">
        <v>437</v>
      </c>
      <c r="AG227" s="123" t="str">
        <f t="shared" si="19"/>
        <v>Asesoramiento-Diario</v>
      </c>
      <c r="AH227" s="123"/>
      <c r="AI227" s="57">
        <v>2</v>
      </c>
      <c r="AJ227" s="38"/>
      <c r="AK227" s="123" t="s">
        <v>433</v>
      </c>
      <c r="AL227" s="123" t="s">
        <v>449</v>
      </c>
      <c r="AM227" s="123" t="str">
        <f t="shared" si="20"/>
        <v>Droguería-Depende de la Provisión</v>
      </c>
      <c r="AN227" s="38" t="s">
        <v>104</v>
      </c>
      <c r="AO227" s="38">
        <v>1</v>
      </c>
      <c r="AP227" s="38">
        <v>2</v>
      </c>
      <c r="AQ227" s="38"/>
      <c r="AR227" s="38">
        <v>2</v>
      </c>
      <c r="AS227" s="38"/>
      <c r="AT227" s="38">
        <v>2</v>
      </c>
      <c r="AU227" s="38"/>
      <c r="AV227" s="38">
        <v>4</v>
      </c>
      <c r="AW227" s="38"/>
      <c r="AX227" s="38">
        <v>4</v>
      </c>
      <c r="AY227" s="38"/>
      <c r="AZ227" s="38">
        <v>2</v>
      </c>
      <c r="BA227" s="38"/>
      <c r="BB227" s="38">
        <v>6</v>
      </c>
      <c r="BC227" s="38"/>
      <c r="BD227" s="38">
        <v>7</v>
      </c>
      <c r="BE227" s="38"/>
      <c r="BF227" s="38">
        <v>4</v>
      </c>
      <c r="BG227" s="38"/>
      <c r="BH227" s="38">
        <v>2</v>
      </c>
      <c r="BI227" s="38" t="s">
        <v>78</v>
      </c>
      <c r="BJ227" s="38" t="s">
        <v>347</v>
      </c>
      <c r="BK227" s="38">
        <v>8</v>
      </c>
      <c r="BL227" s="38"/>
      <c r="BM227" s="40" t="s">
        <v>348</v>
      </c>
      <c r="BN227" s="40">
        <v>3108022241</v>
      </c>
      <c r="BO227" s="40"/>
      <c r="BP227" s="42" t="s">
        <v>83</v>
      </c>
    </row>
    <row r="228" spans="1:68" x14ac:dyDescent="0.25">
      <c r="A228" s="43"/>
      <c r="B228" s="44"/>
      <c r="C228" s="45"/>
      <c r="D228" s="58"/>
      <c r="E228" s="58"/>
      <c r="F228" s="58"/>
      <c r="G228" s="58"/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124" t="s">
        <v>434</v>
      </c>
      <c r="AA228" s="124" t="s">
        <v>437</v>
      </c>
      <c r="AB228" s="124" t="str">
        <f t="shared" si="18"/>
        <v>Aseo Personal-Diario</v>
      </c>
      <c r="AC228" s="39"/>
      <c r="AD228" s="39"/>
      <c r="AE228" s="124" t="s">
        <v>441</v>
      </c>
      <c r="AF228" s="124" t="s">
        <v>437</v>
      </c>
      <c r="AG228" s="124" t="str">
        <f t="shared" si="19"/>
        <v>Atención al Cliente-Diario</v>
      </c>
      <c r="AH228" s="124"/>
      <c r="AI228" s="59"/>
      <c r="AJ228" s="39"/>
      <c r="AK228" s="124" t="s">
        <v>435</v>
      </c>
      <c r="AL228" s="124" t="s">
        <v>436</v>
      </c>
      <c r="AM228" s="124" t="str">
        <f t="shared" si="20"/>
        <v>Dulces y Paquetes-Semanal</v>
      </c>
      <c r="AN228" s="39"/>
      <c r="AO228" s="39"/>
      <c r="AP228" s="39"/>
      <c r="AQ228" s="39"/>
      <c r="AR228" s="39"/>
      <c r="AS228" s="39"/>
      <c r="AT228" s="39"/>
      <c r="AU228" s="39"/>
      <c r="AV228" s="39"/>
      <c r="AW228" s="39"/>
      <c r="AX228" s="39"/>
      <c r="AY228" s="39"/>
      <c r="AZ228" s="39"/>
      <c r="BA228" s="39"/>
      <c r="BB228" s="39"/>
      <c r="BC228" s="39"/>
      <c r="BD228" s="39"/>
      <c r="BE228" s="39"/>
      <c r="BF228" s="39"/>
      <c r="BG228" s="39"/>
      <c r="BH228" s="39"/>
      <c r="BI228" s="39"/>
      <c r="BJ228" s="39"/>
      <c r="BK228" s="39"/>
      <c r="BL228" s="39"/>
      <c r="BM228" s="46"/>
      <c r="BN228" s="46"/>
      <c r="BO228" s="46"/>
      <c r="BP228" s="48"/>
    </row>
    <row r="229" spans="1:68" x14ac:dyDescent="0.25">
      <c r="A229" s="43"/>
      <c r="B229" s="44"/>
      <c r="C229" s="45"/>
      <c r="D229" s="58"/>
      <c r="E229" s="58"/>
      <c r="F229" s="58"/>
      <c r="G229" s="58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124" t="s">
        <v>77</v>
      </c>
      <c r="AA229" s="124" t="s">
        <v>437</v>
      </c>
      <c r="AB229" s="124" t="str">
        <f t="shared" si="18"/>
        <v>Limpieza-Diario</v>
      </c>
      <c r="AC229" s="39"/>
      <c r="AD229" s="39"/>
      <c r="AE229" s="124"/>
      <c r="AF229" s="124"/>
      <c r="AG229" s="124" t="str">
        <f t="shared" si="19"/>
        <v>-</v>
      </c>
      <c r="AH229" s="124"/>
      <c r="AI229" s="59"/>
      <c r="AJ229" s="39"/>
      <c r="AK229" s="124" t="s">
        <v>434</v>
      </c>
      <c r="AL229" s="124" t="s">
        <v>509</v>
      </c>
      <c r="AM229" s="124" t="str">
        <f t="shared" si="20"/>
        <v>Aseo Personal-Quincenal</v>
      </c>
      <c r="AN229" s="39"/>
      <c r="AO229" s="39"/>
      <c r="AP229" s="39"/>
      <c r="AQ229" s="39"/>
      <c r="AR229" s="39"/>
      <c r="AS229" s="39"/>
      <c r="AT229" s="39"/>
      <c r="AU229" s="39"/>
      <c r="AV229" s="39"/>
      <c r="AW229" s="39"/>
      <c r="AX229" s="39"/>
      <c r="AY229" s="39"/>
      <c r="AZ229" s="39"/>
      <c r="BA229" s="39"/>
      <c r="BB229" s="39"/>
      <c r="BC229" s="39"/>
      <c r="BD229" s="39"/>
      <c r="BE229" s="39"/>
      <c r="BF229" s="39"/>
      <c r="BG229" s="39"/>
      <c r="BH229" s="39"/>
      <c r="BI229" s="39"/>
      <c r="BJ229" s="39"/>
      <c r="BK229" s="39"/>
      <c r="BL229" s="39"/>
      <c r="BM229" s="46"/>
      <c r="BN229" s="46"/>
      <c r="BO229" s="46"/>
      <c r="BP229" s="48"/>
    </row>
    <row r="230" spans="1:68" x14ac:dyDescent="0.25">
      <c r="A230" s="49"/>
      <c r="B230" s="50"/>
      <c r="C230" s="51"/>
      <c r="D230" s="60"/>
      <c r="E230" s="60"/>
      <c r="F230" s="60"/>
      <c r="G230" s="60"/>
      <c r="H230" s="61"/>
      <c r="I230" s="61"/>
      <c r="J230" s="61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125" t="s">
        <v>435</v>
      </c>
      <c r="AA230" s="125" t="s">
        <v>437</v>
      </c>
      <c r="AB230" s="125" t="str">
        <f t="shared" si="18"/>
        <v>Dulces y Paquetes-Diario</v>
      </c>
      <c r="AC230" s="7"/>
      <c r="AD230" s="7"/>
      <c r="AE230" s="125"/>
      <c r="AF230" s="125"/>
      <c r="AG230" s="125" t="str">
        <f t="shared" si="19"/>
        <v>-</v>
      </c>
      <c r="AH230" s="125"/>
      <c r="AI230" s="61"/>
      <c r="AJ230" s="7"/>
      <c r="AK230" s="125" t="s">
        <v>77</v>
      </c>
      <c r="AL230" s="125" t="s">
        <v>509</v>
      </c>
      <c r="AM230" s="125" t="str">
        <f t="shared" si="20"/>
        <v>Limpieza-Quincenal</v>
      </c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52"/>
      <c r="BN230" s="52"/>
      <c r="BO230" s="52"/>
      <c r="BP230" s="54"/>
    </row>
    <row r="231" spans="1:68" x14ac:dyDescent="0.25">
      <c r="A231" s="35">
        <v>59</v>
      </c>
      <c r="B231" s="36">
        <v>44805</v>
      </c>
      <c r="C231" s="37" t="s">
        <v>349</v>
      </c>
      <c r="D231" s="56">
        <v>1</v>
      </c>
      <c r="E231" s="56">
        <v>2</v>
      </c>
      <c r="F231" s="56">
        <v>1</v>
      </c>
      <c r="G231" s="56">
        <v>12</v>
      </c>
      <c r="H231" s="57">
        <v>1</v>
      </c>
      <c r="I231" s="57">
        <v>2</v>
      </c>
      <c r="J231" s="57">
        <v>3</v>
      </c>
      <c r="K231" s="57">
        <v>2</v>
      </c>
      <c r="L231" s="57">
        <v>2</v>
      </c>
      <c r="M231" s="57">
        <v>3</v>
      </c>
      <c r="N231" s="57">
        <v>3</v>
      </c>
      <c r="O231" s="57">
        <v>2</v>
      </c>
      <c r="P231" s="57"/>
      <c r="Q231" s="57">
        <v>3</v>
      </c>
      <c r="R231" s="57" t="s">
        <v>111</v>
      </c>
      <c r="S231" s="57" t="s">
        <v>93</v>
      </c>
      <c r="T231" s="57" t="s">
        <v>88</v>
      </c>
      <c r="U231" s="57"/>
      <c r="V231" s="57" t="s">
        <v>350</v>
      </c>
      <c r="W231" s="57" t="s">
        <v>76</v>
      </c>
      <c r="X231" s="57" t="s">
        <v>327</v>
      </c>
      <c r="Y231" s="57"/>
      <c r="Z231" s="123" t="s">
        <v>433</v>
      </c>
      <c r="AA231" s="123" t="s">
        <v>436</v>
      </c>
      <c r="AB231" s="123" t="str">
        <f t="shared" si="18"/>
        <v>Droguería-Semanal</v>
      </c>
      <c r="AC231" s="38" t="s">
        <v>157</v>
      </c>
      <c r="AD231" s="38" t="s">
        <v>78</v>
      </c>
      <c r="AE231" s="123" t="s">
        <v>439</v>
      </c>
      <c r="AF231" s="123" t="s">
        <v>442</v>
      </c>
      <c r="AG231" s="123" t="str">
        <f t="shared" si="19"/>
        <v>Descuento-Mensual</v>
      </c>
      <c r="AH231" s="123" t="s">
        <v>593</v>
      </c>
      <c r="AI231" s="57">
        <v>2</v>
      </c>
      <c r="AJ231" s="38"/>
      <c r="AK231" s="123" t="s">
        <v>433</v>
      </c>
      <c r="AL231" s="123" t="s">
        <v>509</v>
      </c>
      <c r="AM231" s="123" t="str">
        <f t="shared" si="20"/>
        <v>Droguería-Quincenal</v>
      </c>
      <c r="AN231" s="38" t="s">
        <v>166</v>
      </c>
      <c r="AO231" s="38">
        <v>1</v>
      </c>
      <c r="AP231" s="38">
        <v>1</v>
      </c>
      <c r="AQ231" s="38"/>
      <c r="AR231" s="38">
        <v>2</v>
      </c>
      <c r="AS231" s="38"/>
      <c r="AT231" s="38">
        <v>1</v>
      </c>
      <c r="AU231" s="38"/>
      <c r="AV231" s="38">
        <v>1</v>
      </c>
      <c r="AW231" s="38"/>
      <c r="AX231" s="38">
        <v>3</v>
      </c>
      <c r="AY231" s="38"/>
      <c r="AZ231" s="38">
        <v>2</v>
      </c>
      <c r="BA231" s="38"/>
      <c r="BB231" s="38">
        <v>1</v>
      </c>
      <c r="BC231" s="38"/>
      <c r="BD231" s="38">
        <v>5</v>
      </c>
      <c r="BE231" s="38"/>
      <c r="BF231" s="38">
        <v>4</v>
      </c>
      <c r="BG231" s="38"/>
      <c r="BH231" s="38">
        <v>3</v>
      </c>
      <c r="BI231" s="38" t="s">
        <v>80</v>
      </c>
      <c r="BJ231" s="38" t="s">
        <v>158</v>
      </c>
      <c r="BK231" s="38">
        <v>3</v>
      </c>
      <c r="BL231" s="38"/>
      <c r="BM231" s="40" t="s">
        <v>91</v>
      </c>
      <c r="BN231" s="40">
        <v>3204100063</v>
      </c>
      <c r="BO231" s="41" t="s">
        <v>351</v>
      </c>
      <c r="BP231" s="42" t="s">
        <v>84</v>
      </c>
    </row>
    <row r="232" spans="1:68" x14ac:dyDescent="0.25">
      <c r="A232" s="43"/>
      <c r="B232" s="44"/>
      <c r="C232" s="45"/>
      <c r="D232" s="58"/>
      <c r="E232" s="58"/>
      <c r="F232" s="58"/>
      <c r="G232" s="58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  <c r="Z232" s="124" t="s">
        <v>434</v>
      </c>
      <c r="AA232" s="124" t="s">
        <v>436</v>
      </c>
      <c r="AB232" s="124" t="str">
        <f t="shared" si="18"/>
        <v>Aseo Personal-Semanal</v>
      </c>
      <c r="AC232" s="39"/>
      <c r="AD232" s="39"/>
      <c r="AE232" s="124" t="s">
        <v>195</v>
      </c>
      <c r="AF232" s="124" t="s">
        <v>637</v>
      </c>
      <c r="AG232" s="124" t="str">
        <f t="shared" si="19"/>
        <v>Ofertas-Ocasional</v>
      </c>
      <c r="AH232" s="124" t="s">
        <v>594</v>
      </c>
      <c r="AI232" s="59"/>
      <c r="AJ232" s="39"/>
      <c r="AK232" s="124" t="s">
        <v>435</v>
      </c>
      <c r="AL232" s="124" t="s">
        <v>436</v>
      </c>
      <c r="AM232" s="124" t="str">
        <f t="shared" si="20"/>
        <v>Dulces y Paquetes-Semanal</v>
      </c>
      <c r="AN232" s="39"/>
      <c r="AO232" s="39"/>
      <c r="AP232" s="39"/>
      <c r="AQ232" s="39"/>
      <c r="AR232" s="39"/>
      <c r="AS232" s="39"/>
      <c r="AT232" s="39"/>
      <c r="AU232" s="39"/>
      <c r="AV232" s="39"/>
      <c r="AW232" s="39"/>
      <c r="AX232" s="39"/>
      <c r="AY232" s="39"/>
      <c r="AZ232" s="39"/>
      <c r="BA232" s="39"/>
      <c r="BB232" s="39"/>
      <c r="BC232" s="39"/>
      <c r="BD232" s="39"/>
      <c r="BE232" s="39"/>
      <c r="BF232" s="39"/>
      <c r="BG232" s="39"/>
      <c r="BH232" s="39"/>
      <c r="BI232" s="39"/>
      <c r="BJ232" s="39"/>
      <c r="BK232" s="39"/>
      <c r="BL232" s="39"/>
      <c r="BM232" s="46"/>
      <c r="BN232" s="46"/>
      <c r="BO232" s="47"/>
      <c r="BP232" s="48"/>
    </row>
    <row r="233" spans="1:68" x14ac:dyDescent="0.25">
      <c r="A233" s="43"/>
      <c r="B233" s="44"/>
      <c r="C233" s="45"/>
      <c r="D233" s="58"/>
      <c r="E233" s="58"/>
      <c r="F233" s="58"/>
      <c r="G233" s="58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124" t="s">
        <v>435</v>
      </c>
      <c r="AA233" s="124" t="s">
        <v>437</v>
      </c>
      <c r="AB233" s="124" t="str">
        <f t="shared" si="18"/>
        <v>Dulces y Paquetes-Diario</v>
      </c>
      <c r="AC233" s="39"/>
      <c r="AD233" s="39"/>
      <c r="AE233" s="124" t="s">
        <v>441</v>
      </c>
      <c r="AF233" s="124" t="s">
        <v>437</v>
      </c>
      <c r="AG233" s="124" t="str">
        <f t="shared" si="19"/>
        <v>Atención al Cliente-Diario</v>
      </c>
      <c r="AH233" s="124" t="s">
        <v>446</v>
      </c>
      <c r="AI233" s="59"/>
      <c r="AJ233" s="39"/>
      <c r="AK233" s="124" t="s">
        <v>434</v>
      </c>
      <c r="AL233" s="124" t="s">
        <v>436</v>
      </c>
      <c r="AM233" s="124" t="str">
        <f t="shared" si="20"/>
        <v>Aseo Personal-Semanal</v>
      </c>
      <c r="AN233" s="39"/>
      <c r="AO233" s="39"/>
      <c r="AP233" s="39"/>
      <c r="AQ233" s="39"/>
      <c r="AR233" s="39"/>
      <c r="AS233" s="39"/>
      <c r="AT233" s="39"/>
      <c r="AU233" s="39"/>
      <c r="AV233" s="39"/>
      <c r="AW233" s="39"/>
      <c r="AX233" s="39"/>
      <c r="AY233" s="39"/>
      <c r="AZ233" s="39"/>
      <c r="BA233" s="39"/>
      <c r="BB233" s="39"/>
      <c r="BC233" s="39"/>
      <c r="BD233" s="39"/>
      <c r="BE233" s="39"/>
      <c r="BF233" s="39"/>
      <c r="BG233" s="39"/>
      <c r="BH233" s="39"/>
      <c r="BI233" s="39"/>
      <c r="BJ233" s="39"/>
      <c r="BK233" s="39"/>
      <c r="BL233" s="39"/>
      <c r="BM233" s="46"/>
      <c r="BN233" s="46"/>
      <c r="BO233" s="47"/>
      <c r="BP233" s="48"/>
    </row>
    <row r="234" spans="1:68" x14ac:dyDescent="0.25">
      <c r="A234" s="49"/>
      <c r="B234" s="50"/>
      <c r="C234" s="51"/>
      <c r="D234" s="60"/>
      <c r="E234" s="60"/>
      <c r="F234" s="60"/>
      <c r="G234" s="60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125" t="s">
        <v>551</v>
      </c>
      <c r="AA234" s="125" t="s">
        <v>437</v>
      </c>
      <c r="AB234" s="125" t="str">
        <f t="shared" si="18"/>
        <v>Farmacia-Diario</v>
      </c>
      <c r="AC234" s="7"/>
      <c r="AD234" s="7"/>
      <c r="AE234" s="125"/>
      <c r="AF234" s="125"/>
      <c r="AG234" s="125" t="str">
        <f t="shared" si="19"/>
        <v>-</v>
      </c>
      <c r="AH234" s="125"/>
      <c r="AI234" s="61"/>
      <c r="AJ234" s="7"/>
      <c r="AK234" s="125" t="s">
        <v>77</v>
      </c>
      <c r="AL234" s="125" t="s">
        <v>436</v>
      </c>
      <c r="AM234" s="125" t="str">
        <f t="shared" si="20"/>
        <v>Limpieza-Semanal</v>
      </c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52"/>
      <c r="BN234" s="52"/>
      <c r="BO234" s="53"/>
      <c r="BP234" s="54"/>
    </row>
    <row r="235" spans="1:68" x14ac:dyDescent="0.25">
      <c r="A235" s="35">
        <v>60</v>
      </c>
      <c r="B235" s="36">
        <v>44805</v>
      </c>
      <c r="C235" s="37" t="s">
        <v>352</v>
      </c>
      <c r="D235" s="56">
        <v>2</v>
      </c>
      <c r="E235" s="56">
        <v>2</v>
      </c>
      <c r="F235" s="56">
        <v>1</v>
      </c>
      <c r="G235" s="56">
        <v>12</v>
      </c>
      <c r="H235" s="57">
        <v>1</v>
      </c>
      <c r="I235" s="57">
        <v>1</v>
      </c>
      <c r="J235" s="57">
        <v>2</v>
      </c>
      <c r="K235" s="57">
        <v>2</v>
      </c>
      <c r="L235" s="57">
        <v>1</v>
      </c>
      <c r="M235" s="57">
        <v>3</v>
      </c>
      <c r="N235" s="57">
        <v>3</v>
      </c>
      <c r="O235" s="57">
        <v>2</v>
      </c>
      <c r="P235" s="57"/>
      <c r="Q235" s="57">
        <v>3</v>
      </c>
      <c r="R235" s="57" t="s">
        <v>73</v>
      </c>
      <c r="S235" s="57" t="s">
        <v>88</v>
      </c>
      <c r="T235" s="57" t="s">
        <v>114</v>
      </c>
      <c r="U235" s="57"/>
      <c r="V235" s="57" t="s">
        <v>125</v>
      </c>
      <c r="W235" s="57" t="s">
        <v>76</v>
      </c>
      <c r="X235" s="57" t="s">
        <v>240</v>
      </c>
      <c r="Y235" s="57"/>
      <c r="Z235" s="123" t="s">
        <v>433</v>
      </c>
      <c r="AA235" s="123" t="s">
        <v>509</v>
      </c>
      <c r="AB235" s="123" t="str">
        <f t="shared" si="18"/>
        <v>Droguería-Quincenal</v>
      </c>
      <c r="AC235" s="38" t="s">
        <v>89</v>
      </c>
      <c r="AD235" s="38" t="s">
        <v>78</v>
      </c>
      <c r="AE235" s="123" t="s">
        <v>178</v>
      </c>
      <c r="AF235" s="123" t="s">
        <v>442</v>
      </c>
      <c r="AG235" s="123" t="str">
        <f t="shared" si="19"/>
        <v>Promociones-Mensual</v>
      </c>
      <c r="AH235" s="123" t="s">
        <v>552</v>
      </c>
      <c r="AI235" s="57">
        <v>2</v>
      </c>
      <c r="AJ235" s="38"/>
      <c r="AK235" s="123" t="s">
        <v>433</v>
      </c>
      <c r="AL235" s="123" t="s">
        <v>436</v>
      </c>
      <c r="AM235" s="123" t="str">
        <f t="shared" si="20"/>
        <v>Droguería-Semanal</v>
      </c>
      <c r="AN235" s="38" t="s">
        <v>90</v>
      </c>
      <c r="AO235" s="38">
        <v>1</v>
      </c>
      <c r="AP235" s="38">
        <v>2</v>
      </c>
      <c r="AQ235" s="38"/>
      <c r="AR235" s="38">
        <v>2</v>
      </c>
      <c r="AS235" s="38"/>
      <c r="AT235" s="38">
        <v>3</v>
      </c>
      <c r="AU235" s="38"/>
      <c r="AV235" s="38">
        <v>1</v>
      </c>
      <c r="AW235" s="38"/>
      <c r="AX235" s="38">
        <v>1</v>
      </c>
      <c r="AY235" s="38"/>
      <c r="AZ235" s="38">
        <v>2</v>
      </c>
      <c r="BA235" s="38"/>
      <c r="BB235" s="38">
        <v>6</v>
      </c>
      <c r="BC235" s="38"/>
      <c r="BD235" s="38">
        <v>4</v>
      </c>
      <c r="BE235" s="38"/>
      <c r="BF235" s="38">
        <v>4</v>
      </c>
      <c r="BG235" s="38"/>
      <c r="BH235" s="38">
        <v>3</v>
      </c>
      <c r="BI235" s="38" t="s">
        <v>78</v>
      </c>
      <c r="BJ235" s="38" t="s">
        <v>184</v>
      </c>
      <c r="BK235" s="38">
        <v>1</v>
      </c>
      <c r="BL235" s="38"/>
      <c r="BM235" s="40" t="s">
        <v>353</v>
      </c>
      <c r="BN235" s="40">
        <v>3115908968</v>
      </c>
      <c r="BO235" s="40"/>
      <c r="BP235" s="42" t="s">
        <v>84</v>
      </c>
    </row>
    <row r="236" spans="1:68" x14ac:dyDescent="0.25">
      <c r="A236" s="43"/>
      <c r="B236" s="44"/>
      <c r="C236" s="45"/>
      <c r="D236" s="58"/>
      <c r="E236" s="58"/>
      <c r="F236" s="58"/>
      <c r="G236" s="58"/>
      <c r="H236" s="59"/>
      <c r="I236" s="59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124" t="s">
        <v>434</v>
      </c>
      <c r="AA236" s="124" t="s">
        <v>509</v>
      </c>
      <c r="AB236" s="124" t="str">
        <f t="shared" si="18"/>
        <v>Aseo Personal-Quincenal</v>
      </c>
      <c r="AC236" s="39"/>
      <c r="AD236" s="39"/>
      <c r="AE236" s="124" t="s">
        <v>439</v>
      </c>
      <c r="AF236" s="124" t="s">
        <v>442</v>
      </c>
      <c r="AG236" s="124" t="str">
        <f t="shared" si="19"/>
        <v>Descuento-Mensual</v>
      </c>
      <c r="AH236" s="124" t="s">
        <v>593</v>
      </c>
      <c r="AI236" s="59"/>
      <c r="AJ236" s="39"/>
      <c r="AK236" s="124" t="s">
        <v>434</v>
      </c>
      <c r="AL236" s="124" t="s">
        <v>509</v>
      </c>
      <c r="AM236" s="124" t="str">
        <f t="shared" si="20"/>
        <v>Aseo Personal-Quincenal</v>
      </c>
      <c r="AN236" s="39"/>
      <c r="AO236" s="39"/>
      <c r="AP236" s="39"/>
      <c r="AQ236" s="39"/>
      <c r="AR236" s="39"/>
      <c r="AS236" s="39"/>
      <c r="AT236" s="39"/>
      <c r="AU236" s="39"/>
      <c r="AV236" s="39"/>
      <c r="AW236" s="39"/>
      <c r="AX236" s="39"/>
      <c r="AY236" s="39"/>
      <c r="AZ236" s="39"/>
      <c r="BA236" s="39"/>
      <c r="BB236" s="39"/>
      <c r="BC236" s="39"/>
      <c r="BD236" s="39"/>
      <c r="BE236" s="39"/>
      <c r="BF236" s="39"/>
      <c r="BG236" s="39"/>
      <c r="BH236" s="39"/>
      <c r="BI236" s="39"/>
      <c r="BJ236" s="39"/>
      <c r="BK236" s="39"/>
      <c r="BL236" s="39"/>
      <c r="BM236" s="46"/>
      <c r="BN236" s="46"/>
      <c r="BO236" s="46"/>
      <c r="BP236" s="48"/>
    </row>
    <row r="237" spans="1:68" x14ac:dyDescent="0.25">
      <c r="A237" s="43"/>
      <c r="B237" s="44"/>
      <c r="C237" s="45"/>
      <c r="D237" s="58"/>
      <c r="E237" s="58"/>
      <c r="F237" s="58"/>
      <c r="G237" s="58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124" t="s">
        <v>435</v>
      </c>
      <c r="AA237" s="124" t="s">
        <v>509</v>
      </c>
      <c r="AB237" s="124" t="str">
        <f t="shared" si="18"/>
        <v>Dulces y Paquetes-Quincenal</v>
      </c>
      <c r="AC237" s="39"/>
      <c r="AD237" s="39"/>
      <c r="AE237" s="124" t="s">
        <v>440</v>
      </c>
      <c r="AF237" s="124" t="s">
        <v>437</v>
      </c>
      <c r="AG237" s="124" t="str">
        <f t="shared" si="19"/>
        <v>Domicilios-Diario</v>
      </c>
      <c r="AH237" s="124" t="s">
        <v>553</v>
      </c>
      <c r="AI237" s="59"/>
      <c r="AJ237" s="39"/>
      <c r="AK237" s="124" t="s">
        <v>77</v>
      </c>
      <c r="AL237" s="124" t="s">
        <v>509</v>
      </c>
      <c r="AM237" s="124" t="str">
        <f t="shared" si="20"/>
        <v>Limpieza-Quincenal</v>
      </c>
      <c r="AN237" s="39"/>
      <c r="AO237" s="39"/>
      <c r="AP237" s="39"/>
      <c r="AQ237" s="39"/>
      <c r="AR237" s="39"/>
      <c r="AS237" s="39"/>
      <c r="AT237" s="39"/>
      <c r="AU237" s="39"/>
      <c r="AV237" s="39"/>
      <c r="AW237" s="39"/>
      <c r="AX237" s="39"/>
      <c r="AY237" s="39"/>
      <c r="AZ237" s="39"/>
      <c r="BA237" s="39"/>
      <c r="BB237" s="39"/>
      <c r="BC237" s="39"/>
      <c r="BD237" s="39"/>
      <c r="BE237" s="39"/>
      <c r="BF237" s="39"/>
      <c r="BG237" s="39"/>
      <c r="BH237" s="39"/>
      <c r="BI237" s="39"/>
      <c r="BJ237" s="39"/>
      <c r="BK237" s="39"/>
      <c r="BL237" s="39"/>
      <c r="BM237" s="46"/>
      <c r="BN237" s="46"/>
      <c r="BO237" s="46"/>
      <c r="BP237" s="48"/>
    </row>
    <row r="238" spans="1:68" x14ac:dyDescent="0.25">
      <c r="A238" s="49"/>
      <c r="B238" s="50"/>
      <c r="C238" s="51"/>
      <c r="D238" s="60"/>
      <c r="E238" s="60"/>
      <c r="F238" s="60"/>
      <c r="G238" s="60"/>
      <c r="H238" s="61"/>
      <c r="I238" s="61"/>
      <c r="J238" s="61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125"/>
      <c r="AA238" s="125"/>
      <c r="AB238" s="124"/>
      <c r="AC238" s="7"/>
      <c r="AD238" s="7"/>
      <c r="AE238" s="125" t="s">
        <v>441</v>
      </c>
      <c r="AF238" s="125" t="s">
        <v>437</v>
      </c>
      <c r="AG238" s="125" t="str">
        <f t="shared" si="19"/>
        <v>Atención al Cliente-Diario</v>
      </c>
      <c r="AH238" s="125" t="s">
        <v>573</v>
      </c>
      <c r="AI238" s="61"/>
      <c r="AJ238" s="7"/>
      <c r="AK238" s="125"/>
      <c r="AL238" s="125"/>
      <c r="AM238" s="125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52"/>
      <c r="BN238" s="52"/>
      <c r="BO238" s="52"/>
      <c r="BP238" s="54"/>
    </row>
    <row r="239" spans="1:68" x14ac:dyDescent="0.25">
      <c r="A239" s="35">
        <v>61</v>
      </c>
      <c r="B239" s="36">
        <v>44805</v>
      </c>
      <c r="C239" s="37" t="s">
        <v>354</v>
      </c>
      <c r="D239" s="56">
        <v>2</v>
      </c>
      <c r="E239" s="56">
        <v>2</v>
      </c>
      <c r="F239" s="56">
        <v>1</v>
      </c>
      <c r="G239" s="56">
        <v>12</v>
      </c>
      <c r="H239" s="57">
        <v>2</v>
      </c>
      <c r="I239" s="57">
        <v>1</v>
      </c>
      <c r="J239" s="57">
        <v>1</v>
      </c>
      <c r="K239" s="57">
        <v>2</v>
      </c>
      <c r="L239" s="57">
        <v>1</v>
      </c>
      <c r="M239" s="57">
        <v>3</v>
      </c>
      <c r="N239" s="57">
        <v>3</v>
      </c>
      <c r="O239" s="57">
        <v>2</v>
      </c>
      <c r="P239" s="57"/>
      <c r="Q239" s="57">
        <v>3</v>
      </c>
      <c r="R239" s="57" t="s">
        <v>243</v>
      </c>
      <c r="S239" s="57" t="s">
        <v>88</v>
      </c>
      <c r="T239" s="57" t="s">
        <v>355</v>
      </c>
      <c r="U239" s="57"/>
      <c r="V239" s="57" t="s">
        <v>95</v>
      </c>
      <c r="W239" s="57" t="s">
        <v>240</v>
      </c>
      <c r="X239" s="57"/>
      <c r="Y239" s="57"/>
      <c r="Z239" s="123" t="s">
        <v>433</v>
      </c>
      <c r="AA239" s="123" t="s">
        <v>436</v>
      </c>
      <c r="AB239" s="123" t="str">
        <f t="shared" si="18"/>
        <v>Droguería-Semanal</v>
      </c>
      <c r="AC239" s="38" t="s">
        <v>89</v>
      </c>
      <c r="AD239" s="38" t="s">
        <v>78</v>
      </c>
      <c r="AE239" s="123" t="s">
        <v>441</v>
      </c>
      <c r="AF239" s="123" t="s">
        <v>437</v>
      </c>
      <c r="AG239" s="123" t="str">
        <f t="shared" si="19"/>
        <v>Atención al Cliente-Diario</v>
      </c>
      <c r="AH239" s="123"/>
      <c r="AI239" s="57">
        <v>2</v>
      </c>
      <c r="AJ239" s="38"/>
      <c r="AK239" s="123" t="s">
        <v>433</v>
      </c>
      <c r="AL239" s="123" t="s">
        <v>449</v>
      </c>
      <c r="AM239" s="123" t="str">
        <f t="shared" si="20"/>
        <v>Droguería-Depende de la Provisión</v>
      </c>
      <c r="AN239" s="38" t="s">
        <v>104</v>
      </c>
      <c r="AO239" s="38">
        <v>1</v>
      </c>
      <c r="AP239" s="38">
        <v>2</v>
      </c>
      <c r="AQ239" s="38"/>
      <c r="AR239" s="38">
        <v>2</v>
      </c>
      <c r="AS239" s="38"/>
      <c r="AT239" s="38">
        <v>3</v>
      </c>
      <c r="AU239" s="38"/>
      <c r="AV239" s="38">
        <v>1</v>
      </c>
      <c r="AW239" s="38"/>
      <c r="AX239" s="38">
        <v>1</v>
      </c>
      <c r="AY239" s="38"/>
      <c r="AZ239" s="38">
        <v>2</v>
      </c>
      <c r="BA239" s="38"/>
      <c r="BB239" s="38">
        <v>6</v>
      </c>
      <c r="BC239" s="38"/>
      <c r="BD239" s="38">
        <v>4</v>
      </c>
      <c r="BE239" s="38"/>
      <c r="BF239" s="38">
        <v>4</v>
      </c>
      <c r="BG239" s="38"/>
      <c r="BH239" s="38">
        <v>3</v>
      </c>
      <c r="BI239" s="38" t="s">
        <v>356</v>
      </c>
      <c r="BJ239" s="38" t="s">
        <v>184</v>
      </c>
      <c r="BK239" s="38">
        <v>1</v>
      </c>
      <c r="BL239" s="38"/>
      <c r="BM239" s="40" t="s">
        <v>357</v>
      </c>
      <c r="BN239" s="40">
        <v>31438332090</v>
      </c>
      <c r="BO239" s="40"/>
      <c r="BP239" s="42" t="s">
        <v>84</v>
      </c>
    </row>
    <row r="240" spans="1:68" x14ac:dyDescent="0.25">
      <c r="A240" s="43"/>
      <c r="B240" s="44"/>
      <c r="C240" s="45"/>
      <c r="D240" s="58"/>
      <c r="E240" s="58"/>
      <c r="F240" s="58"/>
      <c r="G240" s="58"/>
      <c r="H240" s="59"/>
      <c r="I240" s="59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  <c r="Z240" s="124" t="s">
        <v>434</v>
      </c>
      <c r="AA240" s="124" t="s">
        <v>437</v>
      </c>
      <c r="AB240" s="124" t="str">
        <f t="shared" si="18"/>
        <v>Aseo Personal-Diario</v>
      </c>
      <c r="AC240" s="39"/>
      <c r="AD240" s="39"/>
      <c r="AE240" s="124"/>
      <c r="AF240" s="124"/>
      <c r="AG240" s="124" t="str">
        <f t="shared" si="19"/>
        <v>-</v>
      </c>
      <c r="AH240" s="124"/>
      <c r="AI240" s="59"/>
      <c r="AJ240" s="39"/>
      <c r="AK240" s="124" t="s">
        <v>435</v>
      </c>
      <c r="AL240" s="124" t="s">
        <v>436</v>
      </c>
      <c r="AM240" s="124" t="str">
        <f t="shared" si="20"/>
        <v>Dulces y Paquetes-Semanal</v>
      </c>
      <c r="AN240" s="39"/>
      <c r="AO240" s="39"/>
      <c r="AP240" s="39"/>
      <c r="AQ240" s="39"/>
      <c r="AR240" s="39"/>
      <c r="AS240" s="39"/>
      <c r="AT240" s="39"/>
      <c r="AU240" s="39"/>
      <c r="AV240" s="39"/>
      <c r="AW240" s="39"/>
      <c r="AX240" s="39"/>
      <c r="AY240" s="39"/>
      <c r="AZ240" s="39"/>
      <c r="BA240" s="39"/>
      <c r="BB240" s="39"/>
      <c r="BC240" s="39"/>
      <c r="BD240" s="39"/>
      <c r="BE240" s="39"/>
      <c r="BF240" s="39"/>
      <c r="BG240" s="39"/>
      <c r="BH240" s="39"/>
      <c r="BI240" s="39"/>
      <c r="BJ240" s="39"/>
      <c r="BK240" s="39"/>
      <c r="BL240" s="39"/>
      <c r="BM240" s="46"/>
      <c r="BN240" s="46"/>
      <c r="BO240" s="46"/>
      <c r="BP240" s="48"/>
    </row>
    <row r="241" spans="1:68" x14ac:dyDescent="0.25">
      <c r="A241" s="43"/>
      <c r="B241" s="44"/>
      <c r="C241" s="45"/>
      <c r="D241" s="58"/>
      <c r="E241" s="58"/>
      <c r="F241" s="58"/>
      <c r="G241" s="58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124" t="s">
        <v>77</v>
      </c>
      <c r="AA241" s="124" t="s">
        <v>437</v>
      </c>
      <c r="AB241" s="124" t="str">
        <f t="shared" si="18"/>
        <v>Limpieza-Diario</v>
      </c>
      <c r="AC241" s="39"/>
      <c r="AD241" s="39"/>
      <c r="AE241" s="124"/>
      <c r="AF241" s="124"/>
      <c r="AG241" s="124" t="str">
        <f t="shared" si="19"/>
        <v>-</v>
      </c>
      <c r="AH241" s="124"/>
      <c r="AI241" s="59"/>
      <c r="AJ241" s="39"/>
      <c r="AK241" s="124" t="s">
        <v>434</v>
      </c>
      <c r="AL241" s="124" t="s">
        <v>442</v>
      </c>
      <c r="AM241" s="124" t="str">
        <f t="shared" si="20"/>
        <v>Aseo Personal-Mensual</v>
      </c>
      <c r="AN241" s="39"/>
      <c r="AO241" s="39"/>
      <c r="AP241" s="39"/>
      <c r="AQ241" s="39"/>
      <c r="AR241" s="39"/>
      <c r="AS241" s="39"/>
      <c r="AT241" s="39"/>
      <c r="AU241" s="39"/>
      <c r="AV241" s="39"/>
      <c r="AW241" s="39"/>
      <c r="AX241" s="39"/>
      <c r="AY241" s="39"/>
      <c r="AZ241" s="39"/>
      <c r="BA241" s="39"/>
      <c r="BB241" s="39"/>
      <c r="BC241" s="39"/>
      <c r="BD241" s="39"/>
      <c r="BE241" s="39"/>
      <c r="BF241" s="39"/>
      <c r="BG241" s="39"/>
      <c r="BH241" s="39"/>
      <c r="BI241" s="39"/>
      <c r="BJ241" s="39"/>
      <c r="BK241" s="39"/>
      <c r="BL241" s="39"/>
      <c r="BM241" s="46"/>
      <c r="BN241" s="46"/>
      <c r="BO241" s="46"/>
      <c r="BP241" s="48"/>
    </row>
    <row r="242" spans="1:68" x14ac:dyDescent="0.25">
      <c r="A242" s="49"/>
      <c r="B242" s="50"/>
      <c r="C242" s="51"/>
      <c r="D242" s="60"/>
      <c r="E242" s="60"/>
      <c r="F242" s="60"/>
      <c r="G242" s="60"/>
      <c r="H242" s="61"/>
      <c r="I242" s="61"/>
      <c r="J242" s="61"/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125" t="s">
        <v>435</v>
      </c>
      <c r="AA242" s="125" t="s">
        <v>437</v>
      </c>
      <c r="AB242" s="125" t="str">
        <f t="shared" si="18"/>
        <v>Dulces y Paquetes-Diario</v>
      </c>
      <c r="AC242" s="7"/>
      <c r="AD242" s="7"/>
      <c r="AE242" s="125"/>
      <c r="AF242" s="125"/>
      <c r="AG242" s="125" t="str">
        <f t="shared" si="19"/>
        <v>-</v>
      </c>
      <c r="AH242" s="125"/>
      <c r="AI242" s="61"/>
      <c r="AJ242" s="7"/>
      <c r="AK242" s="125" t="s">
        <v>77</v>
      </c>
      <c r="AL242" s="125" t="s">
        <v>442</v>
      </c>
      <c r="AM242" s="125" t="str">
        <f t="shared" si="20"/>
        <v>Limpieza-Mensual</v>
      </c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52"/>
      <c r="BN242" s="52"/>
      <c r="BO242" s="52"/>
      <c r="BP242" s="54"/>
    </row>
    <row r="243" spans="1:68" x14ac:dyDescent="0.25">
      <c r="A243" s="35">
        <v>62</v>
      </c>
      <c r="B243" s="36">
        <v>44802</v>
      </c>
      <c r="C243" s="37" t="s">
        <v>358</v>
      </c>
      <c r="D243" s="56">
        <v>2</v>
      </c>
      <c r="E243" s="56">
        <v>2</v>
      </c>
      <c r="F243" s="56">
        <v>1</v>
      </c>
      <c r="G243" s="56">
        <v>12</v>
      </c>
      <c r="H243" s="57">
        <v>2</v>
      </c>
      <c r="I243" s="57">
        <v>1</v>
      </c>
      <c r="J243" s="57">
        <v>3</v>
      </c>
      <c r="K243" s="57">
        <v>2</v>
      </c>
      <c r="L243" s="57">
        <v>1</v>
      </c>
      <c r="M243" s="57">
        <v>3</v>
      </c>
      <c r="N243" s="57">
        <v>3</v>
      </c>
      <c r="O243" s="57">
        <v>2</v>
      </c>
      <c r="P243" s="57"/>
      <c r="Q243" s="57">
        <v>3</v>
      </c>
      <c r="R243" s="57"/>
      <c r="S243" s="57"/>
      <c r="T243" s="57"/>
      <c r="U243" s="57"/>
      <c r="V243" s="57"/>
      <c r="W243" s="57"/>
      <c r="X243" s="57"/>
      <c r="Y243" s="57"/>
      <c r="Z243" s="123" t="s">
        <v>434</v>
      </c>
      <c r="AA243" s="123" t="s">
        <v>437</v>
      </c>
      <c r="AB243" s="123" t="str">
        <f t="shared" si="18"/>
        <v>Aseo Personal-Diario</v>
      </c>
      <c r="AC243" s="38" t="s">
        <v>359</v>
      </c>
      <c r="AD243" s="38"/>
      <c r="AE243" s="123" t="s">
        <v>448</v>
      </c>
      <c r="AF243" s="123" t="s">
        <v>437</v>
      </c>
      <c r="AG243" s="123" t="str">
        <f t="shared" si="19"/>
        <v>Asesoramiento-Diario</v>
      </c>
      <c r="AH243" s="123"/>
      <c r="AI243" s="57">
        <v>2</v>
      </c>
      <c r="AJ243" s="38"/>
      <c r="AK243" s="123" t="s">
        <v>551</v>
      </c>
      <c r="AL243" s="123" t="s">
        <v>442</v>
      </c>
      <c r="AM243" s="123" t="str">
        <f t="shared" si="20"/>
        <v>Farmacia-Mensual</v>
      </c>
      <c r="AN243" s="38" t="s">
        <v>104</v>
      </c>
      <c r="AO243" s="38">
        <v>4</v>
      </c>
      <c r="AP243" s="38">
        <v>2</v>
      </c>
      <c r="AQ243" s="38"/>
      <c r="AR243" s="38">
        <v>1</v>
      </c>
      <c r="AS243" s="38"/>
      <c r="AT243" s="38">
        <v>1</v>
      </c>
      <c r="AU243" s="38"/>
      <c r="AV243" s="38">
        <v>2</v>
      </c>
      <c r="AW243" s="38"/>
      <c r="AX243" s="38">
        <v>3</v>
      </c>
      <c r="AY243" s="38"/>
      <c r="AZ243" s="38">
        <v>2</v>
      </c>
      <c r="BA243" s="38"/>
      <c r="BB243" s="38">
        <v>4</v>
      </c>
      <c r="BC243" s="38"/>
      <c r="BD243" s="38">
        <v>4</v>
      </c>
      <c r="BE243" s="38"/>
      <c r="BF243" s="38">
        <v>4</v>
      </c>
      <c r="BG243" s="38"/>
      <c r="BH243" s="38">
        <v>2</v>
      </c>
      <c r="BI243" s="38" t="s">
        <v>334</v>
      </c>
      <c r="BJ243" s="38" t="s">
        <v>184</v>
      </c>
      <c r="BK243" s="38">
        <v>3</v>
      </c>
      <c r="BL243" s="38"/>
      <c r="BM243" s="40" t="s">
        <v>360</v>
      </c>
      <c r="BN243" s="40">
        <v>3123788834</v>
      </c>
      <c r="BO243" s="41" t="s">
        <v>361</v>
      </c>
      <c r="BP243" s="42" t="s">
        <v>84</v>
      </c>
    </row>
    <row r="244" spans="1:68" x14ac:dyDescent="0.25">
      <c r="A244" s="43"/>
      <c r="B244" s="44"/>
      <c r="C244" s="45"/>
      <c r="D244" s="58"/>
      <c r="E244" s="58"/>
      <c r="F244" s="58"/>
      <c r="G244" s="58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124" t="s">
        <v>77</v>
      </c>
      <c r="AA244" s="124" t="s">
        <v>437</v>
      </c>
      <c r="AB244" s="124" t="str">
        <f t="shared" si="18"/>
        <v>Limpieza-Diario</v>
      </c>
      <c r="AC244" s="39"/>
      <c r="AD244" s="39"/>
      <c r="AE244" s="124" t="s">
        <v>441</v>
      </c>
      <c r="AF244" s="124" t="s">
        <v>437</v>
      </c>
      <c r="AG244" s="124" t="str">
        <f t="shared" si="19"/>
        <v>Atención al Cliente-Diario</v>
      </c>
      <c r="AH244" s="124"/>
      <c r="AI244" s="59"/>
      <c r="AJ244" s="39"/>
      <c r="AK244" s="124" t="s">
        <v>433</v>
      </c>
      <c r="AL244" s="124" t="s">
        <v>449</v>
      </c>
      <c r="AM244" s="124" t="str">
        <f t="shared" si="20"/>
        <v>Droguería-Depende de la Provisión</v>
      </c>
      <c r="AN244" s="39"/>
      <c r="AO244" s="39"/>
      <c r="AP244" s="39"/>
      <c r="AQ244" s="39"/>
      <c r="AR244" s="39"/>
      <c r="AS244" s="39"/>
      <c r="AT244" s="39"/>
      <c r="AU244" s="39"/>
      <c r="AV244" s="39"/>
      <c r="AW244" s="39"/>
      <c r="AX244" s="39"/>
      <c r="AY244" s="39"/>
      <c r="AZ244" s="39"/>
      <c r="BA244" s="39"/>
      <c r="BB244" s="39"/>
      <c r="BC244" s="39"/>
      <c r="BD244" s="39"/>
      <c r="BE244" s="39"/>
      <c r="BF244" s="39"/>
      <c r="BG244" s="39"/>
      <c r="BH244" s="39"/>
      <c r="BI244" s="39"/>
      <c r="BJ244" s="39"/>
      <c r="BK244" s="39"/>
      <c r="BL244" s="39"/>
      <c r="BM244" s="46"/>
      <c r="BN244" s="46"/>
      <c r="BO244" s="47"/>
      <c r="BP244" s="48"/>
    </row>
    <row r="245" spans="1:68" x14ac:dyDescent="0.25">
      <c r="A245" s="43"/>
      <c r="B245" s="44"/>
      <c r="C245" s="45"/>
      <c r="D245" s="58"/>
      <c r="E245" s="58"/>
      <c r="F245" s="58"/>
      <c r="G245" s="58"/>
      <c r="H245" s="59"/>
      <c r="I245" s="59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  <c r="Z245" s="124"/>
      <c r="AA245" s="124"/>
      <c r="AB245" s="124"/>
      <c r="AC245" s="39"/>
      <c r="AD245" s="39"/>
      <c r="AE245" s="124"/>
      <c r="AF245" s="124"/>
      <c r="AG245" s="124" t="str">
        <f t="shared" si="19"/>
        <v>-</v>
      </c>
      <c r="AH245" s="124"/>
      <c r="AI245" s="59"/>
      <c r="AJ245" s="39"/>
      <c r="AK245" s="124" t="s">
        <v>435</v>
      </c>
      <c r="AL245" s="124" t="s">
        <v>442</v>
      </c>
      <c r="AM245" s="124" t="str">
        <f t="shared" si="20"/>
        <v>Dulces y Paquetes-Mensual</v>
      </c>
      <c r="AN245" s="39"/>
      <c r="AO245" s="39"/>
      <c r="AP245" s="39"/>
      <c r="AQ245" s="39"/>
      <c r="AR245" s="39"/>
      <c r="AS245" s="39"/>
      <c r="AT245" s="39"/>
      <c r="AU245" s="39"/>
      <c r="AV245" s="39"/>
      <c r="AW245" s="39"/>
      <c r="AX245" s="39"/>
      <c r="AY245" s="39"/>
      <c r="AZ245" s="39"/>
      <c r="BA245" s="39"/>
      <c r="BB245" s="39"/>
      <c r="BC245" s="39"/>
      <c r="BD245" s="39"/>
      <c r="BE245" s="39"/>
      <c r="BF245" s="39"/>
      <c r="BG245" s="39"/>
      <c r="BH245" s="39"/>
      <c r="BI245" s="39"/>
      <c r="BJ245" s="39"/>
      <c r="BK245" s="39"/>
      <c r="BL245" s="39"/>
      <c r="BM245" s="46"/>
      <c r="BN245" s="46"/>
      <c r="BO245" s="47"/>
      <c r="BP245" s="48"/>
    </row>
    <row r="246" spans="1:68" x14ac:dyDescent="0.25">
      <c r="A246" s="49"/>
      <c r="B246" s="50"/>
      <c r="C246" s="51"/>
      <c r="D246" s="60"/>
      <c r="E246" s="60"/>
      <c r="F246" s="60"/>
      <c r="G246" s="60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125"/>
      <c r="AA246" s="125"/>
      <c r="AB246" s="124"/>
      <c r="AC246" s="7"/>
      <c r="AD246" s="7"/>
      <c r="AE246" s="125"/>
      <c r="AF246" s="125"/>
      <c r="AG246" s="125" t="str">
        <f t="shared" si="19"/>
        <v>-</v>
      </c>
      <c r="AH246" s="125"/>
      <c r="AI246" s="61"/>
      <c r="AJ246" s="7"/>
      <c r="AK246" s="125" t="s">
        <v>434</v>
      </c>
      <c r="AL246" s="125" t="s">
        <v>449</v>
      </c>
      <c r="AM246" s="125" t="str">
        <f t="shared" si="20"/>
        <v>Aseo Personal-Depende de la Provisión</v>
      </c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52"/>
      <c r="BN246" s="52"/>
      <c r="BO246" s="53"/>
      <c r="BP246" s="54"/>
    </row>
    <row r="247" spans="1:68" x14ac:dyDescent="0.25">
      <c r="A247" s="35">
        <v>63</v>
      </c>
      <c r="B247" s="36">
        <v>44804</v>
      </c>
      <c r="C247" s="37" t="s">
        <v>362</v>
      </c>
      <c r="D247" s="56">
        <v>2</v>
      </c>
      <c r="E247" s="56">
        <v>2</v>
      </c>
      <c r="F247" s="56">
        <v>1</v>
      </c>
      <c r="G247" s="56">
        <v>12</v>
      </c>
      <c r="H247" s="57">
        <v>2</v>
      </c>
      <c r="I247" s="57">
        <v>1</v>
      </c>
      <c r="J247" s="57">
        <v>2</v>
      </c>
      <c r="K247" s="57">
        <v>2</v>
      </c>
      <c r="L247" s="57">
        <v>1</v>
      </c>
      <c r="M247" s="57">
        <v>2</v>
      </c>
      <c r="N247" s="57">
        <v>3</v>
      </c>
      <c r="O247" s="57">
        <v>2</v>
      </c>
      <c r="P247" s="57"/>
      <c r="Q247" s="57">
        <v>2</v>
      </c>
      <c r="R247" s="57"/>
      <c r="S247" s="57"/>
      <c r="T247" s="57"/>
      <c r="U247" s="57"/>
      <c r="V247" s="57"/>
      <c r="W247" s="57"/>
      <c r="X247" s="57"/>
      <c r="Y247" s="57"/>
      <c r="Z247" s="123" t="s">
        <v>434</v>
      </c>
      <c r="AA247" s="126" t="s">
        <v>437</v>
      </c>
      <c r="AB247" s="123" t="str">
        <f t="shared" si="18"/>
        <v>Aseo Personal-Diario</v>
      </c>
      <c r="AC247" s="77" t="s">
        <v>89</v>
      </c>
      <c r="AD247" s="38" t="s">
        <v>328</v>
      </c>
      <c r="AE247" s="123" t="s">
        <v>178</v>
      </c>
      <c r="AF247" s="123" t="s">
        <v>442</v>
      </c>
      <c r="AG247" s="123" t="str">
        <f t="shared" si="19"/>
        <v>Promociones-Mensual</v>
      </c>
      <c r="AH247" s="123" t="s">
        <v>552</v>
      </c>
      <c r="AI247" s="57">
        <v>2</v>
      </c>
      <c r="AJ247" s="38"/>
      <c r="AK247" s="123" t="s">
        <v>435</v>
      </c>
      <c r="AL247" s="123" t="s">
        <v>436</v>
      </c>
      <c r="AM247" s="123" t="str">
        <f t="shared" si="20"/>
        <v>Dulces y Paquetes-Semanal</v>
      </c>
      <c r="AN247" s="38" t="s">
        <v>90</v>
      </c>
      <c r="AO247" s="38">
        <v>1</v>
      </c>
      <c r="AP247" s="38">
        <v>2</v>
      </c>
      <c r="AQ247" s="38"/>
      <c r="AR247" s="38">
        <v>2</v>
      </c>
      <c r="AS247" s="38"/>
      <c r="AT247" s="38">
        <v>3</v>
      </c>
      <c r="AU247" s="38"/>
      <c r="AV247" s="38">
        <v>1</v>
      </c>
      <c r="AW247" s="38"/>
      <c r="AX247" s="38">
        <v>1</v>
      </c>
      <c r="AY247" s="38"/>
      <c r="AZ247" s="38">
        <v>2</v>
      </c>
      <c r="BA247" s="38"/>
      <c r="BB247" s="38">
        <v>3</v>
      </c>
      <c r="BC247" s="38"/>
      <c r="BD247" s="38">
        <v>7</v>
      </c>
      <c r="BE247" s="38"/>
      <c r="BF247" s="38">
        <v>4</v>
      </c>
      <c r="BG247" s="38"/>
      <c r="BH247" s="38">
        <v>3</v>
      </c>
      <c r="BI247" s="38" t="s">
        <v>334</v>
      </c>
      <c r="BJ247" s="38" t="s">
        <v>184</v>
      </c>
      <c r="BK247" s="38">
        <v>4</v>
      </c>
      <c r="BL247" s="38"/>
      <c r="BM247" s="40" t="s">
        <v>363</v>
      </c>
      <c r="BN247" s="40">
        <v>3208772000</v>
      </c>
      <c r="BO247" s="40"/>
      <c r="BP247" s="42" t="s">
        <v>84</v>
      </c>
    </row>
    <row r="248" spans="1:68" x14ac:dyDescent="0.25">
      <c r="A248" s="43"/>
      <c r="B248" s="44"/>
      <c r="C248" s="45"/>
      <c r="D248" s="58"/>
      <c r="E248" s="58"/>
      <c r="F248" s="58"/>
      <c r="G248" s="58"/>
      <c r="H248" s="59"/>
      <c r="I248" s="59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  <c r="Z248" s="124"/>
      <c r="AA248" s="127"/>
      <c r="AB248" s="124"/>
      <c r="AC248" s="78"/>
      <c r="AD248" s="39"/>
      <c r="AE248" s="124" t="s">
        <v>439</v>
      </c>
      <c r="AF248" s="124" t="s">
        <v>437</v>
      </c>
      <c r="AG248" s="124" t="str">
        <f t="shared" si="19"/>
        <v>Descuento-Diario</v>
      </c>
      <c r="AH248" s="124"/>
      <c r="AI248" s="59"/>
      <c r="AJ248" s="39"/>
      <c r="AK248" s="124" t="s">
        <v>434</v>
      </c>
      <c r="AL248" s="124" t="s">
        <v>436</v>
      </c>
      <c r="AM248" s="124" t="str">
        <f t="shared" si="20"/>
        <v>Aseo Personal-Semanal</v>
      </c>
      <c r="AN248" s="39"/>
      <c r="AO248" s="39"/>
      <c r="AP248" s="39"/>
      <c r="AQ248" s="39"/>
      <c r="AR248" s="39"/>
      <c r="AS248" s="39"/>
      <c r="AT248" s="39"/>
      <c r="AU248" s="39"/>
      <c r="AV248" s="39"/>
      <c r="AW248" s="39"/>
      <c r="AX248" s="39"/>
      <c r="AY248" s="39"/>
      <c r="AZ248" s="39"/>
      <c r="BA248" s="39"/>
      <c r="BB248" s="39"/>
      <c r="BC248" s="39"/>
      <c r="BD248" s="39"/>
      <c r="BE248" s="39"/>
      <c r="BF248" s="39"/>
      <c r="BG248" s="39"/>
      <c r="BH248" s="39"/>
      <c r="BI248" s="39"/>
      <c r="BJ248" s="39"/>
      <c r="BK248" s="39"/>
      <c r="BL248" s="39"/>
      <c r="BM248" s="46"/>
      <c r="BN248" s="46"/>
      <c r="BO248" s="46"/>
      <c r="BP248" s="48"/>
    </row>
    <row r="249" spans="1:68" x14ac:dyDescent="0.25">
      <c r="A249" s="43"/>
      <c r="B249" s="44"/>
      <c r="C249" s="45"/>
      <c r="D249" s="58"/>
      <c r="E249" s="58"/>
      <c r="F249" s="58"/>
      <c r="G249" s="58"/>
      <c r="H249" s="59"/>
      <c r="I249" s="59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  <c r="Z249" s="124"/>
      <c r="AA249" s="127"/>
      <c r="AB249" s="124"/>
      <c r="AC249" s="78"/>
      <c r="AD249" s="39"/>
      <c r="AE249" s="124" t="s">
        <v>195</v>
      </c>
      <c r="AF249" s="124" t="s">
        <v>509</v>
      </c>
      <c r="AG249" s="124" t="str">
        <f t="shared" si="19"/>
        <v>Ofertas-Quincenal</v>
      </c>
      <c r="AH249" s="124"/>
      <c r="AI249" s="59"/>
      <c r="AJ249" s="39"/>
      <c r="AK249" s="124"/>
      <c r="AL249" s="124"/>
      <c r="AM249" s="124"/>
      <c r="AN249" s="39"/>
      <c r="AO249" s="39"/>
      <c r="AP249" s="39"/>
      <c r="AQ249" s="39"/>
      <c r="AR249" s="39"/>
      <c r="AS249" s="39"/>
      <c r="AT249" s="39"/>
      <c r="AU249" s="39"/>
      <c r="AV249" s="39"/>
      <c r="AW249" s="39"/>
      <c r="AX249" s="39"/>
      <c r="AY249" s="39"/>
      <c r="AZ249" s="39"/>
      <c r="BA249" s="39"/>
      <c r="BB249" s="39"/>
      <c r="BC249" s="39"/>
      <c r="BD249" s="39"/>
      <c r="BE249" s="39"/>
      <c r="BF249" s="39"/>
      <c r="BG249" s="39"/>
      <c r="BH249" s="39"/>
      <c r="BI249" s="39"/>
      <c r="BJ249" s="39"/>
      <c r="BK249" s="39"/>
      <c r="BL249" s="39"/>
      <c r="BM249" s="46"/>
      <c r="BN249" s="46"/>
      <c r="BO249" s="46"/>
      <c r="BP249" s="48"/>
    </row>
    <row r="250" spans="1:68" x14ac:dyDescent="0.25">
      <c r="A250" s="43"/>
      <c r="B250" s="44"/>
      <c r="C250" s="45"/>
      <c r="D250" s="58"/>
      <c r="E250" s="58"/>
      <c r="F250" s="58"/>
      <c r="G250" s="58"/>
      <c r="H250" s="59"/>
      <c r="I250" s="59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  <c r="Z250" s="124"/>
      <c r="AA250" s="127"/>
      <c r="AB250" s="124"/>
      <c r="AC250" s="78"/>
      <c r="AD250" s="39"/>
      <c r="AE250" s="124" t="s">
        <v>448</v>
      </c>
      <c r="AF250" s="124" t="s">
        <v>437</v>
      </c>
      <c r="AG250" s="124" t="str">
        <f t="shared" si="19"/>
        <v>Asesoramiento-Diario</v>
      </c>
      <c r="AH250" s="124" t="s">
        <v>446</v>
      </c>
      <c r="AI250" s="59"/>
      <c r="AJ250" s="39"/>
      <c r="AK250" s="124"/>
      <c r="AL250" s="124"/>
      <c r="AM250" s="124"/>
      <c r="AN250" s="39"/>
      <c r="AO250" s="39"/>
      <c r="AP250" s="39"/>
      <c r="AQ250" s="39"/>
      <c r="AR250" s="39"/>
      <c r="AS250" s="39"/>
      <c r="AT250" s="39"/>
      <c r="AU250" s="39"/>
      <c r="AV250" s="39"/>
      <c r="AW250" s="39"/>
      <c r="AX250" s="39"/>
      <c r="AY250" s="39"/>
      <c r="AZ250" s="39"/>
      <c r="BA250" s="39"/>
      <c r="BB250" s="39"/>
      <c r="BC250" s="39"/>
      <c r="BD250" s="39"/>
      <c r="BE250" s="39"/>
      <c r="BF250" s="39"/>
      <c r="BG250" s="39"/>
      <c r="BH250" s="39"/>
      <c r="BI250" s="39"/>
      <c r="BJ250" s="39"/>
      <c r="BK250" s="39"/>
      <c r="BL250" s="39"/>
      <c r="BM250" s="46"/>
      <c r="BN250" s="46"/>
      <c r="BO250" s="46"/>
      <c r="BP250" s="48"/>
    </row>
    <row r="251" spans="1:68" x14ac:dyDescent="0.25">
      <c r="A251" s="43"/>
      <c r="B251" s="44"/>
      <c r="C251" s="45"/>
      <c r="D251" s="58"/>
      <c r="E251" s="58"/>
      <c r="F251" s="58"/>
      <c r="G251" s="58"/>
      <c r="H251" s="59"/>
      <c r="I251" s="59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  <c r="Z251" s="124"/>
      <c r="AA251" s="127"/>
      <c r="AB251" s="124"/>
      <c r="AC251" s="78"/>
      <c r="AD251" s="39"/>
      <c r="AE251" s="124" t="s">
        <v>440</v>
      </c>
      <c r="AF251" s="124" t="s">
        <v>437</v>
      </c>
      <c r="AG251" s="124" t="str">
        <f t="shared" si="19"/>
        <v>Domicilios-Diario</v>
      </c>
      <c r="AH251" s="124" t="s">
        <v>553</v>
      </c>
      <c r="AI251" s="59"/>
      <c r="AJ251" s="39"/>
      <c r="AK251" s="124"/>
      <c r="AL251" s="124"/>
      <c r="AM251" s="124"/>
      <c r="AN251" s="39"/>
      <c r="AO251" s="39"/>
      <c r="AP251" s="39"/>
      <c r="AQ251" s="39"/>
      <c r="AR251" s="39"/>
      <c r="AS251" s="39"/>
      <c r="AT251" s="39"/>
      <c r="AU251" s="39"/>
      <c r="AV251" s="39"/>
      <c r="AW251" s="39"/>
      <c r="AX251" s="39"/>
      <c r="AY251" s="39"/>
      <c r="AZ251" s="39"/>
      <c r="BA251" s="39"/>
      <c r="BB251" s="39"/>
      <c r="BC251" s="39"/>
      <c r="BD251" s="39"/>
      <c r="BE251" s="39"/>
      <c r="BF251" s="39"/>
      <c r="BG251" s="39"/>
      <c r="BH251" s="39"/>
      <c r="BI251" s="39"/>
      <c r="BJ251" s="39"/>
      <c r="BK251" s="39"/>
      <c r="BL251" s="39"/>
      <c r="BM251" s="46"/>
      <c r="BN251" s="46"/>
      <c r="BO251" s="46"/>
      <c r="BP251" s="48"/>
    </row>
    <row r="252" spans="1:68" x14ac:dyDescent="0.25">
      <c r="A252" s="49"/>
      <c r="B252" s="50"/>
      <c r="C252" s="51"/>
      <c r="D252" s="60"/>
      <c r="E252" s="60"/>
      <c r="F252" s="60"/>
      <c r="G252" s="60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125"/>
      <c r="AA252" s="128"/>
      <c r="AB252" s="125"/>
      <c r="AC252" s="79"/>
      <c r="AD252" s="7"/>
      <c r="AE252" s="125" t="s">
        <v>441</v>
      </c>
      <c r="AF252" s="125" t="s">
        <v>437</v>
      </c>
      <c r="AG252" s="125" t="str">
        <f t="shared" si="19"/>
        <v>Atención al Cliente-Diario</v>
      </c>
      <c r="AH252" s="125"/>
      <c r="AI252" s="61"/>
      <c r="AJ252" s="7"/>
      <c r="AK252" s="125"/>
      <c r="AL252" s="125"/>
      <c r="AM252" s="125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52"/>
      <c r="BN252" s="52"/>
      <c r="BO252" s="52"/>
      <c r="BP252" s="54"/>
    </row>
    <row r="253" spans="1:68" x14ac:dyDescent="0.25">
      <c r="A253" s="35">
        <v>64</v>
      </c>
      <c r="B253" s="36">
        <v>44804</v>
      </c>
      <c r="C253" s="37" t="s">
        <v>185</v>
      </c>
      <c r="D253" s="56">
        <v>1</v>
      </c>
      <c r="E253" s="56">
        <v>3</v>
      </c>
      <c r="F253" s="56">
        <v>1</v>
      </c>
      <c r="G253" s="56">
        <v>12</v>
      </c>
      <c r="H253" s="57">
        <v>1</v>
      </c>
      <c r="I253" s="57">
        <v>2</v>
      </c>
      <c r="J253" s="57">
        <v>3</v>
      </c>
      <c r="K253" s="57">
        <v>2</v>
      </c>
      <c r="L253" s="57">
        <v>1</v>
      </c>
      <c r="M253" s="57">
        <v>3</v>
      </c>
      <c r="N253" s="57">
        <v>3</v>
      </c>
      <c r="O253" s="57">
        <v>2</v>
      </c>
      <c r="P253" s="57"/>
      <c r="Q253" s="57">
        <v>3</v>
      </c>
      <c r="R253" s="57" t="s">
        <v>343</v>
      </c>
      <c r="S253" s="57" t="s">
        <v>364</v>
      </c>
      <c r="T253" s="57"/>
      <c r="U253" s="57"/>
      <c r="V253" s="57" t="s">
        <v>125</v>
      </c>
      <c r="W253" s="57" t="s">
        <v>240</v>
      </c>
      <c r="X253" s="57"/>
      <c r="Y253" s="57"/>
      <c r="Z253" s="123" t="s">
        <v>433</v>
      </c>
      <c r="AA253" s="123" t="s">
        <v>436</v>
      </c>
      <c r="AB253" s="123" t="str">
        <f t="shared" si="18"/>
        <v>Droguería-Semanal</v>
      </c>
      <c r="AC253" s="38" t="s">
        <v>188</v>
      </c>
      <c r="AD253" s="38" t="s">
        <v>236</v>
      </c>
      <c r="AE253" s="123" t="s">
        <v>448</v>
      </c>
      <c r="AF253" s="123" t="s">
        <v>437</v>
      </c>
      <c r="AG253" s="123" t="str">
        <f t="shared" si="19"/>
        <v>Asesoramiento-Diario</v>
      </c>
      <c r="AH253" s="123"/>
      <c r="AI253" s="57">
        <v>2</v>
      </c>
      <c r="AJ253" s="38"/>
      <c r="AK253" s="123" t="s">
        <v>433</v>
      </c>
      <c r="AL253" s="123" t="s">
        <v>449</v>
      </c>
      <c r="AM253" s="123" t="str">
        <f t="shared" si="20"/>
        <v>Droguería-Depende de la Provisión</v>
      </c>
      <c r="AN253" s="38" t="s">
        <v>104</v>
      </c>
      <c r="AO253" s="38">
        <v>1</v>
      </c>
      <c r="AP253" s="38">
        <v>2</v>
      </c>
      <c r="AQ253" s="38"/>
      <c r="AR253" s="38">
        <v>2</v>
      </c>
      <c r="AS253" s="38" t="s">
        <v>116</v>
      </c>
      <c r="AT253" s="38">
        <v>3</v>
      </c>
      <c r="AU253" s="38"/>
      <c r="AV253" s="38">
        <v>1</v>
      </c>
      <c r="AW253" s="38"/>
      <c r="AX253" s="38">
        <v>1</v>
      </c>
      <c r="AY253" s="38"/>
      <c r="AZ253" s="38">
        <v>2</v>
      </c>
      <c r="BA253" s="38"/>
      <c r="BB253" s="38">
        <v>4</v>
      </c>
      <c r="BC253" s="38"/>
      <c r="BD253" s="38">
        <v>4</v>
      </c>
      <c r="BE253" s="38"/>
      <c r="BF253" s="38">
        <v>6</v>
      </c>
      <c r="BG253" s="38"/>
      <c r="BH253" s="38">
        <v>3</v>
      </c>
      <c r="BI253" s="38" t="s">
        <v>80</v>
      </c>
      <c r="BJ253" s="38" t="s">
        <v>365</v>
      </c>
      <c r="BK253" s="38">
        <v>1</v>
      </c>
      <c r="BL253" s="38"/>
      <c r="BM253" s="40" t="s">
        <v>139</v>
      </c>
      <c r="BN253" s="40">
        <v>3115075166</v>
      </c>
      <c r="BO253" s="40"/>
      <c r="BP253" s="80"/>
    </row>
    <row r="254" spans="1:68" x14ac:dyDescent="0.25">
      <c r="A254" s="43"/>
      <c r="B254" s="44"/>
      <c r="C254" s="45"/>
      <c r="D254" s="58"/>
      <c r="E254" s="58"/>
      <c r="F254" s="58"/>
      <c r="G254" s="58"/>
      <c r="H254" s="59"/>
      <c r="I254" s="59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124" t="s">
        <v>434</v>
      </c>
      <c r="AA254" s="124" t="s">
        <v>437</v>
      </c>
      <c r="AB254" s="124" t="str">
        <f t="shared" si="18"/>
        <v>Aseo Personal-Diario</v>
      </c>
      <c r="AC254" s="39"/>
      <c r="AD254" s="39"/>
      <c r="AE254" s="124" t="s">
        <v>440</v>
      </c>
      <c r="AF254" s="124" t="s">
        <v>437</v>
      </c>
      <c r="AG254" s="124" t="str">
        <f t="shared" si="19"/>
        <v>Domicilios-Diario</v>
      </c>
      <c r="AH254" s="124"/>
      <c r="AI254" s="59"/>
      <c r="AJ254" s="39"/>
      <c r="AK254" s="124" t="s">
        <v>435</v>
      </c>
      <c r="AL254" s="124" t="s">
        <v>442</v>
      </c>
      <c r="AM254" s="124" t="str">
        <f t="shared" si="20"/>
        <v>Dulces y Paquetes-Mensual</v>
      </c>
      <c r="AN254" s="39"/>
      <c r="AO254" s="39"/>
      <c r="AP254" s="39"/>
      <c r="AQ254" s="39"/>
      <c r="AR254" s="39"/>
      <c r="AS254" s="39"/>
      <c r="AT254" s="39"/>
      <c r="AU254" s="39"/>
      <c r="AV254" s="39"/>
      <c r="AW254" s="39"/>
      <c r="AX254" s="39"/>
      <c r="AY254" s="39"/>
      <c r="AZ254" s="39"/>
      <c r="BA254" s="39"/>
      <c r="BB254" s="39"/>
      <c r="BC254" s="39"/>
      <c r="BD254" s="39"/>
      <c r="BE254" s="39"/>
      <c r="BF254" s="39"/>
      <c r="BG254" s="39"/>
      <c r="BH254" s="39"/>
      <c r="BI254" s="39"/>
      <c r="BJ254" s="39"/>
      <c r="BK254" s="39"/>
      <c r="BL254" s="39"/>
      <c r="BM254" s="46"/>
      <c r="BN254" s="46"/>
      <c r="BO254" s="46"/>
      <c r="BP254" s="81"/>
    </row>
    <row r="255" spans="1:68" x14ac:dyDescent="0.25">
      <c r="A255" s="43"/>
      <c r="B255" s="44"/>
      <c r="C255" s="45"/>
      <c r="D255" s="58"/>
      <c r="E255" s="58"/>
      <c r="F255" s="58"/>
      <c r="G255" s="58"/>
      <c r="H255" s="59"/>
      <c r="I255" s="59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  <c r="Z255" s="124" t="s">
        <v>77</v>
      </c>
      <c r="AA255" s="124" t="s">
        <v>437</v>
      </c>
      <c r="AB255" s="124" t="str">
        <f t="shared" si="18"/>
        <v>Limpieza-Diario</v>
      </c>
      <c r="AC255" s="39"/>
      <c r="AD255" s="39"/>
      <c r="AE255" s="124" t="s">
        <v>441</v>
      </c>
      <c r="AF255" s="124" t="s">
        <v>437</v>
      </c>
      <c r="AG255" s="124" t="str">
        <f t="shared" si="19"/>
        <v>Atención al Cliente-Diario</v>
      </c>
      <c r="AH255" s="124"/>
      <c r="AI255" s="59"/>
      <c r="AJ255" s="39"/>
      <c r="AK255" s="124" t="s">
        <v>434</v>
      </c>
      <c r="AL255" s="124" t="s">
        <v>442</v>
      </c>
      <c r="AM255" s="124" t="str">
        <f t="shared" si="20"/>
        <v>Aseo Personal-Mensual</v>
      </c>
      <c r="AN255" s="39"/>
      <c r="AO255" s="39"/>
      <c r="AP255" s="39"/>
      <c r="AQ255" s="39"/>
      <c r="AR255" s="39"/>
      <c r="AS255" s="39"/>
      <c r="AT255" s="39"/>
      <c r="AU255" s="39"/>
      <c r="AV255" s="39"/>
      <c r="AW255" s="39"/>
      <c r="AX255" s="39"/>
      <c r="AY255" s="39"/>
      <c r="AZ255" s="39"/>
      <c r="BA255" s="39"/>
      <c r="BB255" s="39"/>
      <c r="BC255" s="39"/>
      <c r="BD255" s="39"/>
      <c r="BE255" s="39"/>
      <c r="BF255" s="39"/>
      <c r="BG255" s="39"/>
      <c r="BH255" s="39"/>
      <c r="BI255" s="39"/>
      <c r="BJ255" s="39"/>
      <c r="BK255" s="39"/>
      <c r="BL255" s="39"/>
      <c r="BM255" s="46"/>
      <c r="BN255" s="46"/>
      <c r="BO255" s="46"/>
      <c r="BP255" s="81"/>
    </row>
    <row r="256" spans="1:68" x14ac:dyDescent="0.25">
      <c r="A256" s="49"/>
      <c r="B256" s="50"/>
      <c r="C256" s="51"/>
      <c r="D256" s="60"/>
      <c r="E256" s="60"/>
      <c r="F256" s="60"/>
      <c r="G256" s="60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125" t="s">
        <v>435</v>
      </c>
      <c r="AA256" s="125" t="s">
        <v>437</v>
      </c>
      <c r="AB256" s="125" t="str">
        <f t="shared" si="18"/>
        <v>Dulces y Paquetes-Diario</v>
      </c>
      <c r="AC256" s="7"/>
      <c r="AD256" s="7"/>
      <c r="AE256" s="125"/>
      <c r="AF256" s="125"/>
      <c r="AG256" s="125" t="str">
        <f t="shared" si="19"/>
        <v>-</v>
      </c>
      <c r="AH256" s="125"/>
      <c r="AI256" s="61"/>
      <c r="AJ256" s="7"/>
      <c r="AK256" s="125" t="s">
        <v>77</v>
      </c>
      <c r="AL256" s="125" t="s">
        <v>442</v>
      </c>
      <c r="AM256" s="125" t="str">
        <f t="shared" si="20"/>
        <v>Limpieza-Mensual</v>
      </c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52"/>
      <c r="BN256" s="52"/>
      <c r="BO256" s="52"/>
      <c r="BP256" s="82"/>
    </row>
    <row r="257" spans="1:68" x14ac:dyDescent="0.25">
      <c r="A257" s="35">
        <v>65</v>
      </c>
      <c r="B257" s="36">
        <v>44804</v>
      </c>
      <c r="C257" s="37" t="s">
        <v>366</v>
      </c>
      <c r="D257" s="56">
        <v>1</v>
      </c>
      <c r="E257" s="56">
        <v>2</v>
      </c>
      <c r="F257" s="56">
        <v>1</v>
      </c>
      <c r="G257" s="56">
        <v>12</v>
      </c>
      <c r="H257" s="57">
        <v>3</v>
      </c>
      <c r="I257" s="57">
        <v>2</v>
      </c>
      <c r="J257" s="57">
        <v>2</v>
      </c>
      <c r="K257" s="57">
        <v>2</v>
      </c>
      <c r="L257" s="57">
        <v>1</v>
      </c>
      <c r="M257" s="57">
        <v>2</v>
      </c>
      <c r="N257" s="57">
        <v>3</v>
      </c>
      <c r="O257" s="57">
        <v>2</v>
      </c>
      <c r="P257" s="57"/>
      <c r="Q257" s="57">
        <v>2</v>
      </c>
      <c r="R257" s="57" t="s">
        <v>343</v>
      </c>
      <c r="S257" s="57" t="s">
        <v>216</v>
      </c>
      <c r="T257" s="57"/>
      <c r="U257" s="57"/>
      <c r="V257" s="57" t="s">
        <v>125</v>
      </c>
      <c r="W257" s="57" t="s">
        <v>291</v>
      </c>
      <c r="X257" s="57"/>
      <c r="Y257" s="57"/>
      <c r="Z257" s="123" t="s">
        <v>433</v>
      </c>
      <c r="AA257" s="123" t="s">
        <v>442</v>
      </c>
      <c r="AB257" s="123" t="str">
        <f t="shared" si="18"/>
        <v>Droguería-Mensual</v>
      </c>
      <c r="AC257" s="38" t="s">
        <v>77</v>
      </c>
      <c r="AD257" s="38" t="s">
        <v>328</v>
      </c>
      <c r="AE257" s="123" t="s">
        <v>441</v>
      </c>
      <c r="AF257" s="123" t="s">
        <v>437</v>
      </c>
      <c r="AG257" s="123" t="str">
        <f t="shared" si="19"/>
        <v>Atención al Cliente-Diario</v>
      </c>
      <c r="AH257" s="123"/>
      <c r="AI257" s="57">
        <v>2</v>
      </c>
      <c r="AJ257" s="38"/>
      <c r="AK257" s="123" t="s">
        <v>433</v>
      </c>
      <c r="AL257" s="123" t="s">
        <v>449</v>
      </c>
      <c r="AM257" s="123" t="str">
        <f t="shared" si="20"/>
        <v>Droguería-Depende de la Provisión</v>
      </c>
      <c r="AN257" s="38" t="s">
        <v>104</v>
      </c>
      <c r="AO257" s="38">
        <v>1</v>
      </c>
      <c r="AP257" s="38">
        <v>2</v>
      </c>
      <c r="AQ257" s="38"/>
      <c r="AR257" s="38">
        <v>2</v>
      </c>
      <c r="AS257" s="38"/>
      <c r="AT257" s="38">
        <v>3</v>
      </c>
      <c r="AU257" s="38"/>
      <c r="AV257" s="38">
        <v>1</v>
      </c>
      <c r="AW257" s="38"/>
      <c r="AX257" s="38">
        <v>1</v>
      </c>
      <c r="AY257" s="38"/>
      <c r="AZ257" s="38">
        <v>2</v>
      </c>
      <c r="BA257" s="38"/>
      <c r="BB257" s="38">
        <v>4</v>
      </c>
      <c r="BC257" s="38"/>
      <c r="BD257" s="38">
        <v>4</v>
      </c>
      <c r="BE257" s="38"/>
      <c r="BF257" s="38">
        <v>6</v>
      </c>
      <c r="BG257" s="38"/>
      <c r="BH257" s="38">
        <v>3</v>
      </c>
      <c r="BI257" s="38" t="s">
        <v>367</v>
      </c>
      <c r="BJ257" s="38" t="s">
        <v>184</v>
      </c>
      <c r="BK257" s="38">
        <v>1</v>
      </c>
      <c r="BL257" s="38"/>
      <c r="BM257" s="40" t="s">
        <v>91</v>
      </c>
      <c r="BN257" s="40">
        <v>3208180780</v>
      </c>
      <c r="BO257" s="40"/>
      <c r="BP257" s="80"/>
    </row>
    <row r="258" spans="1:68" x14ac:dyDescent="0.25">
      <c r="A258" s="43"/>
      <c r="B258" s="44"/>
      <c r="C258" s="45"/>
      <c r="D258" s="58"/>
      <c r="E258" s="58"/>
      <c r="F258" s="58"/>
      <c r="G258" s="58"/>
      <c r="H258" s="59"/>
      <c r="I258" s="59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  <c r="Z258" s="124" t="s">
        <v>434</v>
      </c>
      <c r="AA258" s="124" t="s">
        <v>509</v>
      </c>
      <c r="AB258" s="124" t="str">
        <f t="shared" si="18"/>
        <v>Aseo Personal-Quincenal</v>
      </c>
      <c r="AC258" s="39"/>
      <c r="AD258" s="39"/>
      <c r="AE258" s="124"/>
      <c r="AF258" s="124"/>
      <c r="AG258" s="124" t="str">
        <f t="shared" si="19"/>
        <v>-</v>
      </c>
      <c r="AH258" s="124"/>
      <c r="AI258" s="59"/>
      <c r="AJ258" s="39"/>
      <c r="AK258" s="124" t="s">
        <v>435</v>
      </c>
      <c r="AL258" s="124" t="s">
        <v>436</v>
      </c>
      <c r="AM258" s="124" t="str">
        <f t="shared" si="20"/>
        <v>Dulces y Paquetes-Semanal</v>
      </c>
      <c r="AN258" s="39"/>
      <c r="AO258" s="39"/>
      <c r="AP258" s="39"/>
      <c r="AQ258" s="39"/>
      <c r="AR258" s="39"/>
      <c r="AS258" s="39"/>
      <c r="AT258" s="39"/>
      <c r="AU258" s="39"/>
      <c r="AV258" s="39"/>
      <c r="AW258" s="39"/>
      <c r="AX258" s="39"/>
      <c r="AY258" s="39"/>
      <c r="AZ258" s="39"/>
      <c r="BA258" s="39"/>
      <c r="BB258" s="39"/>
      <c r="BC258" s="39"/>
      <c r="BD258" s="39"/>
      <c r="BE258" s="39"/>
      <c r="BF258" s="39"/>
      <c r="BG258" s="39"/>
      <c r="BH258" s="39"/>
      <c r="BI258" s="39"/>
      <c r="BJ258" s="39"/>
      <c r="BK258" s="39"/>
      <c r="BL258" s="39"/>
      <c r="BM258" s="46"/>
      <c r="BN258" s="46"/>
      <c r="BO258" s="46"/>
      <c r="BP258" s="81"/>
    </row>
    <row r="259" spans="1:68" x14ac:dyDescent="0.25">
      <c r="A259" s="43"/>
      <c r="B259" s="44"/>
      <c r="C259" s="45"/>
      <c r="D259" s="58"/>
      <c r="E259" s="58"/>
      <c r="F259" s="58"/>
      <c r="G259" s="58"/>
      <c r="H259" s="59"/>
      <c r="I259" s="59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  <c r="Z259" s="124" t="s">
        <v>77</v>
      </c>
      <c r="AA259" s="124" t="s">
        <v>509</v>
      </c>
      <c r="AB259" s="124" t="str">
        <f t="shared" si="18"/>
        <v>Limpieza-Quincenal</v>
      </c>
      <c r="AC259" s="39"/>
      <c r="AD259" s="39"/>
      <c r="AE259" s="124"/>
      <c r="AF259" s="124"/>
      <c r="AG259" s="124" t="str">
        <f t="shared" si="19"/>
        <v>-</v>
      </c>
      <c r="AH259" s="124"/>
      <c r="AI259" s="59"/>
      <c r="AJ259" s="39"/>
      <c r="AK259" s="124" t="s">
        <v>434</v>
      </c>
      <c r="AL259" s="124" t="s">
        <v>442</v>
      </c>
      <c r="AM259" s="124" t="str">
        <f t="shared" si="20"/>
        <v>Aseo Personal-Mensual</v>
      </c>
      <c r="AN259" s="39"/>
      <c r="AO259" s="39"/>
      <c r="AP259" s="39"/>
      <c r="AQ259" s="39"/>
      <c r="AR259" s="39"/>
      <c r="AS259" s="39"/>
      <c r="AT259" s="39"/>
      <c r="AU259" s="39"/>
      <c r="AV259" s="39"/>
      <c r="AW259" s="39"/>
      <c r="AX259" s="39"/>
      <c r="AY259" s="39"/>
      <c r="AZ259" s="39"/>
      <c r="BA259" s="39"/>
      <c r="BB259" s="39"/>
      <c r="BC259" s="39"/>
      <c r="BD259" s="39"/>
      <c r="BE259" s="39"/>
      <c r="BF259" s="39"/>
      <c r="BG259" s="39"/>
      <c r="BH259" s="39"/>
      <c r="BI259" s="39"/>
      <c r="BJ259" s="39"/>
      <c r="BK259" s="39"/>
      <c r="BL259" s="39"/>
      <c r="BM259" s="46"/>
      <c r="BN259" s="46"/>
      <c r="BO259" s="46"/>
      <c r="BP259" s="81"/>
    </row>
    <row r="260" spans="1:68" x14ac:dyDescent="0.25">
      <c r="A260" s="49"/>
      <c r="B260" s="50"/>
      <c r="C260" s="51"/>
      <c r="D260" s="60"/>
      <c r="E260" s="60"/>
      <c r="F260" s="60"/>
      <c r="G260" s="60"/>
      <c r="H260" s="61"/>
      <c r="I260" s="61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125" t="s">
        <v>435</v>
      </c>
      <c r="AA260" s="125" t="s">
        <v>436</v>
      </c>
      <c r="AB260" s="125" t="str">
        <f t="shared" si="18"/>
        <v>Dulces y Paquetes-Semanal</v>
      </c>
      <c r="AC260" s="7"/>
      <c r="AD260" s="7"/>
      <c r="AE260" s="125"/>
      <c r="AF260" s="125"/>
      <c r="AG260" s="125" t="str">
        <f t="shared" si="19"/>
        <v>-</v>
      </c>
      <c r="AH260" s="125"/>
      <c r="AI260" s="61"/>
      <c r="AJ260" s="7"/>
      <c r="AK260" s="125" t="s">
        <v>77</v>
      </c>
      <c r="AL260" s="125" t="s">
        <v>436</v>
      </c>
      <c r="AM260" s="125" t="str">
        <f t="shared" si="20"/>
        <v>Limpieza-Semanal</v>
      </c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52"/>
      <c r="BN260" s="52"/>
      <c r="BO260" s="52"/>
      <c r="BP260" s="82"/>
    </row>
    <row r="261" spans="1:68" x14ac:dyDescent="0.25">
      <c r="A261" s="35">
        <v>66</v>
      </c>
      <c r="B261" s="36">
        <v>44803</v>
      </c>
      <c r="C261" s="37" t="s">
        <v>368</v>
      </c>
      <c r="D261" s="56">
        <v>1</v>
      </c>
      <c r="E261" s="56">
        <v>2</v>
      </c>
      <c r="F261" s="56">
        <v>1</v>
      </c>
      <c r="G261" s="56">
        <v>12</v>
      </c>
      <c r="H261" s="57">
        <v>1</v>
      </c>
      <c r="I261" s="57">
        <v>3</v>
      </c>
      <c r="J261" s="57">
        <v>3</v>
      </c>
      <c r="K261" s="57">
        <v>1</v>
      </c>
      <c r="L261" s="57">
        <v>2</v>
      </c>
      <c r="M261" s="57">
        <v>2</v>
      </c>
      <c r="N261" s="57">
        <v>3</v>
      </c>
      <c r="O261" s="57">
        <v>2</v>
      </c>
      <c r="P261" s="57"/>
      <c r="Q261" s="57">
        <v>2</v>
      </c>
      <c r="R261" s="57" t="s">
        <v>87</v>
      </c>
      <c r="S261" s="57" t="s">
        <v>88</v>
      </c>
      <c r="T261" s="57" t="s">
        <v>121</v>
      </c>
      <c r="U261" s="57" t="s">
        <v>377</v>
      </c>
      <c r="V261" s="57" t="s">
        <v>125</v>
      </c>
      <c r="W261" s="57" t="s">
        <v>96</v>
      </c>
      <c r="X261" s="57"/>
      <c r="Y261" s="57"/>
      <c r="Z261" s="123" t="s">
        <v>433</v>
      </c>
      <c r="AA261" s="123" t="s">
        <v>436</v>
      </c>
      <c r="AB261" s="123" t="str">
        <f t="shared" si="18"/>
        <v>Droguería-Semanal</v>
      </c>
      <c r="AC261" s="38" t="s">
        <v>157</v>
      </c>
      <c r="AD261" s="38" t="s">
        <v>97</v>
      </c>
      <c r="AE261" s="123" t="s">
        <v>441</v>
      </c>
      <c r="AF261" s="123" t="s">
        <v>437</v>
      </c>
      <c r="AG261" s="123" t="str">
        <f t="shared" si="19"/>
        <v>Atención al Cliente-Diario</v>
      </c>
      <c r="AH261" s="123"/>
      <c r="AI261" s="57">
        <v>2</v>
      </c>
      <c r="AJ261" s="38"/>
      <c r="AK261" s="123" t="s">
        <v>433</v>
      </c>
      <c r="AL261" s="123" t="s">
        <v>442</v>
      </c>
      <c r="AM261" s="123" t="str">
        <f t="shared" si="20"/>
        <v>Droguería-Mensual</v>
      </c>
      <c r="AN261" s="38" t="s">
        <v>369</v>
      </c>
      <c r="AO261" s="38">
        <v>4</v>
      </c>
      <c r="AP261" s="38">
        <v>1</v>
      </c>
      <c r="AQ261" s="38"/>
      <c r="AR261" s="38">
        <v>1</v>
      </c>
      <c r="AS261" s="38"/>
      <c r="AT261" s="38">
        <v>1</v>
      </c>
      <c r="AU261" s="38"/>
      <c r="AV261" s="38">
        <v>1</v>
      </c>
      <c r="AW261" s="38"/>
      <c r="AX261" s="38">
        <v>1</v>
      </c>
      <c r="AY261" s="38"/>
      <c r="AZ261" s="38">
        <v>1</v>
      </c>
      <c r="BA261" s="38"/>
      <c r="BB261" s="38">
        <v>2</v>
      </c>
      <c r="BC261" s="38"/>
      <c r="BD261" s="38">
        <v>1</v>
      </c>
      <c r="BE261" s="38"/>
      <c r="BF261" s="38">
        <v>3</v>
      </c>
      <c r="BG261" s="38"/>
      <c r="BH261" s="38">
        <v>1</v>
      </c>
      <c r="BI261" s="38" t="s">
        <v>78</v>
      </c>
      <c r="BJ261" s="38" t="s">
        <v>158</v>
      </c>
      <c r="BK261" s="38">
        <v>2</v>
      </c>
      <c r="BL261" s="38"/>
      <c r="BM261" s="40"/>
      <c r="BN261" s="40">
        <v>3103914646</v>
      </c>
      <c r="BO261" s="40"/>
      <c r="BP261" s="42" t="s">
        <v>84</v>
      </c>
    </row>
    <row r="262" spans="1:68" x14ac:dyDescent="0.25">
      <c r="A262" s="43"/>
      <c r="B262" s="44"/>
      <c r="C262" s="45"/>
      <c r="D262" s="58"/>
      <c r="E262" s="58"/>
      <c r="F262" s="58"/>
      <c r="G262" s="58"/>
      <c r="H262" s="59"/>
      <c r="I262" s="59"/>
      <c r="J262" s="59"/>
      <c r="K262" s="59"/>
      <c r="L262" s="59"/>
      <c r="M262" s="59"/>
      <c r="N262" s="59"/>
      <c r="O262" s="59"/>
      <c r="P262" s="59"/>
      <c r="Q262" s="59"/>
      <c r="R262" s="59"/>
      <c r="S262" s="59"/>
      <c r="T262" s="59"/>
      <c r="U262" s="59"/>
      <c r="V262" s="59"/>
      <c r="W262" s="59"/>
      <c r="X262" s="59"/>
      <c r="Y262" s="59"/>
      <c r="Z262" s="124" t="s">
        <v>434</v>
      </c>
      <c r="AA262" s="124" t="s">
        <v>437</v>
      </c>
      <c r="AB262" s="124" t="str">
        <f t="shared" si="18"/>
        <v>Aseo Personal-Diario</v>
      </c>
      <c r="AC262" s="39"/>
      <c r="AD262" s="39"/>
      <c r="AE262" s="124"/>
      <c r="AF262" s="124"/>
      <c r="AG262" s="124" t="str">
        <f t="shared" ref="AG262:AG307" si="21">+CONCATENATE(AE262,"-",AF262)</f>
        <v>-</v>
      </c>
      <c r="AH262" s="124"/>
      <c r="AI262" s="59"/>
      <c r="AJ262" s="39"/>
      <c r="AK262" s="124" t="s">
        <v>435</v>
      </c>
      <c r="AL262" s="124" t="s">
        <v>436</v>
      </c>
      <c r="AM262" s="124" t="str">
        <f t="shared" ref="AM262:AM306" si="22">CONCATENATE(AK262,"-",AL262)</f>
        <v>Dulces y Paquetes-Semanal</v>
      </c>
      <c r="AN262" s="39"/>
      <c r="AO262" s="39"/>
      <c r="AP262" s="39"/>
      <c r="AQ262" s="39"/>
      <c r="AR262" s="39"/>
      <c r="AS262" s="39"/>
      <c r="AT262" s="39"/>
      <c r="AU262" s="39"/>
      <c r="AV262" s="39"/>
      <c r="AW262" s="39"/>
      <c r="AX262" s="39"/>
      <c r="AY262" s="39"/>
      <c r="AZ262" s="39"/>
      <c r="BA262" s="39"/>
      <c r="BB262" s="39"/>
      <c r="BC262" s="39"/>
      <c r="BD262" s="39"/>
      <c r="BE262" s="39"/>
      <c r="BF262" s="39"/>
      <c r="BG262" s="39"/>
      <c r="BH262" s="39"/>
      <c r="BI262" s="39"/>
      <c r="BJ262" s="39"/>
      <c r="BK262" s="39"/>
      <c r="BL262" s="39"/>
      <c r="BM262" s="46"/>
      <c r="BN262" s="46"/>
      <c r="BO262" s="46"/>
      <c r="BP262" s="48"/>
    </row>
    <row r="263" spans="1:68" x14ac:dyDescent="0.25">
      <c r="A263" s="43"/>
      <c r="B263" s="44"/>
      <c r="C263" s="45"/>
      <c r="D263" s="58"/>
      <c r="E263" s="58"/>
      <c r="F263" s="58"/>
      <c r="G263" s="58"/>
      <c r="H263" s="59"/>
      <c r="I263" s="59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  <c r="Z263" s="124" t="s">
        <v>77</v>
      </c>
      <c r="AA263" s="124" t="s">
        <v>437</v>
      </c>
      <c r="AB263" s="124" t="str">
        <f t="shared" si="18"/>
        <v>Limpieza-Diario</v>
      </c>
      <c r="AC263" s="39"/>
      <c r="AD263" s="39"/>
      <c r="AE263" s="124"/>
      <c r="AF263" s="124"/>
      <c r="AG263" s="124" t="str">
        <f t="shared" si="21"/>
        <v>-</v>
      </c>
      <c r="AH263" s="124"/>
      <c r="AI263" s="59"/>
      <c r="AJ263" s="39"/>
      <c r="AK263" s="124" t="s">
        <v>434</v>
      </c>
      <c r="AL263" s="124" t="s">
        <v>442</v>
      </c>
      <c r="AM263" s="124" t="str">
        <f t="shared" si="22"/>
        <v>Aseo Personal-Mensual</v>
      </c>
      <c r="AN263" s="39"/>
      <c r="AO263" s="39"/>
      <c r="AP263" s="39"/>
      <c r="AQ263" s="39"/>
      <c r="AR263" s="39"/>
      <c r="AS263" s="39"/>
      <c r="AT263" s="39"/>
      <c r="AU263" s="39"/>
      <c r="AV263" s="39"/>
      <c r="AW263" s="39"/>
      <c r="AX263" s="39"/>
      <c r="AY263" s="39"/>
      <c r="AZ263" s="39"/>
      <c r="BA263" s="39"/>
      <c r="BB263" s="39"/>
      <c r="BC263" s="39"/>
      <c r="BD263" s="39"/>
      <c r="BE263" s="39"/>
      <c r="BF263" s="39"/>
      <c r="BG263" s="39"/>
      <c r="BH263" s="39"/>
      <c r="BI263" s="39"/>
      <c r="BJ263" s="39"/>
      <c r="BK263" s="39"/>
      <c r="BL263" s="39"/>
      <c r="BM263" s="46"/>
      <c r="BN263" s="46"/>
      <c r="BO263" s="46"/>
      <c r="BP263" s="48"/>
    </row>
    <row r="264" spans="1:68" x14ac:dyDescent="0.25">
      <c r="A264" s="49"/>
      <c r="B264" s="50"/>
      <c r="C264" s="51"/>
      <c r="D264" s="60"/>
      <c r="E264" s="60"/>
      <c r="F264" s="60"/>
      <c r="G264" s="60"/>
      <c r="H264" s="61"/>
      <c r="I264" s="61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125" t="s">
        <v>435</v>
      </c>
      <c r="AA264" s="125" t="s">
        <v>437</v>
      </c>
      <c r="AB264" s="125" t="str">
        <f t="shared" si="18"/>
        <v>Dulces y Paquetes-Diario</v>
      </c>
      <c r="AC264" s="7"/>
      <c r="AD264" s="7"/>
      <c r="AE264" s="125"/>
      <c r="AF264" s="125"/>
      <c r="AG264" s="125" t="str">
        <f t="shared" si="21"/>
        <v>-</v>
      </c>
      <c r="AH264" s="125"/>
      <c r="AI264" s="61"/>
      <c r="AJ264" s="7"/>
      <c r="AK264" s="125" t="s">
        <v>77</v>
      </c>
      <c r="AL264" s="125" t="s">
        <v>442</v>
      </c>
      <c r="AM264" s="125" t="str">
        <f t="shared" si="22"/>
        <v>Limpieza-Mensual</v>
      </c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52"/>
      <c r="BN264" s="52"/>
      <c r="BO264" s="52"/>
      <c r="BP264" s="54"/>
    </row>
    <row r="265" spans="1:68" x14ac:dyDescent="0.25">
      <c r="A265" s="35">
        <v>67</v>
      </c>
      <c r="B265" s="36">
        <v>44802</v>
      </c>
      <c r="C265" s="37" t="s">
        <v>370</v>
      </c>
      <c r="D265" s="56">
        <v>2</v>
      </c>
      <c r="E265" s="56">
        <v>2</v>
      </c>
      <c r="F265" s="56">
        <v>1</v>
      </c>
      <c r="G265" s="56">
        <v>12</v>
      </c>
      <c r="H265" s="57">
        <v>2</v>
      </c>
      <c r="I265" s="57">
        <v>1</v>
      </c>
      <c r="J265" s="57">
        <v>2</v>
      </c>
      <c r="K265" s="57">
        <v>2</v>
      </c>
      <c r="L265" s="57">
        <v>1</v>
      </c>
      <c r="M265" s="57">
        <v>3</v>
      </c>
      <c r="N265" s="57">
        <v>3</v>
      </c>
      <c r="O265" s="57">
        <v>3</v>
      </c>
      <c r="P265" s="57"/>
      <c r="Q265" s="57">
        <v>2</v>
      </c>
      <c r="R265" s="57"/>
      <c r="S265" s="57"/>
      <c r="T265" s="57"/>
      <c r="U265" s="57"/>
      <c r="V265" s="57" t="s">
        <v>249</v>
      </c>
      <c r="W265" s="57"/>
      <c r="X265" s="57"/>
      <c r="Y265" s="57"/>
      <c r="Z265" s="123" t="s">
        <v>433</v>
      </c>
      <c r="AA265" s="123"/>
      <c r="AB265" s="123"/>
      <c r="AC265" s="38" t="s">
        <v>89</v>
      </c>
      <c r="AD265" s="38" t="s">
        <v>328</v>
      </c>
      <c r="AE265" s="123" t="s">
        <v>178</v>
      </c>
      <c r="AF265" s="123" t="s">
        <v>436</v>
      </c>
      <c r="AG265" s="123" t="str">
        <f t="shared" si="21"/>
        <v>Promociones-Semanal</v>
      </c>
      <c r="AH265" s="123" t="s">
        <v>595</v>
      </c>
      <c r="AI265" s="57">
        <v>1</v>
      </c>
      <c r="AJ265" s="38" t="s">
        <v>371</v>
      </c>
      <c r="AK265" s="123" t="s">
        <v>433</v>
      </c>
      <c r="AL265" s="123" t="s">
        <v>436</v>
      </c>
      <c r="AM265" s="123" t="str">
        <f t="shared" si="22"/>
        <v>Droguería-Semanal</v>
      </c>
      <c r="AN265" s="38" t="s">
        <v>372</v>
      </c>
      <c r="AO265" s="38">
        <v>1</v>
      </c>
      <c r="AP265" s="38">
        <v>1</v>
      </c>
      <c r="AQ265" s="38"/>
      <c r="AR265" s="38">
        <v>1</v>
      </c>
      <c r="AS265" s="38" t="s">
        <v>373</v>
      </c>
      <c r="AT265" s="38">
        <v>1</v>
      </c>
      <c r="AU265" s="38"/>
      <c r="AV265" s="38">
        <v>4</v>
      </c>
      <c r="AW265" s="38"/>
      <c r="AX265" s="38">
        <v>4</v>
      </c>
      <c r="AY265" s="38"/>
      <c r="AZ265" s="38">
        <v>2</v>
      </c>
      <c r="BA265" s="38"/>
      <c r="BB265" s="38">
        <v>7</v>
      </c>
      <c r="BC265" s="38"/>
      <c r="BD265" s="38">
        <v>6</v>
      </c>
      <c r="BE265" s="38"/>
      <c r="BF265" s="38">
        <v>6</v>
      </c>
      <c r="BG265" s="38"/>
      <c r="BH265" s="38">
        <v>3</v>
      </c>
      <c r="BI265" s="38" t="s">
        <v>80</v>
      </c>
      <c r="BJ265" s="38" t="s">
        <v>347</v>
      </c>
      <c r="BK265" s="38">
        <v>4</v>
      </c>
      <c r="BL265" s="38"/>
      <c r="BM265" s="40" t="s">
        <v>374</v>
      </c>
      <c r="BN265" s="40">
        <v>3115304342</v>
      </c>
      <c r="BO265" s="41" t="s">
        <v>375</v>
      </c>
      <c r="BP265" s="42" t="s">
        <v>83</v>
      </c>
    </row>
    <row r="266" spans="1:68" x14ac:dyDescent="0.25">
      <c r="A266" s="43"/>
      <c r="B266" s="44"/>
      <c r="C266" s="45"/>
      <c r="D266" s="58"/>
      <c r="E266" s="58"/>
      <c r="F266" s="58"/>
      <c r="G266" s="58"/>
      <c r="H266" s="59"/>
      <c r="I266" s="59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124" t="s">
        <v>434</v>
      </c>
      <c r="AA266" s="124"/>
      <c r="AB266" s="124"/>
      <c r="AC266" s="39"/>
      <c r="AD266" s="39"/>
      <c r="AE266" s="124" t="s">
        <v>439</v>
      </c>
      <c r="AF266" s="124" t="s">
        <v>436</v>
      </c>
      <c r="AG266" s="124" t="str">
        <f t="shared" si="21"/>
        <v>Descuento-Semanal</v>
      </c>
      <c r="AH266" s="124" t="s">
        <v>596</v>
      </c>
      <c r="AI266" s="59"/>
      <c r="AJ266" s="39"/>
      <c r="AK266" s="124" t="s">
        <v>434</v>
      </c>
      <c r="AL266" s="124" t="s">
        <v>509</v>
      </c>
      <c r="AM266" s="124" t="str">
        <f t="shared" si="22"/>
        <v>Aseo Personal-Quincenal</v>
      </c>
      <c r="AN266" s="39"/>
      <c r="AO266" s="39"/>
      <c r="AP266" s="39"/>
      <c r="AQ266" s="39"/>
      <c r="AR266" s="39"/>
      <c r="AS266" s="39"/>
      <c r="AT266" s="39"/>
      <c r="AU266" s="39"/>
      <c r="AV266" s="39"/>
      <c r="AW266" s="39"/>
      <c r="AX266" s="39"/>
      <c r="AY266" s="39"/>
      <c r="AZ266" s="39"/>
      <c r="BA266" s="39"/>
      <c r="BB266" s="39"/>
      <c r="BC266" s="39"/>
      <c r="BD266" s="39"/>
      <c r="BE266" s="39"/>
      <c r="BF266" s="39"/>
      <c r="BG266" s="39"/>
      <c r="BH266" s="39"/>
      <c r="BI266" s="39"/>
      <c r="BJ266" s="39"/>
      <c r="BK266" s="39"/>
      <c r="BL266" s="39"/>
      <c r="BM266" s="46"/>
      <c r="BN266" s="46"/>
      <c r="BO266" s="47"/>
      <c r="BP266" s="48"/>
    </row>
    <row r="267" spans="1:68" x14ac:dyDescent="0.25">
      <c r="A267" s="43"/>
      <c r="B267" s="44"/>
      <c r="C267" s="45"/>
      <c r="D267" s="58"/>
      <c r="E267" s="58"/>
      <c r="F267" s="58"/>
      <c r="G267" s="58"/>
      <c r="H267" s="59"/>
      <c r="I267" s="59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  <c r="Z267" s="124"/>
      <c r="AA267" s="124"/>
      <c r="AB267" s="124"/>
      <c r="AC267" s="39"/>
      <c r="AD267" s="39"/>
      <c r="AE267" s="124" t="s">
        <v>195</v>
      </c>
      <c r="AF267" s="124" t="s">
        <v>509</v>
      </c>
      <c r="AG267" s="124" t="str">
        <f t="shared" si="21"/>
        <v>Ofertas-Quincenal</v>
      </c>
      <c r="AH267" s="124" t="s">
        <v>597</v>
      </c>
      <c r="AI267" s="59"/>
      <c r="AJ267" s="39"/>
      <c r="AK267" s="124"/>
      <c r="AL267" s="124"/>
      <c r="AM267" s="124"/>
      <c r="AN267" s="39"/>
      <c r="AO267" s="39"/>
      <c r="AP267" s="39"/>
      <c r="AQ267" s="39"/>
      <c r="AR267" s="39"/>
      <c r="AS267" s="39"/>
      <c r="AT267" s="39"/>
      <c r="AU267" s="39"/>
      <c r="AV267" s="39"/>
      <c r="AW267" s="39"/>
      <c r="AX267" s="39"/>
      <c r="AY267" s="39"/>
      <c r="AZ267" s="39"/>
      <c r="BA267" s="39"/>
      <c r="BB267" s="39"/>
      <c r="BC267" s="39"/>
      <c r="BD267" s="39"/>
      <c r="BE267" s="39"/>
      <c r="BF267" s="39"/>
      <c r="BG267" s="39"/>
      <c r="BH267" s="39"/>
      <c r="BI267" s="39"/>
      <c r="BJ267" s="39"/>
      <c r="BK267" s="39"/>
      <c r="BL267" s="39"/>
      <c r="BM267" s="46"/>
      <c r="BN267" s="46"/>
      <c r="BO267" s="47"/>
      <c r="BP267" s="48"/>
    </row>
    <row r="268" spans="1:68" x14ac:dyDescent="0.25">
      <c r="A268" s="43"/>
      <c r="B268" s="44"/>
      <c r="C268" s="45"/>
      <c r="D268" s="58"/>
      <c r="E268" s="58"/>
      <c r="F268" s="58"/>
      <c r="G268" s="58"/>
      <c r="H268" s="59"/>
      <c r="I268" s="59"/>
      <c r="J268" s="59"/>
      <c r="K268" s="59"/>
      <c r="L268" s="59"/>
      <c r="M268" s="59"/>
      <c r="N268" s="59"/>
      <c r="O268" s="59"/>
      <c r="P268" s="59"/>
      <c r="Q268" s="59"/>
      <c r="R268" s="59"/>
      <c r="S268" s="59"/>
      <c r="T268" s="59"/>
      <c r="U268" s="59"/>
      <c r="V268" s="59"/>
      <c r="W268" s="59"/>
      <c r="X268" s="59"/>
      <c r="Y268" s="59"/>
      <c r="Z268" s="124"/>
      <c r="AA268" s="124"/>
      <c r="AB268" s="124"/>
      <c r="AC268" s="39"/>
      <c r="AD268" s="39"/>
      <c r="AE268" s="124" t="s">
        <v>448</v>
      </c>
      <c r="AF268" s="124" t="s">
        <v>436</v>
      </c>
      <c r="AG268" s="124" t="str">
        <f t="shared" si="21"/>
        <v>Asesoramiento-Semanal</v>
      </c>
      <c r="AH268" s="124" t="s">
        <v>598</v>
      </c>
      <c r="AI268" s="59"/>
      <c r="AJ268" s="39"/>
      <c r="AK268" s="124"/>
      <c r="AL268" s="124"/>
      <c r="AM268" s="124"/>
      <c r="AN268" s="39"/>
      <c r="AO268" s="39"/>
      <c r="AP268" s="39"/>
      <c r="AQ268" s="39"/>
      <c r="AR268" s="39"/>
      <c r="AS268" s="39"/>
      <c r="AT268" s="39"/>
      <c r="AU268" s="39"/>
      <c r="AV268" s="39"/>
      <c r="AW268" s="39"/>
      <c r="AX268" s="39"/>
      <c r="AY268" s="39"/>
      <c r="AZ268" s="39"/>
      <c r="BA268" s="39"/>
      <c r="BB268" s="39"/>
      <c r="BC268" s="39"/>
      <c r="BD268" s="39"/>
      <c r="BE268" s="39"/>
      <c r="BF268" s="39"/>
      <c r="BG268" s="39"/>
      <c r="BH268" s="39"/>
      <c r="BI268" s="39"/>
      <c r="BJ268" s="39"/>
      <c r="BK268" s="39"/>
      <c r="BL268" s="39"/>
      <c r="BM268" s="46"/>
      <c r="BN268" s="46"/>
      <c r="BO268" s="47"/>
      <c r="BP268" s="48"/>
    </row>
    <row r="269" spans="1:68" x14ac:dyDescent="0.25">
      <c r="A269" s="43"/>
      <c r="B269" s="44"/>
      <c r="C269" s="45"/>
      <c r="D269" s="58"/>
      <c r="E269" s="58"/>
      <c r="F269" s="58"/>
      <c r="G269" s="58"/>
      <c r="H269" s="59"/>
      <c r="I269" s="59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  <c r="Z269" s="124"/>
      <c r="AA269" s="124"/>
      <c r="AB269" s="124"/>
      <c r="AC269" s="39"/>
      <c r="AD269" s="39"/>
      <c r="AE269" s="124" t="s">
        <v>440</v>
      </c>
      <c r="AF269" s="124" t="s">
        <v>437</v>
      </c>
      <c r="AG269" s="124" t="str">
        <f t="shared" si="21"/>
        <v>Domicilios-Diario</v>
      </c>
      <c r="AH269" s="124" t="s">
        <v>599</v>
      </c>
      <c r="AI269" s="59"/>
      <c r="AJ269" s="39"/>
      <c r="AK269" s="124"/>
      <c r="AL269" s="124"/>
      <c r="AM269" s="124"/>
      <c r="AN269" s="39"/>
      <c r="AO269" s="39"/>
      <c r="AP269" s="39"/>
      <c r="AQ269" s="39"/>
      <c r="AR269" s="39"/>
      <c r="AS269" s="39"/>
      <c r="AT269" s="39"/>
      <c r="AU269" s="39"/>
      <c r="AV269" s="39"/>
      <c r="AW269" s="39"/>
      <c r="AX269" s="39"/>
      <c r="AY269" s="39"/>
      <c r="AZ269" s="39"/>
      <c r="BA269" s="39"/>
      <c r="BB269" s="39"/>
      <c r="BC269" s="39"/>
      <c r="BD269" s="39"/>
      <c r="BE269" s="39"/>
      <c r="BF269" s="39"/>
      <c r="BG269" s="39"/>
      <c r="BH269" s="39"/>
      <c r="BI269" s="39"/>
      <c r="BJ269" s="39"/>
      <c r="BK269" s="39"/>
      <c r="BL269" s="39"/>
      <c r="BM269" s="46"/>
      <c r="BN269" s="46"/>
      <c r="BO269" s="47"/>
      <c r="BP269" s="48"/>
    </row>
    <row r="270" spans="1:68" x14ac:dyDescent="0.25">
      <c r="A270" s="49"/>
      <c r="B270" s="50"/>
      <c r="C270" s="51"/>
      <c r="D270" s="60"/>
      <c r="E270" s="60"/>
      <c r="F270" s="60"/>
      <c r="G270" s="60"/>
      <c r="H270" s="61"/>
      <c r="I270" s="61"/>
      <c r="J270" s="61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125"/>
      <c r="AA270" s="125"/>
      <c r="AB270" s="125"/>
      <c r="AC270" s="7"/>
      <c r="AD270" s="7"/>
      <c r="AE270" s="125" t="s">
        <v>441</v>
      </c>
      <c r="AF270" s="125" t="s">
        <v>437</v>
      </c>
      <c r="AG270" s="125" t="str">
        <f t="shared" si="21"/>
        <v>Atención al Cliente-Diario</v>
      </c>
      <c r="AH270" s="125" t="s">
        <v>600</v>
      </c>
      <c r="AI270" s="61"/>
      <c r="AJ270" s="7"/>
      <c r="AK270" s="125"/>
      <c r="AL270" s="125"/>
      <c r="AM270" s="125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52"/>
      <c r="BN270" s="52"/>
      <c r="BO270" s="53"/>
      <c r="BP270" s="54"/>
    </row>
    <row r="271" spans="1:68" x14ac:dyDescent="0.25">
      <c r="A271" s="35">
        <v>68</v>
      </c>
      <c r="B271" s="36">
        <v>44801</v>
      </c>
      <c r="C271" s="37" t="s">
        <v>376</v>
      </c>
      <c r="D271" s="56">
        <v>2</v>
      </c>
      <c r="E271" s="56">
        <v>1</v>
      </c>
      <c r="F271" s="56">
        <v>1</v>
      </c>
      <c r="G271" s="56">
        <v>12</v>
      </c>
      <c r="H271" s="57">
        <v>3</v>
      </c>
      <c r="I271" s="57">
        <v>2</v>
      </c>
      <c r="J271" s="57">
        <v>3</v>
      </c>
      <c r="K271" s="57">
        <v>2</v>
      </c>
      <c r="L271" s="57">
        <v>1</v>
      </c>
      <c r="M271" s="57">
        <v>3</v>
      </c>
      <c r="N271" s="57">
        <v>3</v>
      </c>
      <c r="O271" s="57">
        <v>2</v>
      </c>
      <c r="P271" s="57"/>
      <c r="Q271" s="57">
        <v>3</v>
      </c>
      <c r="R271" s="57" t="s">
        <v>86</v>
      </c>
      <c r="S271" s="57" t="s">
        <v>377</v>
      </c>
      <c r="T271" s="57" t="s">
        <v>87</v>
      </c>
      <c r="U271" s="57" t="s">
        <v>88</v>
      </c>
      <c r="V271" s="57" t="s">
        <v>95</v>
      </c>
      <c r="W271" s="57" t="s">
        <v>178</v>
      </c>
      <c r="X271" s="57"/>
      <c r="Y271" s="57"/>
      <c r="Z271" s="123" t="s">
        <v>551</v>
      </c>
      <c r="AA271" s="123" t="s">
        <v>509</v>
      </c>
      <c r="AB271" s="123" t="str">
        <f>+CONCATENATE(Z271,"-",AA271)</f>
        <v>Farmacia-Quincenal</v>
      </c>
      <c r="AC271" s="38" t="s">
        <v>157</v>
      </c>
      <c r="AD271" s="38" t="s">
        <v>209</v>
      </c>
      <c r="AE271" s="135"/>
      <c r="AF271" s="135"/>
      <c r="AG271" s="135" t="str">
        <f t="shared" si="21"/>
        <v>-</v>
      </c>
      <c r="AH271" s="136"/>
      <c r="AI271" s="57">
        <v>1</v>
      </c>
      <c r="AJ271" s="38" t="s">
        <v>378</v>
      </c>
      <c r="AK271" s="123" t="s">
        <v>551</v>
      </c>
      <c r="AL271" s="123" t="s">
        <v>509</v>
      </c>
      <c r="AM271" s="123" t="str">
        <f t="shared" si="22"/>
        <v>Farmacia-Quincenal</v>
      </c>
      <c r="AN271" s="38" t="s">
        <v>104</v>
      </c>
      <c r="AO271" s="38">
        <v>4</v>
      </c>
      <c r="AP271" s="38">
        <v>1</v>
      </c>
      <c r="AQ271" s="38"/>
      <c r="AR271" s="38">
        <v>1</v>
      </c>
      <c r="AS271" s="38" t="s">
        <v>379</v>
      </c>
      <c r="AT271" s="38">
        <v>1</v>
      </c>
      <c r="AU271" s="38"/>
      <c r="AV271" s="38">
        <v>2</v>
      </c>
      <c r="AW271" s="38"/>
      <c r="AX271" s="38">
        <v>2</v>
      </c>
      <c r="AY271" s="38"/>
      <c r="AZ271" s="38">
        <v>1</v>
      </c>
      <c r="BA271" s="38" t="s">
        <v>380</v>
      </c>
      <c r="BB271" s="38">
        <v>2</v>
      </c>
      <c r="BC271" s="38"/>
      <c r="BD271" s="38">
        <v>5</v>
      </c>
      <c r="BE271" s="38"/>
      <c r="BF271" s="38">
        <v>3</v>
      </c>
      <c r="BG271" s="38"/>
      <c r="BH271" s="38">
        <v>2</v>
      </c>
      <c r="BI271" s="38" t="s">
        <v>172</v>
      </c>
      <c r="BJ271" s="38" t="s">
        <v>381</v>
      </c>
      <c r="BK271" s="38">
        <v>1</v>
      </c>
      <c r="BL271" s="38"/>
      <c r="BM271" s="40" t="s">
        <v>382</v>
      </c>
      <c r="BN271" s="40">
        <v>3125298365</v>
      </c>
      <c r="BO271" s="41" t="s">
        <v>383</v>
      </c>
      <c r="BP271" s="42" t="s">
        <v>84</v>
      </c>
    </row>
    <row r="272" spans="1:68" x14ac:dyDescent="0.25">
      <c r="A272" s="43"/>
      <c r="B272" s="44"/>
      <c r="C272" s="45"/>
      <c r="D272" s="58"/>
      <c r="E272" s="58"/>
      <c r="F272" s="58"/>
      <c r="G272" s="58"/>
      <c r="H272" s="59"/>
      <c r="I272" s="59"/>
      <c r="J272" s="59"/>
      <c r="K272" s="59"/>
      <c r="L272" s="59"/>
      <c r="M272" s="59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  <c r="Z272" s="124" t="s">
        <v>434</v>
      </c>
      <c r="AA272" s="124" t="s">
        <v>436</v>
      </c>
      <c r="AB272" s="124" t="str">
        <f t="shared" ref="AB272:AB303" si="23">+CONCATENATE(Z272,"-",AA272)</f>
        <v>Aseo Personal-Semanal</v>
      </c>
      <c r="AC272" s="39"/>
      <c r="AD272" s="39"/>
      <c r="AE272" s="137"/>
      <c r="AF272" s="137"/>
      <c r="AG272" s="137" t="str">
        <f t="shared" si="21"/>
        <v>-</v>
      </c>
      <c r="AH272" s="138"/>
      <c r="AI272" s="59"/>
      <c r="AJ272" s="39"/>
      <c r="AK272" s="124" t="s">
        <v>433</v>
      </c>
      <c r="AL272" s="124" t="s">
        <v>509</v>
      </c>
      <c r="AM272" s="124" t="str">
        <f t="shared" si="22"/>
        <v>Droguería-Quincenal</v>
      </c>
      <c r="AN272" s="39"/>
      <c r="AO272" s="39"/>
      <c r="AP272" s="39"/>
      <c r="AQ272" s="39"/>
      <c r="AR272" s="39"/>
      <c r="AS272" s="39"/>
      <c r="AT272" s="39"/>
      <c r="AU272" s="39"/>
      <c r="AV272" s="39"/>
      <c r="AW272" s="39"/>
      <c r="AX272" s="39"/>
      <c r="AY272" s="39"/>
      <c r="AZ272" s="39"/>
      <c r="BA272" s="39"/>
      <c r="BB272" s="39"/>
      <c r="BC272" s="39"/>
      <c r="BD272" s="39"/>
      <c r="BE272" s="39"/>
      <c r="BF272" s="39"/>
      <c r="BG272" s="39"/>
      <c r="BH272" s="39"/>
      <c r="BI272" s="39"/>
      <c r="BJ272" s="39"/>
      <c r="BK272" s="39"/>
      <c r="BL272" s="39"/>
      <c r="BM272" s="46"/>
      <c r="BN272" s="46"/>
      <c r="BO272" s="47"/>
      <c r="BP272" s="48"/>
    </row>
    <row r="273" spans="1:68" x14ac:dyDescent="0.25">
      <c r="A273" s="43"/>
      <c r="B273" s="44"/>
      <c r="C273" s="45"/>
      <c r="D273" s="58"/>
      <c r="E273" s="58"/>
      <c r="F273" s="58"/>
      <c r="G273" s="58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124" t="s">
        <v>188</v>
      </c>
      <c r="AA273" s="124" t="s">
        <v>436</v>
      </c>
      <c r="AB273" s="124" t="str">
        <f t="shared" si="23"/>
        <v>Dulces y paquetes-Semanal</v>
      </c>
      <c r="AC273" s="39"/>
      <c r="AD273" s="39"/>
      <c r="AE273" s="137"/>
      <c r="AF273" s="137"/>
      <c r="AG273" s="137" t="str">
        <f t="shared" si="21"/>
        <v>-</v>
      </c>
      <c r="AH273" s="138"/>
      <c r="AI273" s="59"/>
      <c r="AJ273" s="39"/>
      <c r="AK273" s="124" t="s">
        <v>435</v>
      </c>
      <c r="AL273" s="124" t="s">
        <v>436</v>
      </c>
      <c r="AM273" s="124" t="str">
        <f t="shared" si="22"/>
        <v>Dulces y Paquetes-Semanal</v>
      </c>
      <c r="AN273" s="39"/>
      <c r="AO273" s="39"/>
      <c r="AP273" s="39"/>
      <c r="AQ273" s="39"/>
      <c r="AR273" s="39"/>
      <c r="AS273" s="39"/>
      <c r="AT273" s="39"/>
      <c r="AU273" s="39"/>
      <c r="AV273" s="39"/>
      <c r="AW273" s="39"/>
      <c r="AX273" s="39"/>
      <c r="AY273" s="39"/>
      <c r="AZ273" s="39"/>
      <c r="BA273" s="39"/>
      <c r="BB273" s="39"/>
      <c r="BC273" s="39"/>
      <c r="BD273" s="39"/>
      <c r="BE273" s="39"/>
      <c r="BF273" s="39"/>
      <c r="BG273" s="39"/>
      <c r="BH273" s="39"/>
      <c r="BI273" s="39"/>
      <c r="BJ273" s="39"/>
      <c r="BK273" s="39"/>
      <c r="BL273" s="39"/>
      <c r="BM273" s="46"/>
      <c r="BN273" s="46"/>
      <c r="BO273" s="47"/>
      <c r="BP273" s="48"/>
    </row>
    <row r="274" spans="1:68" x14ac:dyDescent="0.25">
      <c r="A274" s="43"/>
      <c r="B274" s="44"/>
      <c r="C274" s="45"/>
      <c r="D274" s="58"/>
      <c r="E274" s="58"/>
      <c r="F274" s="58"/>
      <c r="G274" s="58"/>
      <c r="H274" s="59"/>
      <c r="I274" s="59"/>
      <c r="J274" s="59"/>
      <c r="K274" s="59"/>
      <c r="L274" s="59"/>
      <c r="M274" s="59"/>
      <c r="N274" s="59"/>
      <c r="O274" s="59"/>
      <c r="P274" s="59"/>
      <c r="Q274" s="59"/>
      <c r="R274" s="59"/>
      <c r="S274" s="59"/>
      <c r="T274" s="59"/>
      <c r="U274" s="59"/>
      <c r="V274" s="59"/>
      <c r="W274" s="59"/>
      <c r="X274" s="59"/>
      <c r="Y274" s="59"/>
      <c r="Z274" s="124"/>
      <c r="AA274" s="124"/>
      <c r="AB274" s="124"/>
      <c r="AC274" s="39"/>
      <c r="AD274" s="39"/>
      <c r="AE274" s="137"/>
      <c r="AF274" s="137"/>
      <c r="AG274" s="137" t="str">
        <f t="shared" si="21"/>
        <v>-</v>
      </c>
      <c r="AH274" s="138"/>
      <c r="AI274" s="59"/>
      <c r="AJ274" s="39"/>
      <c r="AK274" s="124" t="s">
        <v>434</v>
      </c>
      <c r="AL274" s="124" t="s">
        <v>436</v>
      </c>
      <c r="AM274" s="124" t="str">
        <f t="shared" si="22"/>
        <v>Aseo Personal-Semanal</v>
      </c>
      <c r="AN274" s="39"/>
      <c r="AO274" s="39"/>
      <c r="AP274" s="39"/>
      <c r="AQ274" s="39"/>
      <c r="AR274" s="39"/>
      <c r="AS274" s="39"/>
      <c r="AT274" s="39"/>
      <c r="AU274" s="39"/>
      <c r="AV274" s="39"/>
      <c r="AW274" s="39"/>
      <c r="AX274" s="39"/>
      <c r="AY274" s="39"/>
      <c r="AZ274" s="39"/>
      <c r="BA274" s="39"/>
      <c r="BB274" s="39"/>
      <c r="BC274" s="39"/>
      <c r="BD274" s="39"/>
      <c r="BE274" s="39"/>
      <c r="BF274" s="39"/>
      <c r="BG274" s="39"/>
      <c r="BH274" s="39"/>
      <c r="BI274" s="39"/>
      <c r="BJ274" s="39"/>
      <c r="BK274" s="39"/>
      <c r="BL274" s="39"/>
      <c r="BM274" s="46"/>
      <c r="BN274" s="46"/>
      <c r="BO274" s="47"/>
      <c r="BP274" s="48"/>
    </row>
    <row r="275" spans="1:68" x14ac:dyDescent="0.25">
      <c r="A275" s="49"/>
      <c r="B275" s="50"/>
      <c r="C275" s="51"/>
      <c r="D275" s="60"/>
      <c r="E275" s="60"/>
      <c r="F275" s="60"/>
      <c r="G275" s="60"/>
      <c r="H275" s="61"/>
      <c r="I275" s="61"/>
      <c r="J275" s="61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125"/>
      <c r="AA275" s="125"/>
      <c r="AB275" s="124"/>
      <c r="AC275" s="7"/>
      <c r="AD275" s="7"/>
      <c r="AE275" s="139"/>
      <c r="AF275" s="139"/>
      <c r="AG275" s="139" t="str">
        <f t="shared" si="21"/>
        <v>-</v>
      </c>
      <c r="AH275" s="140"/>
      <c r="AI275" s="61"/>
      <c r="AJ275" s="7"/>
      <c r="AK275" s="125" t="s">
        <v>77</v>
      </c>
      <c r="AL275" s="125" t="s">
        <v>436</v>
      </c>
      <c r="AM275" s="125" t="str">
        <f t="shared" si="22"/>
        <v>Limpieza-Semanal</v>
      </c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52"/>
      <c r="BN275" s="52"/>
      <c r="BO275" s="53"/>
      <c r="BP275" s="54"/>
    </row>
    <row r="276" spans="1:68" x14ac:dyDescent="0.25">
      <c r="A276" s="35">
        <v>69</v>
      </c>
      <c r="B276" s="36">
        <v>44802</v>
      </c>
      <c r="C276" s="37" t="s">
        <v>384</v>
      </c>
      <c r="D276" s="56">
        <v>1</v>
      </c>
      <c r="E276" s="56">
        <v>1</v>
      </c>
      <c r="F276" s="56">
        <v>1</v>
      </c>
      <c r="G276" s="56">
        <v>12</v>
      </c>
      <c r="H276" s="57">
        <v>3</v>
      </c>
      <c r="I276" s="57">
        <v>1</v>
      </c>
      <c r="J276" s="57">
        <v>3</v>
      </c>
      <c r="K276" s="57">
        <v>2</v>
      </c>
      <c r="L276" s="57">
        <v>1</v>
      </c>
      <c r="M276" s="57">
        <v>3</v>
      </c>
      <c r="N276" s="57">
        <v>1</v>
      </c>
      <c r="O276" s="57">
        <v>3</v>
      </c>
      <c r="P276" s="57"/>
      <c r="Q276" s="57">
        <v>3</v>
      </c>
      <c r="R276" s="57" t="s">
        <v>73</v>
      </c>
      <c r="S276" s="57" t="s">
        <v>385</v>
      </c>
      <c r="T276" s="57"/>
      <c r="U276" s="143" t="s">
        <v>249</v>
      </c>
      <c r="V276" s="144"/>
      <c r="W276" s="57" t="s">
        <v>145</v>
      </c>
      <c r="X276" s="57"/>
      <c r="Y276" s="57"/>
      <c r="Z276" s="123" t="s">
        <v>551</v>
      </c>
      <c r="AA276" s="123" t="s">
        <v>437</v>
      </c>
      <c r="AB276" s="123" t="str">
        <f t="shared" si="23"/>
        <v>Farmacia-Diario</v>
      </c>
      <c r="AC276" s="38" t="s">
        <v>98</v>
      </c>
      <c r="AD276" s="38" t="s">
        <v>78</v>
      </c>
      <c r="AE276" s="123" t="s">
        <v>178</v>
      </c>
      <c r="AF276" s="123" t="s">
        <v>442</v>
      </c>
      <c r="AG276" s="123" t="str">
        <f t="shared" si="21"/>
        <v>Promociones-Mensual</v>
      </c>
      <c r="AH276" s="123" t="s">
        <v>601</v>
      </c>
      <c r="AI276" s="57">
        <v>2</v>
      </c>
      <c r="AJ276" s="38" t="s">
        <v>386</v>
      </c>
      <c r="AK276" s="123" t="s">
        <v>551</v>
      </c>
      <c r="AL276" s="123" t="s">
        <v>436</v>
      </c>
      <c r="AM276" s="123" t="str">
        <f t="shared" si="22"/>
        <v>Farmacia-Semanal</v>
      </c>
      <c r="AN276" s="38" t="s">
        <v>104</v>
      </c>
      <c r="AO276" s="38">
        <v>1</v>
      </c>
      <c r="AP276" s="38">
        <v>1</v>
      </c>
      <c r="AQ276" s="38"/>
      <c r="AR276" s="38">
        <v>1</v>
      </c>
      <c r="AS276" s="38" t="s">
        <v>101</v>
      </c>
      <c r="AT276" s="38">
        <v>3</v>
      </c>
      <c r="AU276" s="38"/>
      <c r="AV276" s="38">
        <v>1</v>
      </c>
      <c r="AW276" s="38"/>
      <c r="AX276" s="38">
        <v>3</v>
      </c>
      <c r="AY276" s="38"/>
      <c r="AZ276" s="38">
        <v>2</v>
      </c>
      <c r="BA276" s="38"/>
      <c r="BB276" s="38">
        <v>2</v>
      </c>
      <c r="BC276" s="38"/>
      <c r="BD276" s="38">
        <v>1</v>
      </c>
      <c r="BE276" s="38"/>
      <c r="BF276" s="38">
        <v>3</v>
      </c>
      <c r="BG276" s="38"/>
      <c r="BH276" s="38">
        <v>3</v>
      </c>
      <c r="BI276" s="38" t="s">
        <v>80</v>
      </c>
      <c r="BJ276" s="38" t="s">
        <v>387</v>
      </c>
      <c r="BK276" s="38">
        <v>1</v>
      </c>
      <c r="BL276" s="38"/>
      <c r="BM276" s="40" t="s">
        <v>388</v>
      </c>
      <c r="BN276" s="40">
        <v>3227243833</v>
      </c>
      <c r="BO276" s="41" t="s">
        <v>389</v>
      </c>
      <c r="BP276" s="42" t="s">
        <v>84</v>
      </c>
    </row>
    <row r="277" spans="1:68" x14ac:dyDescent="0.25">
      <c r="A277" s="43"/>
      <c r="B277" s="44"/>
      <c r="C277" s="45"/>
      <c r="D277" s="58"/>
      <c r="E277" s="58"/>
      <c r="F277" s="58"/>
      <c r="G277" s="58"/>
      <c r="H277" s="59"/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124" t="s">
        <v>433</v>
      </c>
      <c r="AA277" s="124" t="s">
        <v>437</v>
      </c>
      <c r="AB277" s="124" t="str">
        <f t="shared" si="23"/>
        <v>Droguería-Diario</v>
      </c>
      <c r="AC277" s="39"/>
      <c r="AD277" s="39"/>
      <c r="AE277" s="124" t="s">
        <v>439</v>
      </c>
      <c r="AF277" s="124" t="s">
        <v>509</v>
      </c>
      <c r="AG277" s="124" t="str">
        <f t="shared" si="21"/>
        <v>Descuento-Quincenal</v>
      </c>
      <c r="AH277" s="124" t="s">
        <v>195</v>
      </c>
      <c r="AI277" s="59"/>
      <c r="AJ277" s="39"/>
      <c r="AK277" s="124" t="s">
        <v>433</v>
      </c>
      <c r="AL277" s="124" t="s">
        <v>509</v>
      </c>
      <c r="AM277" s="124" t="str">
        <f t="shared" si="22"/>
        <v>Droguería-Quincenal</v>
      </c>
      <c r="AN277" s="39"/>
      <c r="AO277" s="39"/>
      <c r="AP277" s="39"/>
      <c r="AQ277" s="39"/>
      <c r="AR277" s="39"/>
      <c r="AS277" s="39"/>
      <c r="AT277" s="39"/>
      <c r="AU277" s="39"/>
      <c r="AV277" s="39"/>
      <c r="AW277" s="39"/>
      <c r="AX277" s="39"/>
      <c r="AY277" s="39"/>
      <c r="AZ277" s="39"/>
      <c r="BA277" s="39"/>
      <c r="BB277" s="39"/>
      <c r="BC277" s="39"/>
      <c r="BD277" s="39"/>
      <c r="BE277" s="39"/>
      <c r="BF277" s="39"/>
      <c r="BG277" s="39"/>
      <c r="BH277" s="39"/>
      <c r="BI277" s="39"/>
      <c r="BJ277" s="39"/>
      <c r="BK277" s="39"/>
      <c r="BL277" s="39"/>
      <c r="BM277" s="46"/>
      <c r="BN277" s="46"/>
      <c r="BO277" s="47"/>
      <c r="BP277" s="48"/>
    </row>
    <row r="278" spans="1:68" x14ac:dyDescent="0.25">
      <c r="A278" s="43"/>
      <c r="B278" s="44"/>
      <c r="C278" s="45"/>
      <c r="D278" s="58"/>
      <c r="E278" s="58"/>
      <c r="F278" s="58"/>
      <c r="G278" s="58"/>
      <c r="H278" s="59"/>
      <c r="I278" s="59"/>
      <c r="J278" s="59"/>
      <c r="K278" s="59"/>
      <c r="L278" s="59"/>
      <c r="M278" s="59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59"/>
      <c r="Y278" s="59"/>
      <c r="Z278" s="124" t="s">
        <v>434</v>
      </c>
      <c r="AA278" s="124" t="s">
        <v>437</v>
      </c>
      <c r="AB278" s="124" t="str">
        <f t="shared" si="23"/>
        <v>Aseo Personal-Diario</v>
      </c>
      <c r="AC278" s="39"/>
      <c r="AD278" s="39"/>
      <c r="AE278" s="124" t="s">
        <v>195</v>
      </c>
      <c r="AF278" s="124" t="s">
        <v>442</v>
      </c>
      <c r="AG278" s="124" t="str">
        <f t="shared" si="21"/>
        <v>Ofertas-Mensual</v>
      </c>
      <c r="AH278" s="124" t="s">
        <v>602</v>
      </c>
      <c r="AI278" s="59"/>
      <c r="AJ278" s="39"/>
      <c r="AK278" s="124" t="s">
        <v>435</v>
      </c>
      <c r="AL278" s="124" t="s">
        <v>436</v>
      </c>
      <c r="AM278" s="124" t="str">
        <f t="shared" si="22"/>
        <v>Dulces y Paquetes-Semanal</v>
      </c>
      <c r="AN278" s="39"/>
      <c r="AO278" s="39"/>
      <c r="AP278" s="39"/>
      <c r="AQ278" s="39"/>
      <c r="AR278" s="39"/>
      <c r="AS278" s="39"/>
      <c r="AT278" s="39"/>
      <c r="AU278" s="39"/>
      <c r="AV278" s="39"/>
      <c r="AW278" s="39"/>
      <c r="AX278" s="39"/>
      <c r="AY278" s="39"/>
      <c r="AZ278" s="39"/>
      <c r="BA278" s="39"/>
      <c r="BB278" s="39"/>
      <c r="BC278" s="39"/>
      <c r="BD278" s="39"/>
      <c r="BE278" s="39"/>
      <c r="BF278" s="39"/>
      <c r="BG278" s="39"/>
      <c r="BH278" s="39"/>
      <c r="BI278" s="39"/>
      <c r="BJ278" s="39"/>
      <c r="BK278" s="39"/>
      <c r="BL278" s="39"/>
      <c r="BM278" s="46"/>
      <c r="BN278" s="46"/>
      <c r="BO278" s="47"/>
      <c r="BP278" s="48"/>
    </row>
    <row r="279" spans="1:68" x14ac:dyDescent="0.25">
      <c r="A279" s="49"/>
      <c r="B279" s="50"/>
      <c r="C279" s="51"/>
      <c r="D279" s="60"/>
      <c r="E279" s="60"/>
      <c r="F279" s="60"/>
      <c r="G279" s="60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125" t="s">
        <v>188</v>
      </c>
      <c r="AA279" s="125" t="s">
        <v>437</v>
      </c>
      <c r="AB279" s="125" t="str">
        <f t="shared" si="23"/>
        <v>Dulces y paquetes-Diario</v>
      </c>
      <c r="AC279" s="7"/>
      <c r="AD279" s="7"/>
      <c r="AE279" s="125" t="s">
        <v>440</v>
      </c>
      <c r="AF279" s="125" t="s">
        <v>436</v>
      </c>
      <c r="AG279" s="125" t="str">
        <f t="shared" si="21"/>
        <v>Domicilios-Semanal</v>
      </c>
      <c r="AH279" s="125" t="s">
        <v>603</v>
      </c>
      <c r="AI279" s="61"/>
      <c r="AJ279" s="7"/>
      <c r="AK279" s="125" t="s">
        <v>434</v>
      </c>
      <c r="AL279" s="125" t="s">
        <v>509</v>
      </c>
      <c r="AM279" s="125" t="str">
        <f t="shared" si="22"/>
        <v>Aseo Personal-Quincenal</v>
      </c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52"/>
      <c r="BN279" s="52"/>
      <c r="BO279" s="53"/>
      <c r="BP279" s="54"/>
    </row>
    <row r="280" spans="1:68" x14ac:dyDescent="0.25">
      <c r="A280" s="35">
        <v>70</v>
      </c>
      <c r="B280" s="36">
        <v>44802</v>
      </c>
      <c r="C280" s="37" t="s">
        <v>390</v>
      </c>
      <c r="D280" s="56">
        <v>2</v>
      </c>
      <c r="E280" s="56">
        <v>2</v>
      </c>
      <c r="F280" s="56">
        <v>1</v>
      </c>
      <c r="G280" s="56">
        <v>12</v>
      </c>
      <c r="H280" s="57">
        <v>1</v>
      </c>
      <c r="I280" s="57">
        <v>2</v>
      </c>
      <c r="J280" s="57">
        <v>1</v>
      </c>
      <c r="K280" s="57">
        <v>2</v>
      </c>
      <c r="L280" s="57">
        <v>1</v>
      </c>
      <c r="M280" s="57">
        <v>2</v>
      </c>
      <c r="N280" s="57">
        <v>3</v>
      </c>
      <c r="O280" s="57">
        <v>2</v>
      </c>
      <c r="P280" s="57"/>
      <c r="Q280" s="57">
        <v>3</v>
      </c>
      <c r="R280" s="57"/>
      <c r="S280" s="57"/>
      <c r="T280" s="57"/>
      <c r="U280" s="57"/>
      <c r="V280" s="57"/>
      <c r="W280" s="57"/>
      <c r="X280" s="57"/>
      <c r="Y280" s="57"/>
      <c r="Z280" s="123" t="s">
        <v>433</v>
      </c>
      <c r="AA280" s="123" t="s">
        <v>437</v>
      </c>
      <c r="AB280" s="123" t="str">
        <f t="shared" si="23"/>
        <v>Droguería-Diario</v>
      </c>
      <c r="AC280" s="38" t="s">
        <v>188</v>
      </c>
      <c r="AD280" s="38" t="s">
        <v>299</v>
      </c>
      <c r="AE280" s="123" t="s">
        <v>178</v>
      </c>
      <c r="AF280" s="123" t="s">
        <v>442</v>
      </c>
      <c r="AG280" s="123" t="str">
        <f t="shared" si="21"/>
        <v>Promociones-Mensual</v>
      </c>
      <c r="AH280" s="123" t="s">
        <v>604</v>
      </c>
      <c r="AI280" s="57">
        <v>1</v>
      </c>
      <c r="AJ280" s="38" t="s">
        <v>371</v>
      </c>
      <c r="AK280" s="123" t="s">
        <v>551</v>
      </c>
      <c r="AL280" s="123" t="s">
        <v>509</v>
      </c>
      <c r="AM280" s="123" t="str">
        <f t="shared" si="22"/>
        <v>Farmacia-Quincenal</v>
      </c>
      <c r="AN280" s="38" t="s">
        <v>166</v>
      </c>
      <c r="AO280" s="38">
        <v>3</v>
      </c>
      <c r="AP280" s="38">
        <v>2</v>
      </c>
      <c r="AQ280" s="38"/>
      <c r="AR280" s="38"/>
      <c r="AS280" s="38" t="s">
        <v>116</v>
      </c>
      <c r="AT280" s="38">
        <v>2</v>
      </c>
      <c r="AU280" s="38"/>
      <c r="AV280" s="38">
        <v>1</v>
      </c>
      <c r="AW280" s="38"/>
      <c r="AX280" s="38">
        <v>1</v>
      </c>
      <c r="AY280" s="38"/>
      <c r="AZ280" s="38">
        <v>1</v>
      </c>
      <c r="BA280" s="38"/>
      <c r="BB280" s="38">
        <v>2</v>
      </c>
      <c r="BC280" s="38"/>
      <c r="BD280" s="38">
        <v>3</v>
      </c>
      <c r="BE280" s="38"/>
      <c r="BF280" s="38">
        <v>6</v>
      </c>
      <c r="BG280" s="38"/>
      <c r="BH280" s="38">
        <v>2</v>
      </c>
      <c r="BI280" s="38" t="s">
        <v>78</v>
      </c>
      <c r="BJ280" s="38" t="s">
        <v>184</v>
      </c>
      <c r="BK280" s="38">
        <v>1</v>
      </c>
      <c r="BL280" s="38"/>
      <c r="BM280" s="40"/>
      <c r="BN280" s="40">
        <v>3227120177</v>
      </c>
      <c r="BO280" s="40"/>
      <c r="BP280" s="42" t="s">
        <v>84</v>
      </c>
    </row>
    <row r="281" spans="1:68" x14ac:dyDescent="0.25">
      <c r="A281" s="43"/>
      <c r="B281" s="44"/>
      <c r="C281" s="45"/>
      <c r="D281" s="58"/>
      <c r="E281" s="58"/>
      <c r="F281" s="58"/>
      <c r="G281" s="58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  <c r="Z281" s="124" t="s">
        <v>434</v>
      </c>
      <c r="AA281" s="124" t="s">
        <v>437</v>
      </c>
      <c r="AB281" s="124" t="str">
        <f t="shared" si="23"/>
        <v>Aseo Personal-Diario</v>
      </c>
      <c r="AC281" s="39"/>
      <c r="AD281" s="39"/>
      <c r="AE281" s="124" t="s">
        <v>439</v>
      </c>
      <c r="AF281" s="124" t="s">
        <v>511</v>
      </c>
      <c r="AG281" s="124" t="str">
        <f t="shared" si="21"/>
        <v>Descuento-Anual</v>
      </c>
      <c r="AH281" s="124" t="s">
        <v>605</v>
      </c>
      <c r="AI281" s="59"/>
      <c r="AJ281" s="39"/>
      <c r="AK281" s="124" t="s">
        <v>433</v>
      </c>
      <c r="AL281" s="124" t="s">
        <v>509</v>
      </c>
      <c r="AM281" s="124" t="str">
        <f t="shared" si="22"/>
        <v>Droguería-Quincenal</v>
      </c>
      <c r="AN281" s="39"/>
      <c r="AO281" s="39"/>
      <c r="AP281" s="39"/>
      <c r="AQ281" s="39"/>
      <c r="AR281" s="39"/>
      <c r="AS281" s="39"/>
      <c r="AT281" s="39"/>
      <c r="AU281" s="39"/>
      <c r="AV281" s="39"/>
      <c r="AW281" s="39"/>
      <c r="AX281" s="39"/>
      <c r="AY281" s="39"/>
      <c r="AZ281" s="39"/>
      <c r="BA281" s="39"/>
      <c r="BB281" s="39"/>
      <c r="BC281" s="39"/>
      <c r="BD281" s="39"/>
      <c r="BE281" s="39"/>
      <c r="BF281" s="39"/>
      <c r="BG281" s="39"/>
      <c r="BH281" s="39"/>
      <c r="BI281" s="39"/>
      <c r="BJ281" s="39"/>
      <c r="BK281" s="39"/>
      <c r="BL281" s="39"/>
      <c r="BM281" s="46"/>
      <c r="BN281" s="46"/>
      <c r="BO281" s="46"/>
      <c r="BP281" s="48"/>
    </row>
    <row r="282" spans="1:68" x14ac:dyDescent="0.25">
      <c r="A282" s="43"/>
      <c r="B282" s="44"/>
      <c r="C282" s="45"/>
      <c r="D282" s="58"/>
      <c r="E282" s="58"/>
      <c r="F282" s="58"/>
      <c r="G282" s="58"/>
      <c r="H282" s="59"/>
      <c r="I282" s="59"/>
      <c r="J282" s="59"/>
      <c r="K282" s="59"/>
      <c r="L282" s="59"/>
      <c r="M282" s="59"/>
      <c r="N282" s="59"/>
      <c r="O282" s="59"/>
      <c r="P282" s="59"/>
      <c r="Q282" s="59"/>
      <c r="R282" s="59"/>
      <c r="S282" s="59"/>
      <c r="T282" s="59"/>
      <c r="U282" s="59"/>
      <c r="V282" s="59"/>
      <c r="W282" s="59"/>
      <c r="X282" s="59"/>
      <c r="Y282" s="59"/>
      <c r="Z282" s="129" t="s">
        <v>77</v>
      </c>
      <c r="AA282" s="124" t="s">
        <v>437</v>
      </c>
      <c r="AB282" s="124" t="str">
        <f t="shared" si="23"/>
        <v>Limpieza-Diario</v>
      </c>
      <c r="AC282" s="39"/>
      <c r="AD282" s="39"/>
      <c r="AE282" s="124" t="s">
        <v>195</v>
      </c>
      <c r="AF282" s="124" t="s">
        <v>436</v>
      </c>
      <c r="AG282" s="124" t="str">
        <f t="shared" si="21"/>
        <v>Ofertas-Semanal</v>
      </c>
      <c r="AH282" s="124" t="s">
        <v>552</v>
      </c>
      <c r="AI282" s="59"/>
      <c r="AJ282" s="39"/>
      <c r="AK282" s="124" t="s">
        <v>435</v>
      </c>
      <c r="AL282" s="124" t="s">
        <v>436</v>
      </c>
      <c r="AM282" s="124" t="str">
        <f t="shared" si="22"/>
        <v>Dulces y Paquetes-Semanal</v>
      </c>
      <c r="AN282" s="39"/>
      <c r="AO282" s="39"/>
      <c r="AP282" s="39"/>
      <c r="AQ282" s="39"/>
      <c r="AR282" s="39"/>
      <c r="AS282" s="39"/>
      <c r="AT282" s="39"/>
      <c r="AU282" s="39"/>
      <c r="AV282" s="39"/>
      <c r="AW282" s="39"/>
      <c r="AX282" s="39"/>
      <c r="AY282" s="39"/>
      <c r="AZ282" s="39"/>
      <c r="BA282" s="39"/>
      <c r="BB282" s="39"/>
      <c r="BC282" s="39"/>
      <c r="BD282" s="39"/>
      <c r="BE282" s="39"/>
      <c r="BF282" s="39"/>
      <c r="BG282" s="39"/>
      <c r="BH282" s="39"/>
      <c r="BI282" s="39"/>
      <c r="BJ282" s="39"/>
      <c r="BK282" s="39"/>
      <c r="BL282" s="39"/>
      <c r="BM282" s="46"/>
      <c r="BN282" s="46"/>
      <c r="BO282" s="46"/>
      <c r="BP282" s="48"/>
    </row>
    <row r="283" spans="1:68" x14ac:dyDescent="0.25">
      <c r="A283" s="43"/>
      <c r="B283" s="44"/>
      <c r="C283" s="45"/>
      <c r="D283" s="58"/>
      <c r="E283" s="58"/>
      <c r="F283" s="58"/>
      <c r="G283" s="58"/>
      <c r="H283" s="59"/>
      <c r="I283" s="59"/>
      <c r="J283" s="59"/>
      <c r="K283" s="59"/>
      <c r="L283" s="59"/>
      <c r="M283" s="59"/>
      <c r="N283" s="59"/>
      <c r="O283" s="59"/>
      <c r="P283" s="59"/>
      <c r="Q283" s="59"/>
      <c r="R283" s="59"/>
      <c r="S283" s="59"/>
      <c r="T283" s="59"/>
      <c r="U283" s="59"/>
      <c r="V283" s="59"/>
      <c r="W283" s="59"/>
      <c r="X283" s="59"/>
      <c r="Y283" s="59"/>
      <c r="Z283" s="124" t="s">
        <v>188</v>
      </c>
      <c r="AA283" s="124" t="s">
        <v>437</v>
      </c>
      <c r="AB283" s="124" t="str">
        <f t="shared" si="23"/>
        <v>Dulces y paquetes-Diario</v>
      </c>
      <c r="AC283" s="39"/>
      <c r="AD283" s="39"/>
      <c r="AE283" s="124" t="s">
        <v>448</v>
      </c>
      <c r="AF283" s="124" t="s">
        <v>511</v>
      </c>
      <c r="AG283" s="124" t="str">
        <f t="shared" si="21"/>
        <v>Asesoramiento-Anual</v>
      </c>
      <c r="AH283" s="124" t="s">
        <v>606</v>
      </c>
      <c r="AI283" s="59"/>
      <c r="AJ283" s="39"/>
      <c r="AK283" s="124" t="s">
        <v>434</v>
      </c>
      <c r="AL283" s="124" t="s">
        <v>436</v>
      </c>
      <c r="AM283" s="124" t="str">
        <f t="shared" si="22"/>
        <v>Aseo Personal-Semanal</v>
      </c>
      <c r="AN283" s="39"/>
      <c r="AO283" s="39"/>
      <c r="AP283" s="39"/>
      <c r="AQ283" s="39"/>
      <c r="AR283" s="39"/>
      <c r="AS283" s="39"/>
      <c r="AT283" s="39"/>
      <c r="AU283" s="39"/>
      <c r="AV283" s="39"/>
      <c r="AW283" s="39"/>
      <c r="AX283" s="39"/>
      <c r="AY283" s="39"/>
      <c r="AZ283" s="39"/>
      <c r="BA283" s="39"/>
      <c r="BB283" s="39"/>
      <c r="BC283" s="39"/>
      <c r="BD283" s="39"/>
      <c r="BE283" s="39"/>
      <c r="BF283" s="39"/>
      <c r="BG283" s="39"/>
      <c r="BH283" s="39"/>
      <c r="BI283" s="39"/>
      <c r="BJ283" s="39"/>
      <c r="BK283" s="39"/>
      <c r="BL283" s="39"/>
      <c r="BM283" s="46"/>
      <c r="BN283" s="46"/>
      <c r="BO283" s="46"/>
      <c r="BP283" s="48"/>
    </row>
    <row r="284" spans="1:68" x14ac:dyDescent="0.25">
      <c r="A284" s="43"/>
      <c r="B284" s="44"/>
      <c r="C284" s="45"/>
      <c r="D284" s="58"/>
      <c r="E284" s="58"/>
      <c r="F284" s="58"/>
      <c r="G284" s="58"/>
      <c r="H284" s="59"/>
      <c r="I284" s="59"/>
      <c r="J284" s="59"/>
      <c r="K284" s="59"/>
      <c r="L284" s="59"/>
      <c r="M284" s="59"/>
      <c r="N284" s="59"/>
      <c r="O284" s="59"/>
      <c r="P284" s="59"/>
      <c r="Q284" s="59"/>
      <c r="R284" s="59"/>
      <c r="S284" s="59"/>
      <c r="T284" s="59"/>
      <c r="U284" s="59"/>
      <c r="V284" s="59"/>
      <c r="W284" s="59"/>
      <c r="X284" s="59"/>
      <c r="Y284" s="59"/>
      <c r="Z284" s="124"/>
      <c r="AA284" s="124"/>
      <c r="AB284" s="124"/>
      <c r="AC284" s="39"/>
      <c r="AD284" s="39"/>
      <c r="AE284" s="124" t="s">
        <v>440</v>
      </c>
      <c r="AF284" s="124" t="s">
        <v>436</v>
      </c>
      <c r="AG284" s="124" t="str">
        <f t="shared" si="21"/>
        <v>Domicilios-Semanal</v>
      </c>
      <c r="AH284" s="124" t="s">
        <v>607</v>
      </c>
      <c r="AI284" s="59"/>
      <c r="AJ284" s="39"/>
      <c r="AK284" s="124" t="s">
        <v>77</v>
      </c>
      <c r="AL284" s="124" t="s">
        <v>509</v>
      </c>
      <c r="AM284" s="124" t="str">
        <f t="shared" si="22"/>
        <v>Limpieza-Quincenal</v>
      </c>
      <c r="AN284" s="39"/>
      <c r="AO284" s="39"/>
      <c r="AP284" s="39"/>
      <c r="AQ284" s="39"/>
      <c r="AR284" s="39"/>
      <c r="AS284" s="39"/>
      <c r="AT284" s="39"/>
      <c r="AU284" s="39"/>
      <c r="AV284" s="39"/>
      <c r="AW284" s="39"/>
      <c r="AX284" s="39"/>
      <c r="AY284" s="39"/>
      <c r="AZ284" s="39"/>
      <c r="BA284" s="39"/>
      <c r="BB284" s="39"/>
      <c r="BC284" s="39"/>
      <c r="BD284" s="39"/>
      <c r="BE284" s="39"/>
      <c r="BF284" s="39"/>
      <c r="BG284" s="39"/>
      <c r="BH284" s="39"/>
      <c r="BI284" s="39"/>
      <c r="BJ284" s="39"/>
      <c r="BK284" s="39"/>
      <c r="BL284" s="39"/>
      <c r="BM284" s="46"/>
      <c r="BN284" s="46"/>
      <c r="BO284" s="46"/>
      <c r="BP284" s="48"/>
    </row>
    <row r="285" spans="1:68" x14ac:dyDescent="0.25">
      <c r="A285" s="49"/>
      <c r="B285" s="50"/>
      <c r="C285" s="51"/>
      <c r="D285" s="60"/>
      <c r="E285" s="60"/>
      <c r="F285" s="60"/>
      <c r="G285" s="60"/>
      <c r="H285" s="61"/>
      <c r="I285" s="61"/>
      <c r="J285" s="61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125"/>
      <c r="AA285" s="125"/>
      <c r="AB285" s="124"/>
      <c r="AC285" s="7"/>
      <c r="AD285" s="7"/>
      <c r="AE285" s="125" t="s">
        <v>441</v>
      </c>
      <c r="AF285" s="125" t="s">
        <v>437</v>
      </c>
      <c r="AG285" s="125" t="str">
        <f t="shared" si="21"/>
        <v>Atención al Cliente-Diario</v>
      </c>
      <c r="AH285" s="125" t="s">
        <v>446</v>
      </c>
      <c r="AI285" s="61"/>
      <c r="AJ285" s="7"/>
      <c r="AK285" s="125"/>
      <c r="AL285" s="125"/>
      <c r="AM285" s="125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52"/>
      <c r="BN285" s="52"/>
      <c r="BO285" s="52"/>
      <c r="BP285" s="54"/>
    </row>
    <row r="286" spans="1:68" x14ac:dyDescent="0.25">
      <c r="A286" s="35">
        <v>71</v>
      </c>
      <c r="B286" s="36">
        <v>44794</v>
      </c>
      <c r="C286" s="37" t="s">
        <v>391</v>
      </c>
      <c r="D286" s="56">
        <v>2</v>
      </c>
      <c r="E286" s="56">
        <v>2</v>
      </c>
      <c r="F286" s="56">
        <v>1</v>
      </c>
      <c r="G286" s="56">
        <v>12</v>
      </c>
      <c r="H286" s="57">
        <v>1</v>
      </c>
      <c r="I286" s="57">
        <v>1</v>
      </c>
      <c r="J286" s="57">
        <v>3</v>
      </c>
      <c r="K286" s="57">
        <v>2</v>
      </c>
      <c r="L286" s="57">
        <v>1</v>
      </c>
      <c r="M286" s="57">
        <v>3</v>
      </c>
      <c r="N286" s="57">
        <v>3</v>
      </c>
      <c r="O286" s="57">
        <v>2</v>
      </c>
      <c r="P286" s="57"/>
      <c r="Q286" s="57">
        <v>2</v>
      </c>
      <c r="R286" s="57" t="s">
        <v>86</v>
      </c>
      <c r="S286" s="57" t="s">
        <v>88</v>
      </c>
      <c r="T286" s="57" t="s">
        <v>133</v>
      </c>
      <c r="U286" s="57"/>
      <c r="V286" s="57"/>
      <c r="W286" s="57"/>
      <c r="X286" s="57"/>
      <c r="Y286" s="57"/>
      <c r="Z286" s="123" t="s">
        <v>434</v>
      </c>
      <c r="AA286" s="123" t="s">
        <v>437</v>
      </c>
      <c r="AB286" s="123" t="str">
        <f t="shared" si="23"/>
        <v>Aseo Personal-Diario</v>
      </c>
      <c r="AC286" s="38"/>
      <c r="AD286" s="38" t="s">
        <v>78</v>
      </c>
      <c r="AE286" s="123" t="s">
        <v>178</v>
      </c>
      <c r="AF286" s="123" t="s">
        <v>442</v>
      </c>
      <c r="AG286" s="123" t="str">
        <f t="shared" si="21"/>
        <v>Promociones-Mensual</v>
      </c>
      <c r="AH286" s="123"/>
      <c r="AI286" s="57">
        <v>2</v>
      </c>
      <c r="AJ286" s="38" t="s">
        <v>392</v>
      </c>
      <c r="AK286" s="123" t="s">
        <v>551</v>
      </c>
      <c r="AL286" s="123" t="s">
        <v>442</v>
      </c>
      <c r="AM286" s="123" t="str">
        <f t="shared" si="22"/>
        <v>Farmacia-Mensual</v>
      </c>
      <c r="AN286" s="38"/>
      <c r="AO286" s="38">
        <v>1</v>
      </c>
      <c r="AP286" s="38">
        <v>1</v>
      </c>
      <c r="AQ286" s="38"/>
      <c r="AR286" s="38">
        <v>2</v>
      </c>
      <c r="AS286" s="38"/>
      <c r="AT286" s="38">
        <v>1</v>
      </c>
      <c r="AU286" s="38"/>
      <c r="AV286" s="38">
        <v>1</v>
      </c>
      <c r="AW286" s="38"/>
      <c r="AX286" s="38">
        <v>1</v>
      </c>
      <c r="AY286" s="38"/>
      <c r="AZ286" s="38">
        <v>2</v>
      </c>
      <c r="BA286" s="38"/>
      <c r="BB286" s="38">
        <v>4</v>
      </c>
      <c r="BC286" s="38"/>
      <c r="BD286" s="38">
        <v>5</v>
      </c>
      <c r="BE286" s="38"/>
      <c r="BF286" s="38">
        <v>4</v>
      </c>
      <c r="BG286" s="38"/>
      <c r="BH286" s="38">
        <v>1</v>
      </c>
      <c r="BI286" s="38" t="s">
        <v>334</v>
      </c>
      <c r="BJ286" s="38" t="s">
        <v>184</v>
      </c>
      <c r="BK286" s="38">
        <v>4</v>
      </c>
      <c r="BL286" s="38"/>
      <c r="BM286" s="40"/>
      <c r="BN286" s="40">
        <v>3222010020</v>
      </c>
      <c r="BO286" s="41" t="s">
        <v>393</v>
      </c>
      <c r="BP286" s="42" t="s">
        <v>83</v>
      </c>
    </row>
    <row r="287" spans="1:68" x14ac:dyDescent="0.25">
      <c r="A287" s="43"/>
      <c r="B287" s="44"/>
      <c r="C287" s="45"/>
      <c r="D287" s="58"/>
      <c r="E287" s="58"/>
      <c r="F287" s="58"/>
      <c r="G287" s="58"/>
      <c r="H287" s="59"/>
      <c r="I287" s="59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  <c r="Z287" s="129" t="s">
        <v>77</v>
      </c>
      <c r="AA287" s="124" t="s">
        <v>437</v>
      </c>
      <c r="AB287" s="124" t="str">
        <f t="shared" si="23"/>
        <v>Limpieza-Diario</v>
      </c>
      <c r="AC287" s="39"/>
      <c r="AD287" s="39"/>
      <c r="AE287" s="124" t="s">
        <v>440</v>
      </c>
      <c r="AF287" s="124" t="s">
        <v>437</v>
      </c>
      <c r="AG287" s="124" t="str">
        <f t="shared" si="21"/>
        <v>Domicilios-Diario</v>
      </c>
      <c r="AH287" s="124"/>
      <c r="AI287" s="59"/>
      <c r="AJ287" s="39"/>
      <c r="AK287" s="124" t="s">
        <v>433</v>
      </c>
      <c r="AL287" s="124" t="s">
        <v>509</v>
      </c>
      <c r="AM287" s="124" t="str">
        <f t="shared" si="22"/>
        <v>Droguería-Quincenal</v>
      </c>
      <c r="AN287" s="39"/>
      <c r="AO287" s="39"/>
      <c r="AP287" s="39"/>
      <c r="AQ287" s="39"/>
      <c r="AR287" s="39"/>
      <c r="AS287" s="39"/>
      <c r="AT287" s="39"/>
      <c r="AU287" s="39"/>
      <c r="AV287" s="39"/>
      <c r="AW287" s="39"/>
      <c r="AX287" s="39"/>
      <c r="AY287" s="39"/>
      <c r="AZ287" s="39"/>
      <c r="BA287" s="39"/>
      <c r="BB287" s="39"/>
      <c r="BC287" s="39"/>
      <c r="BD287" s="39"/>
      <c r="BE287" s="39"/>
      <c r="BF287" s="39"/>
      <c r="BG287" s="39"/>
      <c r="BH287" s="39"/>
      <c r="BI287" s="39"/>
      <c r="BJ287" s="39"/>
      <c r="BK287" s="39"/>
      <c r="BL287" s="39"/>
      <c r="BM287" s="46"/>
      <c r="BN287" s="46"/>
      <c r="BO287" s="47"/>
      <c r="BP287" s="48"/>
    </row>
    <row r="288" spans="1:68" x14ac:dyDescent="0.25">
      <c r="A288" s="43"/>
      <c r="B288" s="44"/>
      <c r="C288" s="45"/>
      <c r="D288" s="58"/>
      <c r="E288" s="58"/>
      <c r="F288" s="58"/>
      <c r="G288" s="58"/>
      <c r="H288" s="59"/>
      <c r="I288" s="59"/>
      <c r="J288" s="59"/>
      <c r="K288" s="59"/>
      <c r="L288" s="59"/>
      <c r="M288" s="59"/>
      <c r="N288" s="59"/>
      <c r="O288" s="59"/>
      <c r="P288" s="59"/>
      <c r="Q288" s="59"/>
      <c r="R288" s="59"/>
      <c r="S288" s="59"/>
      <c r="T288" s="59"/>
      <c r="U288" s="59"/>
      <c r="V288" s="59"/>
      <c r="W288" s="59"/>
      <c r="X288" s="59"/>
      <c r="Y288" s="59"/>
      <c r="Z288" s="124" t="s">
        <v>188</v>
      </c>
      <c r="AA288" s="124" t="s">
        <v>437</v>
      </c>
      <c r="AB288" s="124" t="str">
        <f t="shared" si="23"/>
        <v>Dulces y paquetes-Diario</v>
      </c>
      <c r="AC288" s="39"/>
      <c r="AD288" s="39"/>
      <c r="AE288" s="124" t="s">
        <v>441</v>
      </c>
      <c r="AF288" s="124" t="s">
        <v>437</v>
      </c>
      <c r="AG288" s="124" t="str">
        <f t="shared" si="21"/>
        <v>Atención al Cliente-Diario</v>
      </c>
      <c r="AH288" s="124"/>
      <c r="AI288" s="59"/>
      <c r="AJ288" s="39"/>
      <c r="AK288" s="124" t="s">
        <v>435</v>
      </c>
      <c r="AL288" s="124" t="s">
        <v>436</v>
      </c>
      <c r="AM288" s="124" t="str">
        <f t="shared" si="22"/>
        <v>Dulces y Paquetes-Semanal</v>
      </c>
      <c r="AN288" s="39"/>
      <c r="AO288" s="39"/>
      <c r="AP288" s="39"/>
      <c r="AQ288" s="39"/>
      <c r="AR288" s="39"/>
      <c r="AS288" s="39"/>
      <c r="AT288" s="39"/>
      <c r="AU288" s="39"/>
      <c r="AV288" s="39"/>
      <c r="AW288" s="39"/>
      <c r="AX288" s="39"/>
      <c r="AY288" s="39"/>
      <c r="AZ288" s="39"/>
      <c r="BA288" s="39"/>
      <c r="BB288" s="39"/>
      <c r="BC288" s="39"/>
      <c r="BD288" s="39"/>
      <c r="BE288" s="39"/>
      <c r="BF288" s="39"/>
      <c r="BG288" s="39"/>
      <c r="BH288" s="39"/>
      <c r="BI288" s="39"/>
      <c r="BJ288" s="39"/>
      <c r="BK288" s="39"/>
      <c r="BL288" s="39"/>
      <c r="BM288" s="46"/>
      <c r="BN288" s="46"/>
      <c r="BO288" s="47"/>
      <c r="BP288" s="48"/>
    </row>
    <row r="289" spans="1:68" x14ac:dyDescent="0.25">
      <c r="A289" s="43"/>
      <c r="B289" s="44"/>
      <c r="C289" s="45"/>
      <c r="D289" s="58"/>
      <c r="E289" s="58"/>
      <c r="F289" s="58"/>
      <c r="G289" s="58"/>
      <c r="H289" s="59"/>
      <c r="I289" s="59"/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  <c r="Z289" s="124"/>
      <c r="AA289" s="124"/>
      <c r="AB289" s="124"/>
      <c r="AC289" s="39"/>
      <c r="AD289" s="39"/>
      <c r="AE289" s="124"/>
      <c r="AF289" s="124"/>
      <c r="AG289" s="124" t="str">
        <f t="shared" si="21"/>
        <v>-</v>
      </c>
      <c r="AH289" s="124"/>
      <c r="AI289" s="59"/>
      <c r="AJ289" s="39"/>
      <c r="AK289" s="124" t="s">
        <v>434</v>
      </c>
      <c r="AL289" s="124" t="s">
        <v>436</v>
      </c>
      <c r="AM289" s="124" t="str">
        <f t="shared" si="22"/>
        <v>Aseo Personal-Semanal</v>
      </c>
      <c r="AN289" s="39"/>
      <c r="AO289" s="39"/>
      <c r="AP289" s="39"/>
      <c r="AQ289" s="39"/>
      <c r="AR289" s="39"/>
      <c r="AS289" s="39"/>
      <c r="AT289" s="39"/>
      <c r="AU289" s="39"/>
      <c r="AV289" s="39"/>
      <c r="AW289" s="39"/>
      <c r="AX289" s="39"/>
      <c r="AY289" s="39"/>
      <c r="AZ289" s="39"/>
      <c r="BA289" s="39"/>
      <c r="BB289" s="39"/>
      <c r="BC289" s="39"/>
      <c r="BD289" s="39"/>
      <c r="BE289" s="39"/>
      <c r="BF289" s="39"/>
      <c r="BG289" s="39"/>
      <c r="BH289" s="39"/>
      <c r="BI289" s="39"/>
      <c r="BJ289" s="39"/>
      <c r="BK289" s="39"/>
      <c r="BL289" s="39"/>
      <c r="BM289" s="46"/>
      <c r="BN289" s="46"/>
      <c r="BO289" s="47"/>
      <c r="BP289" s="48"/>
    </row>
    <row r="290" spans="1:68" x14ac:dyDescent="0.25">
      <c r="A290" s="49"/>
      <c r="B290" s="50"/>
      <c r="C290" s="51"/>
      <c r="D290" s="60"/>
      <c r="E290" s="60"/>
      <c r="F290" s="60"/>
      <c r="G290" s="60"/>
      <c r="H290" s="61"/>
      <c r="I290" s="61"/>
      <c r="J290" s="61"/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125"/>
      <c r="AA290" s="125"/>
      <c r="AB290" s="124"/>
      <c r="AC290" s="7"/>
      <c r="AD290" s="7"/>
      <c r="AE290" s="125"/>
      <c r="AF290" s="125"/>
      <c r="AG290" s="125" t="str">
        <f t="shared" si="21"/>
        <v>-</v>
      </c>
      <c r="AH290" s="125"/>
      <c r="AI290" s="61"/>
      <c r="AJ290" s="7"/>
      <c r="AK290" s="125" t="s">
        <v>77</v>
      </c>
      <c r="AL290" s="125" t="s">
        <v>436</v>
      </c>
      <c r="AM290" s="125" t="str">
        <f t="shared" si="22"/>
        <v>Limpieza-Semanal</v>
      </c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52"/>
      <c r="BN290" s="52"/>
      <c r="BO290" s="53"/>
      <c r="BP290" s="54"/>
    </row>
    <row r="291" spans="1:68" x14ac:dyDescent="0.25">
      <c r="A291" s="35">
        <v>72</v>
      </c>
      <c r="B291" s="36">
        <v>44804</v>
      </c>
      <c r="C291" s="37" t="s">
        <v>394</v>
      </c>
      <c r="D291" s="56">
        <v>2</v>
      </c>
      <c r="E291" s="56">
        <v>2</v>
      </c>
      <c r="F291" s="56">
        <v>1</v>
      </c>
      <c r="G291" s="56">
        <v>12</v>
      </c>
      <c r="H291" s="57">
        <v>3</v>
      </c>
      <c r="I291" s="57">
        <v>1</v>
      </c>
      <c r="J291" s="57">
        <v>1</v>
      </c>
      <c r="K291" s="57">
        <v>2</v>
      </c>
      <c r="L291" s="57">
        <v>1</v>
      </c>
      <c r="M291" s="57">
        <v>3</v>
      </c>
      <c r="N291" s="57">
        <v>3</v>
      </c>
      <c r="O291" s="57">
        <v>3</v>
      </c>
      <c r="P291" s="57"/>
      <c r="Q291" s="57">
        <v>3</v>
      </c>
      <c r="R291" s="57" t="s">
        <v>93</v>
      </c>
      <c r="S291" s="57" t="s">
        <v>73</v>
      </c>
      <c r="T291" s="57" t="s">
        <v>88</v>
      </c>
      <c r="U291" s="57"/>
      <c r="V291" s="57" t="s">
        <v>276</v>
      </c>
      <c r="W291" s="57" t="s">
        <v>76</v>
      </c>
      <c r="X291" s="57" t="s">
        <v>125</v>
      </c>
      <c r="Y291" s="57"/>
      <c r="Z291" s="123" t="s">
        <v>433</v>
      </c>
      <c r="AA291" s="123" t="s">
        <v>509</v>
      </c>
      <c r="AB291" s="123" t="str">
        <f t="shared" si="23"/>
        <v>Droguería-Quincenal</v>
      </c>
      <c r="AC291" s="38" t="s">
        <v>188</v>
      </c>
      <c r="AD291" s="38" t="s">
        <v>78</v>
      </c>
      <c r="AE291" s="123"/>
      <c r="AF291" s="123"/>
      <c r="AG291" s="123" t="str">
        <f t="shared" si="21"/>
        <v>-</v>
      </c>
      <c r="AH291" s="123"/>
      <c r="AI291" s="57">
        <v>2</v>
      </c>
      <c r="AJ291" s="38"/>
      <c r="AK291" s="123" t="s">
        <v>77</v>
      </c>
      <c r="AL291" s="123" t="s">
        <v>436</v>
      </c>
      <c r="AM291" s="123" t="str">
        <f t="shared" si="22"/>
        <v>Limpieza-Semanal</v>
      </c>
      <c r="AN291" s="38" t="s">
        <v>166</v>
      </c>
      <c r="AO291" s="38">
        <v>1</v>
      </c>
      <c r="AP291" s="38">
        <v>2</v>
      </c>
      <c r="AQ291" s="38"/>
      <c r="AR291" s="38">
        <v>2</v>
      </c>
      <c r="AS291" s="38"/>
      <c r="AT291" s="38">
        <v>3</v>
      </c>
      <c r="AU291" s="38"/>
      <c r="AV291" s="38">
        <v>1</v>
      </c>
      <c r="AW291" s="38"/>
      <c r="AX291" s="38">
        <v>1</v>
      </c>
      <c r="AY291" s="38"/>
      <c r="AZ291" s="38">
        <v>2</v>
      </c>
      <c r="BA291" s="38"/>
      <c r="BB291" s="38">
        <v>6</v>
      </c>
      <c r="BC291" s="38"/>
      <c r="BD291" s="38">
        <v>4</v>
      </c>
      <c r="BE291" s="38"/>
      <c r="BF291" s="38">
        <v>6</v>
      </c>
      <c r="BG291" s="38"/>
      <c r="BH291" s="38">
        <v>3</v>
      </c>
      <c r="BI291" s="38" t="s">
        <v>136</v>
      </c>
      <c r="BJ291" s="38" t="s">
        <v>107</v>
      </c>
      <c r="BK291" s="38">
        <v>1</v>
      </c>
      <c r="BL291" s="38"/>
      <c r="BM291" s="40" t="s">
        <v>91</v>
      </c>
      <c r="BN291" s="40">
        <v>3118228010</v>
      </c>
      <c r="BO291" s="40"/>
      <c r="BP291" s="42" t="s">
        <v>84</v>
      </c>
    </row>
    <row r="292" spans="1:68" x14ac:dyDescent="0.25">
      <c r="A292" s="43"/>
      <c r="B292" s="44"/>
      <c r="C292" s="45"/>
      <c r="D292" s="58"/>
      <c r="E292" s="58"/>
      <c r="F292" s="58"/>
      <c r="G292" s="58"/>
      <c r="H292" s="59"/>
      <c r="I292" s="59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  <c r="Z292" s="124" t="s">
        <v>434</v>
      </c>
      <c r="AA292" s="124" t="s">
        <v>509</v>
      </c>
      <c r="AB292" s="124" t="str">
        <f t="shared" si="23"/>
        <v>Aseo Personal-Quincenal</v>
      </c>
      <c r="AC292" s="39"/>
      <c r="AD292" s="39"/>
      <c r="AE292" s="124"/>
      <c r="AF292" s="124"/>
      <c r="AG292" s="124" t="str">
        <f t="shared" si="21"/>
        <v>-</v>
      </c>
      <c r="AH292" s="124"/>
      <c r="AI292" s="59"/>
      <c r="AJ292" s="39"/>
      <c r="AK292" s="124"/>
      <c r="AL292" s="124"/>
      <c r="AM292" s="124"/>
      <c r="AN292" s="39"/>
      <c r="AO292" s="39"/>
      <c r="AP292" s="39"/>
      <c r="AQ292" s="39"/>
      <c r="AR292" s="39"/>
      <c r="AS292" s="39"/>
      <c r="AT292" s="39"/>
      <c r="AU292" s="39"/>
      <c r="AV292" s="39"/>
      <c r="AW292" s="39"/>
      <c r="AX292" s="39"/>
      <c r="AY292" s="39"/>
      <c r="AZ292" s="39"/>
      <c r="BA292" s="39"/>
      <c r="BB292" s="39"/>
      <c r="BC292" s="39"/>
      <c r="BD292" s="39"/>
      <c r="BE292" s="39"/>
      <c r="BF292" s="39"/>
      <c r="BG292" s="39"/>
      <c r="BH292" s="39"/>
      <c r="BI292" s="39"/>
      <c r="BJ292" s="39"/>
      <c r="BK292" s="39"/>
      <c r="BL292" s="39"/>
      <c r="BM292" s="46"/>
      <c r="BN292" s="46"/>
      <c r="BO292" s="46"/>
      <c r="BP292" s="48"/>
    </row>
    <row r="293" spans="1:68" x14ac:dyDescent="0.25">
      <c r="A293" s="43"/>
      <c r="B293" s="44"/>
      <c r="C293" s="45"/>
      <c r="D293" s="58"/>
      <c r="E293" s="58"/>
      <c r="F293" s="58"/>
      <c r="G293" s="58"/>
      <c r="H293" s="59"/>
      <c r="I293" s="59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  <c r="Z293" s="129" t="s">
        <v>77</v>
      </c>
      <c r="AA293" s="124" t="s">
        <v>509</v>
      </c>
      <c r="AB293" s="124" t="str">
        <f t="shared" si="23"/>
        <v>Limpieza-Quincenal</v>
      </c>
      <c r="AC293" s="39"/>
      <c r="AD293" s="39"/>
      <c r="AE293" s="124"/>
      <c r="AF293" s="124"/>
      <c r="AG293" s="124" t="str">
        <f t="shared" si="21"/>
        <v>-</v>
      </c>
      <c r="AH293" s="124"/>
      <c r="AI293" s="59"/>
      <c r="AJ293" s="39"/>
      <c r="AK293" s="124"/>
      <c r="AL293" s="124"/>
      <c r="AM293" s="124"/>
      <c r="AN293" s="39"/>
      <c r="AO293" s="39"/>
      <c r="AP293" s="39"/>
      <c r="AQ293" s="39"/>
      <c r="AR293" s="39"/>
      <c r="AS293" s="39"/>
      <c r="AT293" s="39"/>
      <c r="AU293" s="39"/>
      <c r="AV293" s="39"/>
      <c r="AW293" s="39"/>
      <c r="AX293" s="39"/>
      <c r="AY293" s="39"/>
      <c r="AZ293" s="39"/>
      <c r="BA293" s="39"/>
      <c r="BB293" s="39"/>
      <c r="BC293" s="39"/>
      <c r="BD293" s="39"/>
      <c r="BE293" s="39"/>
      <c r="BF293" s="39"/>
      <c r="BG293" s="39"/>
      <c r="BH293" s="39"/>
      <c r="BI293" s="39"/>
      <c r="BJ293" s="39"/>
      <c r="BK293" s="39"/>
      <c r="BL293" s="39"/>
      <c r="BM293" s="46"/>
      <c r="BN293" s="46"/>
      <c r="BO293" s="46"/>
      <c r="BP293" s="48"/>
    </row>
    <row r="294" spans="1:68" x14ac:dyDescent="0.25">
      <c r="A294" s="49"/>
      <c r="B294" s="50"/>
      <c r="C294" s="51"/>
      <c r="D294" s="60"/>
      <c r="E294" s="60"/>
      <c r="F294" s="60"/>
      <c r="G294" s="60"/>
      <c r="H294" s="61"/>
      <c r="I294" s="61"/>
      <c r="J294" s="61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125" t="s">
        <v>188</v>
      </c>
      <c r="AA294" s="125" t="s">
        <v>436</v>
      </c>
      <c r="AB294" s="125" t="str">
        <f t="shared" si="23"/>
        <v>Dulces y paquetes-Semanal</v>
      </c>
      <c r="AC294" s="7"/>
      <c r="AD294" s="7"/>
      <c r="AE294" s="125"/>
      <c r="AF294" s="125"/>
      <c r="AG294" s="125" t="str">
        <f t="shared" si="21"/>
        <v>-</v>
      </c>
      <c r="AH294" s="125"/>
      <c r="AI294" s="61"/>
      <c r="AJ294" s="7"/>
      <c r="AK294" s="125"/>
      <c r="AL294" s="125"/>
      <c r="AM294" s="125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52"/>
      <c r="BN294" s="52"/>
      <c r="BO294" s="52"/>
      <c r="BP294" s="54"/>
    </row>
    <row r="295" spans="1:68" x14ac:dyDescent="0.25">
      <c r="A295" s="35">
        <v>73</v>
      </c>
      <c r="B295" s="36">
        <v>44802</v>
      </c>
      <c r="C295" s="37" t="s">
        <v>395</v>
      </c>
      <c r="D295" s="56">
        <v>2</v>
      </c>
      <c r="E295" s="56">
        <v>2</v>
      </c>
      <c r="F295" s="56">
        <v>1</v>
      </c>
      <c r="G295" s="56">
        <v>12</v>
      </c>
      <c r="H295" s="57">
        <v>2</v>
      </c>
      <c r="I295" s="57">
        <v>1</v>
      </c>
      <c r="J295" s="57">
        <v>1</v>
      </c>
      <c r="K295" s="57">
        <v>1</v>
      </c>
      <c r="L295" s="57">
        <v>1</v>
      </c>
      <c r="M295" s="57">
        <v>3</v>
      </c>
      <c r="N295" s="57">
        <v>3</v>
      </c>
      <c r="O295" s="57">
        <v>2</v>
      </c>
      <c r="P295" s="57"/>
      <c r="Q295" s="57">
        <v>3</v>
      </c>
      <c r="R295" s="57" t="s">
        <v>169</v>
      </c>
      <c r="S295" s="57" t="s">
        <v>111</v>
      </c>
      <c r="T295" s="57"/>
      <c r="U295" s="57"/>
      <c r="V295" s="57"/>
      <c r="W295" s="57" t="s">
        <v>76</v>
      </c>
      <c r="X295" s="57" t="s">
        <v>240</v>
      </c>
      <c r="Y295" s="57"/>
      <c r="Z295" s="123" t="s">
        <v>433</v>
      </c>
      <c r="AA295" s="123" t="s">
        <v>509</v>
      </c>
      <c r="AB295" s="123" t="str">
        <f t="shared" si="23"/>
        <v>Droguería-Quincenal</v>
      </c>
      <c r="AC295" s="38" t="s">
        <v>77</v>
      </c>
      <c r="AD295" s="38" t="s">
        <v>78</v>
      </c>
      <c r="AE295" s="123" t="s">
        <v>448</v>
      </c>
      <c r="AF295" s="123" t="s">
        <v>437</v>
      </c>
      <c r="AG295" s="123" t="str">
        <f t="shared" si="21"/>
        <v>Asesoramiento-Diario</v>
      </c>
      <c r="AH295" s="123"/>
      <c r="AI295" s="57">
        <v>2</v>
      </c>
      <c r="AJ295" s="38"/>
      <c r="AK295" s="123" t="s">
        <v>433</v>
      </c>
      <c r="AL295" s="123" t="s">
        <v>449</v>
      </c>
      <c r="AM295" s="123" t="str">
        <f t="shared" si="22"/>
        <v>Droguería-Depende de la Provisión</v>
      </c>
      <c r="AN295" s="38" t="s">
        <v>100</v>
      </c>
      <c r="AO295" s="38">
        <v>1</v>
      </c>
      <c r="AP295" s="38">
        <v>2</v>
      </c>
      <c r="AQ295" s="38"/>
      <c r="AR295" s="38">
        <v>2</v>
      </c>
      <c r="AS295" s="38"/>
      <c r="AT295" s="38">
        <v>1</v>
      </c>
      <c r="AU295" s="38"/>
      <c r="AV295" s="38">
        <v>1</v>
      </c>
      <c r="AW295" s="38"/>
      <c r="AX295" s="38">
        <v>1</v>
      </c>
      <c r="AY295" s="38"/>
      <c r="AZ295" s="38">
        <v>2</v>
      </c>
      <c r="BA295" s="38"/>
      <c r="BB295" s="38">
        <v>6</v>
      </c>
      <c r="BC295" s="38"/>
      <c r="BD295" s="38">
        <v>4</v>
      </c>
      <c r="BE295" s="38"/>
      <c r="BF295" s="38">
        <v>4</v>
      </c>
      <c r="BG295" s="38"/>
      <c r="BH295" s="38">
        <v>2</v>
      </c>
      <c r="BI295" s="38" t="s">
        <v>80</v>
      </c>
      <c r="BJ295" s="38" t="s">
        <v>396</v>
      </c>
      <c r="BK295" s="38">
        <v>1</v>
      </c>
      <c r="BL295" s="38"/>
      <c r="BM295" s="40" t="s">
        <v>397</v>
      </c>
      <c r="BN295" s="40">
        <v>3146611650</v>
      </c>
      <c r="BO295" s="41" t="s">
        <v>398</v>
      </c>
      <c r="BP295" s="42" t="s">
        <v>84</v>
      </c>
    </row>
    <row r="296" spans="1:68" x14ac:dyDescent="0.25">
      <c r="A296" s="43"/>
      <c r="B296" s="44"/>
      <c r="C296" s="45"/>
      <c r="D296" s="58"/>
      <c r="E296" s="58"/>
      <c r="F296" s="58"/>
      <c r="G296" s="58"/>
      <c r="H296" s="59"/>
      <c r="I296" s="59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124" t="s">
        <v>434</v>
      </c>
      <c r="AA296" s="124" t="s">
        <v>509</v>
      </c>
      <c r="AB296" s="124" t="str">
        <f t="shared" si="23"/>
        <v>Aseo Personal-Quincenal</v>
      </c>
      <c r="AC296" s="39"/>
      <c r="AD296" s="39"/>
      <c r="AE296" s="124" t="s">
        <v>440</v>
      </c>
      <c r="AF296" s="124" t="s">
        <v>437</v>
      </c>
      <c r="AG296" s="124" t="str">
        <f t="shared" si="21"/>
        <v>Domicilios-Diario</v>
      </c>
      <c r="AH296" s="124"/>
      <c r="AI296" s="59"/>
      <c r="AJ296" s="39"/>
      <c r="AK296" s="124" t="s">
        <v>435</v>
      </c>
      <c r="AL296" s="124" t="s">
        <v>436</v>
      </c>
      <c r="AM296" s="124" t="str">
        <f t="shared" si="22"/>
        <v>Dulces y Paquetes-Semanal</v>
      </c>
      <c r="AN296" s="39"/>
      <c r="AO296" s="39"/>
      <c r="AP296" s="39"/>
      <c r="AQ296" s="39"/>
      <c r="AR296" s="39"/>
      <c r="AS296" s="39"/>
      <c r="AT296" s="39"/>
      <c r="AU296" s="39"/>
      <c r="AV296" s="39"/>
      <c r="AW296" s="39"/>
      <c r="AX296" s="39"/>
      <c r="AY296" s="39"/>
      <c r="AZ296" s="39"/>
      <c r="BA296" s="39"/>
      <c r="BB296" s="39"/>
      <c r="BC296" s="39"/>
      <c r="BD296" s="39"/>
      <c r="BE296" s="39"/>
      <c r="BF296" s="39"/>
      <c r="BG296" s="39"/>
      <c r="BH296" s="39"/>
      <c r="BI296" s="39"/>
      <c r="BJ296" s="39"/>
      <c r="BK296" s="39"/>
      <c r="BL296" s="39"/>
      <c r="BM296" s="46"/>
      <c r="BN296" s="46"/>
      <c r="BO296" s="47"/>
      <c r="BP296" s="48"/>
    </row>
    <row r="297" spans="1:68" x14ac:dyDescent="0.25">
      <c r="A297" s="43"/>
      <c r="B297" s="44"/>
      <c r="C297" s="45"/>
      <c r="D297" s="58"/>
      <c r="E297" s="58"/>
      <c r="F297" s="58"/>
      <c r="G297" s="58"/>
      <c r="H297" s="59"/>
      <c r="I297" s="59"/>
      <c r="J297" s="59"/>
      <c r="K297" s="59"/>
      <c r="L297" s="59"/>
      <c r="M297" s="59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  <c r="Z297" s="124" t="s">
        <v>188</v>
      </c>
      <c r="AA297" s="124" t="s">
        <v>436</v>
      </c>
      <c r="AB297" s="124" t="str">
        <f t="shared" si="23"/>
        <v>Dulces y paquetes-Semanal</v>
      </c>
      <c r="AC297" s="39"/>
      <c r="AD297" s="39"/>
      <c r="AE297" s="124" t="s">
        <v>441</v>
      </c>
      <c r="AF297" s="124" t="s">
        <v>437</v>
      </c>
      <c r="AG297" s="124" t="str">
        <f t="shared" si="21"/>
        <v>Atención al Cliente-Diario</v>
      </c>
      <c r="AH297" s="124"/>
      <c r="AI297" s="59"/>
      <c r="AJ297" s="39"/>
      <c r="AK297" s="124" t="s">
        <v>434</v>
      </c>
      <c r="AL297" s="124" t="s">
        <v>442</v>
      </c>
      <c r="AM297" s="124" t="str">
        <f t="shared" si="22"/>
        <v>Aseo Personal-Mensual</v>
      </c>
      <c r="AN297" s="39"/>
      <c r="AO297" s="39"/>
      <c r="AP297" s="39"/>
      <c r="AQ297" s="39"/>
      <c r="AR297" s="39"/>
      <c r="AS297" s="39"/>
      <c r="AT297" s="39"/>
      <c r="AU297" s="39"/>
      <c r="AV297" s="39"/>
      <c r="AW297" s="39"/>
      <c r="AX297" s="39"/>
      <c r="AY297" s="39"/>
      <c r="AZ297" s="39"/>
      <c r="BA297" s="39"/>
      <c r="BB297" s="39"/>
      <c r="BC297" s="39"/>
      <c r="BD297" s="39"/>
      <c r="BE297" s="39"/>
      <c r="BF297" s="39"/>
      <c r="BG297" s="39"/>
      <c r="BH297" s="39"/>
      <c r="BI297" s="39"/>
      <c r="BJ297" s="39"/>
      <c r="BK297" s="39"/>
      <c r="BL297" s="39"/>
      <c r="BM297" s="46"/>
      <c r="BN297" s="46"/>
      <c r="BO297" s="47"/>
      <c r="BP297" s="48"/>
    </row>
    <row r="298" spans="1:68" x14ac:dyDescent="0.25">
      <c r="A298" s="49"/>
      <c r="B298" s="50"/>
      <c r="C298" s="51"/>
      <c r="D298" s="60"/>
      <c r="E298" s="60"/>
      <c r="F298" s="60"/>
      <c r="G298" s="60"/>
      <c r="H298" s="61"/>
      <c r="I298" s="61"/>
      <c r="J298" s="61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125"/>
      <c r="AA298" s="125"/>
      <c r="AB298" s="124"/>
      <c r="AC298" s="7"/>
      <c r="AD298" s="7"/>
      <c r="AE298" s="125"/>
      <c r="AF298" s="125"/>
      <c r="AG298" s="125" t="str">
        <f t="shared" si="21"/>
        <v>-</v>
      </c>
      <c r="AH298" s="125"/>
      <c r="AI298" s="61"/>
      <c r="AJ298" s="7"/>
      <c r="AK298" s="125" t="s">
        <v>77</v>
      </c>
      <c r="AL298" s="125" t="s">
        <v>442</v>
      </c>
      <c r="AM298" s="125" t="str">
        <f t="shared" si="22"/>
        <v>Limpieza-Mensual</v>
      </c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52"/>
      <c r="BN298" s="52"/>
      <c r="BO298" s="53"/>
      <c r="BP298" s="54"/>
    </row>
    <row r="299" spans="1:68" x14ac:dyDescent="0.25">
      <c r="A299" s="13">
        <v>74</v>
      </c>
      <c r="B299" s="9">
        <v>44802</v>
      </c>
      <c r="C299" s="1" t="s">
        <v>399</v>
      </c>
      <c r="D299" s="62">
        <v>2</v>
      </c>
      <c r="E299" s="62">
        <v>1</v>
      </c>
      <c r="F299" s="62">
        <v>1</v>
      </c>
      <c r="G299" s="62">
        <v>12</v>
      </c>
      <c r="H299" s="12">
        <v>3</v>
      </c>
      <c r="I299" s="12">
        <v>1</v>
      </c>
      <c r="J299" s="12">
        <v>1</v>
      </c>
      <c r="K299" s="12">
        <v>2</v>
      </c>
      <c r="L299" s="12">
        <v>1</v>
      </c>
      <c r="M299" s="12">
        <v>3</v>
      </c>
      <c r="N299" s="12">
        <v>3</v>
      </c>
      <c r="O299" s="12">
        <v>2</v>
      </c>
      <c r="P299" s="12"/>
      <c r="Q299" s="12">
        <v>3</v>
      </c>
      <c r="R299" s="12" t="s">
        <v>400</v>
      </c>
      <c r="S299" s="12"/>
      <c r="T299" s="12"/>
      <c r="U299" s="12"/>
      <c r="V299" s="12" t="s">
        <v>125</v>
      </c>
      <c r="W299" s="12" t="s">
        <v>96</v>
      </c>
      <c r="X299" s="12"/>
      <c r="Y299" s="12"/>
      <c r="Z299" s="130" t="s">
        <v>77</v>
      </c>
      <c r="AA299" s="130" t="s">
        <v>442</v>
      </c>
      <c r="AB299" s="130" t="str">
        <f t="shared" si="23"/>
        <v>Limpieza-Mensual</v>
      </c>
      <c r="AC299" s="2" t="s">
        <v>77</v>
      </c>
      <c r="AD299" s="2" t="s">
        <v>401</v>
      </c>
      <c r="AE299" s="130" t="s">
        <v>441</v>
      </c>
      <c r="AF299" s="130" t="s">
        <v>437</v>
      </c>
      <c r="AG299" s="130" t="str">
        <f t="shared" si="21"/>
        <v>Atención al Cliente-Diario</v>
      </c>
      <c r="AH299" s="130"/>
      <c r="AI299" s="12"/>
      <c r="AJ299" s="2"/>
      <c r="AK299" s="130" t="s">
        <v>77</v>
      </c>
      <c r="AL299" s="130" t="s">
        <v>442</v>
      </c>
      <c r="AM299" s="130" t="str">
        <f t="shared" si="22"/>
        <v>Limpieza-Mensual</v>
      </c>
      <c r="AN299" s="2" t="s">
        <v>104</v>
      </c>
      <c r="AO299" s="2">
        <v>1</v>
      </c>
      <c r="AP299" s="2">
        <v>2</v>
      </c>
      <c r="AQ299" s="2"/>
      <c r="AR299" s="2">
        <v>2</v>
      </c>
      <c r="AS299" s="2"/>
      <c r="AT299" s="2">
        <v>3</v>
      </c>
      <c r="AU299" s="2"/>
      <c r="AV299" s="2">
        <v>1</v>
      </c>
      <c r="AW299" s="2"/>
      <c r="AX299" s="2">
        <v>1</v>
      </c>
      <c r="AY299" s="2"/>
      <c r="AZ299" s="2">
        <v>2</v>
      </c>
      <c r="BA299" s="2"/>
      <c r="BB299" s="2">
        <v>6</v>
      </c>
      <c r="BC299" s="2"/>
      <c r="BD299" s="2">
        <v>4</v>
      </c>
      <c r="BE299" s="2"/>
      <c r="BF299" s="2">
        <v>6</v>
      </c>
      <c r="BG299" s="2"/>
      <c r="BH299" s="2">
        <v>3</v>
      </c>
      <c r="BI299" s="2" t="s">
        <v>381</v>
      </c>
      <c r="BJ299" s="2" t="s">
        <v>96</v>
      </c>
      <c r="BK299" s="2">
        <v>1</v>
      </c>
      <c r="BL299" s="2"/>
      <c r="BM299" s="6" t="s">
        <v>91</v>
      </c>
      <c r="BN299" s="6">
        <v>3142558963</v>
      </c>
      <c r="BO299" s="8" t="s">
        <v>402</v>
      </c>
      <c r="BP299" s="14" t="s">
        <v>84</v>
      </c>
    </row>
    <row r="300" spans="1:68" x14ac:dyDescent="0.25">
      <c r="A300" s="35">
        <v>75</v>
      </c>
      <c r="B300" s="36">
        <v>44804</v>
      </c>
      <c r="C300" s="37" t="s">
        <v>403</v>
      </c>
      <c r="D300" s="56">
        <v>1</v>
      </c>
      <c r="E300" s="56">
        <v>2</v>
      </c>
      <c r="F300" s="56">
        <v>1</v>
      </c>
      <c r="G300" s="56">
        <v>12</v>
      </c>
      <c r="H300" s="57">
        <v>1</v>
      </c>
      <c r="I300" s="57">
        <v>2</v>
      </c>
      <c r="J300" s="57">
        <v>3</v>
      </c>
      <c r="K300" s="57">
        <v>2</v>
      </c>
      <c r="L300" s="57">
        <v>2</v>
      </c>
      <c r="M300" s="57">
        <v>3</v>
      </c>
      <c r="N300" s="57">
        <v>3</v>
      </c>
      <c r="O300" s="57">
        <v>3</v>
      </c>
      <c r="P300" s="57"/>
      <c r="Q300" s="57">
        <v>3</v>
      </c>
      <c r="R300" s="57" t="s">
        <v>294</v>
      </c>
      <c r="S300" s="57" t="s">
        <v>169</v>
      </c>
      <c r="T300" s="57"/>
      <c r="U300" s="57"/>
      <c r="V300" s="57" t="s">
        <v>76</v>
      </c>
      <c r="W300" s="57" t="s">
        <v>350</v>
      </c>
      <c r="X300" s="57"/>
      <c r="Y300" s="57"/>
      <c r="Z300" s="123" t="s">
        <v>434</v>
      </c>
      <c r="AA300" s="123" t="s">
        <v>437</v>
      </c>
      <c r="AB300" s="123" t="str">
        <f t="shared" si="23"/>
        <v>Aseo Personal-Diario</v>
      </c>
      <c r="AC300" s="38" t="s">
        <v>77</v>
      </c>
      <c r="AD300" s="38" t="s">
        <v>78</v>
      </c>
      <c r="AE300" s="123" t="s">
        <v>441</v>
      </c>
      <c r="AF300" s="123" t="s">
        <v>437</v>
      </c>
      <c r="AG300" s="123" t="str">
        <f t="shared" si="21"/>
        <v>Atención al Cliente-Diario</v>
      </c>
      <c r="AH300" s="123"/>
      <c r="AI300" s="57">
        <v>2</v>
      </c>
      <c r="AJ300" s="38"/>
      <c r="AK300" s="123" t="s">
        <v>434</v>
      </c>
      <c r="AL300" s="123" t="s">
        <v>442</v>
      </c>
      <c r="AM300" s="123" t="str">
        <f t="shared" si="22"/>
        <v>Aseo Personal-Mensual</v>
      </c>
      <c r="AN300" s="38" t="s">
        <v>166</v>
      </c>
      <c r="AO300" s="38">
        <v>1</v>
      </c>
      <c r="AP300" s="38">
        <v>1</v>
      </c>
      <c r="AQ300" s="38"/>
      <c r="AR300" s="38">
        <v>2</v>
      </c>
      <c r="AS300" s="38"/>
      <c r="AT300" s="38">
        <v>1</v>
      </c>
      <c r="AU300" s="38"/>
      <c r="AV300" s="38">
        <v>2</v>
      </c>
      <c r="AW300" s="38"/>
      <c r="AX300" s="38">
        <v>3</v>
      </c>
      <c r="AY300" s="38"/>
      <c r="AZ300" s="38">
        <v>2</v>
      </c>
      <c r="BA300" s="38"/>
      <c r="BB300" s="38">
        <v>1</v>
      </c>
      <c r="BC300" s="38"/>
      <c r="BD300" s="38">
        <v>2</v>
      </c>
      <c r="BE300" s="38"/>
      <c r="BF300" s="38">
        <v>4</v>
      </c>
      <c r="BG300" s="38"/>
      <c r="BH300" s="38">
        <v>3</v>
      </c>
      <c r="BI300" s="38" t="s">
        <v>80</v>
      </c>
      <c r="BJ300" s="38" t="s">
        <v>381</v>
      </c>
      <c r="BK300" s="38">
        <v>1</v>
      </c>
      <c r="BL300" s="38"/>
      <c r="BM300" s="40" t="s">
        <v>91</v>
      </c>
      <c r="BN300" s="40">
        <v>3103487207</v>
      </c>
      <c r="BO300" s="40"/>
      <c r="BP300" s="42" t="s">
        <v>84</v>
      </c>
    </row>
    <row r="301" spans="1:68" x14ac:dyDescent="0.25">
      <c r="A301" s="49"/>
      <c r="B301" s="50"/>
      <c r="C301" s="51"/>
      <c r="D301" s="60"/>
      <c r="E301" s="60"/>
      <c r="F301" s="60"/>
      <c r="G301" s="60"/>
      <c r="H301" s="61"/>
      <c r="I301" s="61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125" t="s">
        <v>77</v>
      </c>
      <c r="AA301" s="125" t="s">
        <v>437</v>
      </c>
      <c r="AB301" s="125" t="str">
        <f t="shared" si="23"/>
        <v>Limpieza-Diario</v>
      </c>
      <c r="AC301" s="7"/>
      <c r="AD301" s="7"/>
      <c r="AE301" s="125"/>
      <c r="AF301" s="125"/>
      <c r="AG301" s="125" t="str">
        <f t="shared" si="21"/>
        <v>-</v>
      </c>
      <c r="AH301" s="125"/>
      <c r="AI301" s="61"/>
      <c r="AJ301" s="7"/>
      <c r="AK301" s="125" t="s">
        <v>77</v>
      </c>
      <c r="AL301" s="125" t="s">
        <v>442</v>
      </c>
      <c r="AM301" s="125" t="str">
        <f t="shared" si="22"/>
        <v>Limpieza-Mensual</v>
      </c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52"/>
      <c r="BN301" s="52"/>
      <c r="BO301" s="52"/>
      <c r="BP301" s="54"/>
    </row>
    <row r="302" spans="1:68" x14ac:dyDescent="0.25">
      <c r="A302" s="35">
        <v>76</v>
      </c>
      <c r="B302" s="36">
        <v>44801</v>
      </c>
      <c r="C302" s="37" t="s">
        <v>404</v>
      </c>
      <c r="D302" s="56">
        <v>2</v>
      </c>
      <c r="E302" s="56">
        <v>1</v>
      </c>
      <c r="F302" s="56">
        <v>1</v>
      </c>
      <c r="G302" s="56">
        <v>12</v>
      </c>
      <c r="H302" s="57">
        <v>3</v>
      </c>
      <c r="I302" s="57">
        <v>1</v>
      </c>
      <c r="J302" s="57">
        <v>2</v>
      </c>
      <c r="K302" s="57">
        <v>2</v>
      </c>
      <c r="L302" s="57">
        <v>1</v>
      </c>
      <c r="M302" s="57">
        <v>3</v>
      </c>
      <c r="N302" s="57">
        <v>3</v>
      </c>
      <c r="O302" s="57">
        <v>2</v>
      </c>
      <c r="P302" s="57"/>
      <c r="Q302" s="57">
        <v>2</v>
      </c>
      <c r="R302" s="57" t="s">
        <v>405</v>
      </c>
      <c r="S302" s="57"/>
      <c r="T302" s="57"/>
      <c r="U302" s="57"/>
      <c r="V302" s="57" t="s">
        <v>125</v>
      </c>
      <c r="W302" s="57" t="s">
        <v>350</v>
      </c>
      <c r="X302" s="57"/>
      <c r="Y302" s="57"/>
      <c r="Z302" s="123" t="s">
        <v>434</v>
      </c>
      <c r="AA302" s="123" t="s">
        <v>436</v>
      </c>
      <c r="AB302" s="123" t="str">
        <f t="shared" si="23"/>
        <v>Aseo Personal-Semanal</v>
      </c>
      <c r="AC302" s="38" t="s">
        <v>77</v>
      </c>
      <c r="AD302" s="38" t="s">
        <v>89</v>
      </c>
      <c r="AE302" s="123" t="s">
        <v>178</v>
      </c>
      <c r="AF302" s="123" t="s">
        <v>442</v>
      </c>
      <c r="AG302" s="123" t="str">
        <f t="shared" si="21"/>
        <v>Promociones-Mensual</v>
      </c>
      <c r="AH302" s="123" t="s">
        <v>552</v>
      </c>
      <c r="AI302" s="57">
        <v>2</v>
      </c>
      <c r="AJ302" s="38"/>
      <c r="AK302" s="123" t="s">
        <v>434</v>
      </c>
      <c r="AL302" s="123" t="s">
        <v>436</v>
      </c>
      <c r="AM302" s="123" t="str">
        <f t="shared" si="22"/>
        <v>Aseo Personal-Semanal</v>
      </c>
      <c r="AN302" s="38" t="s">
        <v>104</v>
      </c>
      <c r="AO302" s="38">
        <v>1</v>
      </c>
      <c r="AP302" s="38">
        <v>2</v>
      </c>
      <c r="AQ302" s="38"/>
      <c r="AR302" s="38">
        <v>2</v>
      </c>
      <c r="AS302" s="38"/>
      <c r="AT302" s="38">
        <v>1</v>
      </c>
      <c r="AU302" s="38"/>
      <c r="AV302" s="38">
        <v>1</v>
      </c>
      <c r="AW302" s="38"/>
      <c r="AX302" s="38">
        <v>1</v>
      </c>
      <c r="AY302" s="38"/>
      <c r="AZ302" s="38">
        <v>2</v>
      </c>
      <c r="BA302" s="38"/>
      <c r="BB302" s="38">
        <v>6</v>
      </c>
      <c r="BC302" s="38"/>
      <c r="BD302" s="38">
        <v>4</v>
      </c>
      <c r="BE302" s="38"/>
      <c r="BF302" s="38">
        <v>6</v>
      </c>
      <c r="BG302" s="38"/>
      <c r="BH302" s="38">
        <v>4</v>
      </c>
      <c r="BI302" s="38" t="s">
        <v>406</v>
      </c>
      <c r="BJ302" s="38" t="s">
        <v>107</v>
      </c>
      <c r="BK302" s="38">
        <v>4</v>
      </c>
      <c r="BL302" s="38"/>
      <c r="BM302" s="40" t="s">
        <v>91</v>
      </c>
      <c r="BN302" s="40">
        <v>3203085963</v>
      </c>
      <c r="BO302" s="41" t="s">
        <v>407</v>
      </c>
      <c r="BP302" s="42" t="s">
        <v>84</v>
      </c>
    </row>
    <row r="303" spans="1:68" x14ac:dyDescent="0.25">
      <c r="A303" s="43"/>
      <c r="B303" s="44"/>
      <c r="C303" s="45"/>
      <c r="D303" s="58"/>
      <c r="E303" s="58"/>
      <c r="F303" s="58"/>
      <c r="G303" s="58"/>
      <c r="H303" s="59"/>
      <c r="I303" s="59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  <c r="Z303" s="124" t="s">
        <v>77</v>
      </c>
      <c r="AA303" s="124" t="s">
        <v>436</v>
      </c>
      <c r="AB303" s="124" t="str">
        <f t="shared" si="23"/>
        <v>Limpieza-Semanal</v>
      </c>
      <c r="AC303" s="39"/>
      <c r="AD303" s="39"/>
      <c r="AE303" s="124" t="s">
        <v>439</v>
      </c>
      <c r="AF303" s="124" t="s">
        <v>442</v>
      </c>
      <c r="AG303" s="124" t="str">
        <f t="shared" si="21"/>
        <v>Descuento-Mensual</v>
      </c>
      <c r="AH303" s="124" t="s">
        <v>549</v>
      </c>
      <c r="AI303" s="59"/>
      <c r="AJ303" s="39"/>
      <c r="AK303" s="124" t="s">
        <v>77</v>
      </c>
      <c r="AL303" s="124" t="s">
        <v>436</v>
      </c>
      <c r="AM303" s="124" t="str">
        <f t="shared" si="22"/>
        <v>Limpieza-Semanal</v>
      </c>
      <c r="AN303" s="39"/>
      <c r="AO303" s="39"/>
      <c r="AP303" s="39"/>
      <c r="AQ303" s="39"/>
      <c r="AR303" s="39"/>
      <c r="AS303" s="39"/>
      <c r="AT303" s="39"/>
      <c r="AU303" s="39"/>
      <c r="AV303" s="39"/>
      <c r="AW303" s="39"/>
      <c r="AX303" s="39"/>
      <c r="AY303" s="39"/>
      <c r="AZ303" s="39"/>
      <c r="BA303" s="39"/>
      <c r="BB303" s="39"/>
      <c r="BC303" s="39"/>
      <c r="BD303" s="39"/>
      <c r="BE303" s="39"/>
      <c r="BF303" s="39"/>
      <c r="BG303" s="39"/>
      <c r="BH303" s="39"/>
      <c r="BI303" s="39"/>
      <c r="BJ303" s="39"/>
      <c r="BK303" s="39"/>
      <c r="BL303" s="39"/>
      <c r="BM303" s="46"/>
      <c r="BN303" s="46"/>
      <c r="BO303" s="47"/>
      <c r="BP303" s="48"/>
    </row>
    <row r="304" spans="1:68" x14ac:dyDescent="0.25">
      <c r="A304" s="43"/>
      <c r="B304" s="44"/>
      <c r="C304" s="45"/>
      <c r="D304" s="58"/>
      <c r="E304" s="58"/>
      <c r="F304" s="58"/>
      <c r="G304" s="58"/>
      <c r="H304" s="59"/>
      <c r="I304" s="59"/>
      <c r="J304" s="59"/>
      <c r="K304" s="59"/>
      <c r="L304" s="59"/>
      <c r="M304" s="59"/>
      <c r="N304" s="59"/>
      <c r="O304" s="59"/>
      <c r="P304" s="59"/>
      <c r="Q304" s="59"/>
      <c r="R304" s="59"/>
      <c r="S304" s="59"/>
      <c r="T304" s="59"/>
      <c r="U304" s="59"/>
      <c r="V304" s="59"/>
      <c r="W304" s="59"/>
      <c r="X304" s="59"/>
      <c r="Y304" s="59"/>
      <c r="Z304" s="124"/>
      <c r="AA304" s="124"/>
      <c r="AB304" s="124"/>
      <c r="AC304" s="39"/>
      <c r="AD304" s="39"/>
      <c r="AE304" s="124" t="s">
        <v>440</v>
      </c>
      <c r="AF304" s="124" t="s">
        <v>437</v>
      </c>
      <c r="AG304" s="124" t="str">
        <f t="shared" si="21"/>
        <v>Domicilios-Diario</v>
      </c>
      <c r="AH304" s="124" t="s">
        <v>553</v>
      </c>
      <c r="AI304" s="59"/>
      <c r="AJ304" s="39"/>
      <c r="AK304" s="124"/>
      <c r="AL304" s="124"/>
      <c r="AM304" s="124"/>
      <c r="AN304" s="39"/>
      <c r="AO304" s="39"/>
      <c r="AP304" s="39"/>
      <c r="AQ304" s="39"/>
      <c r="AR304" s="39"/>
      <c r="AS304" s="39"/>
      <c r="AT304" s="39"/>
      <c r="AU304" s="39"/>
      <c r="AV304" s="39"/>
      <c r="AW304" s="39"/>
      <c r="AX304" s="39"/>
      <c r="AY304" s="39"/>
      <c r="AZ304" s="39"/>
      <c r="BA304" s="39"/>
      <c r="BB304" s="39"/>
      <c r="BC304" s="39"/>
      <c r="BD304" s="39"/>
      <c r="BE304" s="39"/>
      <c r="BF304" s="39"/>
      <c r="BG304" s="39"/>
      <c r="BH304" s="39"/>
      <c r="BI304" s="39"/>
      <c r="BJ304" s="39"/>
      <c r="BK304" s="39"/>
      <c r="BL304" s="39"/>
      <c r="BM304" s="46"/>
      <c r="BN304" s="46"/>
      <c r="BO304" s="47"/>
      <c r="BP304" s="48"/>
    </row>
    <row r="305" spans="1:69" x14ac:dyDescent="0.25">
      <c r="A305" s="49"/>
      <c r="B305" s="50"/>
      <c r="C305" s="51"/>
      <c r="D305" s="60"/>
      <c r="E305" s="60"/>
      <c r="F305" s="60"/>
      <c r="G305" s="60"/>
      <c r="H305" s="61"/>
      <c r="I305" s="61"/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125"/>
      <c r="AA305" s="125"/>
      <c r="AB305" s="125"/>
      <c r="AC305" s="7"/>
      <c r="AD305" s="7"/>
      <c r="AE305" s="125" t="s">
        <v>441</v>
      </c>
      <c r="AF305" s="125" t="s">
        <v>437</v>
      </c>
      <c r="AG305" s="125" t="str">
        <f t="shared" si="21"/>
        <v>Atención al Cliente-Diario</v>
      </c>
      <c r="AH305" s="125" t="s">
        <v>608</v>
      </c>
      <c r="AI305" s="61"/>
      <c r="AJ305" s="7"/>
      <c r="AK305" s="125"/>
      <c r="AL305" s="125"/>
      <c r="AM305" s="125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52"/>
      <c r="BN305" s="52"/>
      <c r="BO305" s="53"/>
      <c r="BP305" s="54"/>
    </row>
    <row r="306" spans="1:69" x14ac:dyDescent="0.25">
      <c r="A306" s="37">
        <v>77</v>
      </c>
      <c r="B306" s="36">
        <v>44803</v>
      </c>
      <c r="C306" s="37" t="s">
        <v>408</v>
      </c>
      <c r="D306" s="56">
        <v>1</v>
      </c>
      <c r="E306" s="56">
        <v>1</v>
      </c>
      <c r="F306" s="56">
        <v>1</v>
      </c>
      <c r="G306" s="56">
        <v>12</v>
      </c>
      <c r="H306" s="57">
        <v>3</v>
      </c>
      <c r="I306" s="57">
        <v>1</v>
      </c>
      <c r="J306" s="57">
        <v>1</v>
      </c>
      <c r="K306" s="57">
        <v>2</v>
      </c>
      <c r="L306" s="57">
        <v>1</v>
      </c>
      <c r="M306" s="57">
        <v>3</v>
      </c>
      <c r="N306" s="57">
        <v>3</v>
      </c>
      <c r="O306" s="57">
        <v>2</v>
      </c>
      <c r="P306" s="57"/>
      <c r="Q306" s="57">
        <v>3</v>
      </c>
      <c r="R306" s="57" t="s">
        <v>409</v>
      </c>
      <c r="S306" s="57"/>
      <c r="T306" s="57"/>
      <c r="U306" s="57"/>
      <c r="V306" s="57" t="s">
        <v>240</v>
      </c>
      <c r="W306" s="57" t="s">
        <v>410</v>
      </c>
      <c r="X306" s="86"/>
      <c r="Y306" s="57"/>
      <c r="Z306" s="131" t="s">
        <v>77</v>
      </c>
      <c r="AA306" s="123" t="s">
        <v>437</v>
      </c>
      <c r="AB306" s="132" t="str">
        <f>+CONCATENATE(Z306,"-",AA306)</f>
        <v>Limpieza-Diario</v>
      </c>
      <c r="AC306" s="87" t="s">
        <v>188</v>
      </c>
      <c r="AD306" s="38" t="s">
        <v>321</v>
      </c>
      <c r="AE306" s="131" t="s">
        <v>441</v>
      </c>
      <c r="AF306" s="123" t="s">
        <v>437</v>
      </c>
      <c r="AG306" s="123" t="str">
        <f t="shared" si="21"/>
        <v>Atención al Cliente-Diario</v>
      </c>
      <c r="AH306" s="131"/>
      <c r="AI306" s="57">
        <v>2</v>
      </c>
      <c r="AJ306" s="87"/>
      <c r="AK306" s="123" t="s">
        <v>77</v>
      </c>
      <c r="AL306" s="131" t="s">
        <v>449</v>
      </c>
      <c r="AM306" s="131" t="str">
        <f t="shared" si="22"/>
        <v>Limpieza-Depende de la Provisión</v>
      </c>
      <c r="AN306" s="38" t="s">
        <v>104</v>
      </c>
      <c r="AO306" s="87">
        <v>1</v>
      </c>
      <c r="AP306" s="38">
        <v>2</v>
      </c>
      <c r="AQ306" s="87"/>
      <c r="AR306" s="38">
        <v>2</v>
      </c>
      <c r="AS306" s="38"/>
      <c r="AT306" s="87">
        <v>3</v>
      </c>
      <c r="AU306" s="38"/>
      <c r="AV306" s="87">
        <v>1</v>
      </c>
      <c r="AW306" s="38"/>
      <c r="AX306" s="87">
        <v>1</v>
      </c>
      <c r="AY306" s="38"/>
      <c r="AZ306" s="87">
        <v>2</v>
      </c>
      <c r="BA306" s="38"/>
      <c r="BB306" s="87">
        <v>3</v>
      </c>
      <c r="BC306" s="38"/>
      <c r="BD306" s="87">
        <v>4</v>
      </c>
      <c r="BE306" s="38"/>
      <c r="BF306" s="87">
        <v>4</v>
      </c>
      <c r="BG306" s="38"/>
      <c r="BH306" s="87">
        <v>3</v>
      </c>
      <c r="BI306" s="38" t="s">
        <v>184</v>
      </c>
      <c r="BJ306" s="87" t="s">
        <v>107</v>
      </c>
      <c r="BK306" s="38">
        <v>1</v>
      </c>
      <c r="BL306" s="87"/>
      <c r="BM306" s="40" t="s">
        <v>91</v>
      </c>
      <c r="BN306" s="88">
        <v>3117529149</v>
      </c>
      <c r="BO306" s="40"/>
      <c r="BP306" s="77" t="s">
        <v>84</v>
      </c>
    </row>
    <row r="307" spans="1:69" x14ac:dyDescent="0.25">
      <c r="A307" s="51"/>
      <c r="B307" s="50"/>
      <c r="C307" s="51"/>
      <c r="D307" s="60"/>
      <c r="E307" s="60"/>
      <c r="F307" s="60"/>
      <c r="G307" s="60"/>
      <c r="H307" s="61"/>
      <c r="I307" s="61"/>
      <c r="J307" s="61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85"/>
      <c r="Y307" s="61"/>
      <c r="Z307" s="133"/>
      <c r="AA307" s="125"/>
      <c r="AB307" s="134"/>
      <c r="AC307" s="83"/>
      <c r="AD307" s="7"/>
      <c r="AE307" s="133" t="s">
        <v>448</v>
      </c>
      <c r="AF307" s="125" t="s">
        <v>437</v>
      </c>
      <c r="AG307" s="125" t="str">
        <f t="shared" si="21"/>
        <v>Asesoramiento-Diario</v>
      </c>
      <c r="AH307" s="133"/>
      <c r="AI307" s="61"/>
      <c r="AJ307" s="83"/>
      <c r="AK307" s="125"/>
      <c r="AL307" s="133"/>
      <c r="AM307" s="133"/>
      <c r="AN307" s="7"/>
      <c r="AO307" s="83"/>
      <c r="AP307" s="7"/>
      <c r="AQ307" s="83"/>
      <c r="AR307" s="7"/>
      <c r="AS307" s="7"/>
      <c r="AT307" s="83"/>
      <c r="AU307" s="7"/>
      <c r="AV307" s="83"/>
      <c r="AW307" s="7"/>
      <c r="AX307" s="83"/>
      <c r="AY307" s="7"/>
      <c r="AZ307" s="83"/>
      <c r="BA307" s="7"/>
      <c r="BB307" s="83"/>
      <c r="BC307" s="7"/>
      <c r="BD307" s="83"/>
      <c r="BE307" s="7"/>
      <c r="BF307" s="83"/>
      <c r="BG307" s="7"/>
      <c r="BH307" s="83"/>
      <c r="BI307" s="7"/>
      <c r="BJ307" s="83"/>
      <c r="BK307" s="7"/>
      <c r="BL307" s="83"/>
      <c r="BM307" s="52"/>
      <c r="BN307" s="84"/>
      <c r="BO307" s="52"/>
      <c r="BP307" s="79"/>
    </row>
    <row r="308" spans="1:69" x14ac:dyDescent="0.25">
      <c r="A308" s="15"/>
      <c r="B308" s="15"/>
      <c r="C308" s="15"/>
      <c r="D308" s="15"/>
      <c r="E308" s="15"/>
      <c r="F308" s="15"/>
      <c r="G308" s="15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32"/>
      <c r="AA308" s="32"/>
      <c r="AB308" s="32"/>
      <c r="AC308" s="16"/>
      <c r="AD308" s="16"/>
      <c r="AE308" s="32"/>
      <c r="AF308" s="32"/>
      <c r="AG308" s="32"/>
      <c r="AH308" s="32"/>
      <c r="AI308" s="16"/>
      <c r="AJ308" s="16"/>
      <c r="AK308" s="32"/>
      <c r="AL308" s="32"/>
      <c r="AM308" s="32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0"/>
      <c r="BN308" s="10"/>
      <c r="BO308" s="10"/>
      <c r="BP308" s="10"/>
      <c r="BQ308" s="10"/>
    </row>
    <row r="309" spans="1:69" x14ac:dyDescent="0.25">
      <c r="A309" s="15"/>
      <c r="B309" s="15"/>
      <c r="C309" s="15"/>
      <c r="D309" s="15"/>
      <c r="E309" s="15"/>
      <c r="F309" s="15"/>
      <c r="G309" s="15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32"/>
      <c r="AA309" s="32"/>
      <c r="AB309" s="32"/>
      <c r="AC309" s="16"/>
      <c r="AD309" s="16"/>
      <c r="AE309" s="32"/>
      <c r="AF309" s="32"/>
      <c r="AG309" s="32"/>
      <c r="AH309" s="32"/>
      <c r="AI309" s="16"/>
      <c r="AJ309" s="16"/>
      <c r="AK309" s="32"/>
      <c r="AL309" s="32"/>
      <c r="AM309" s="32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0"/>
      <c r="BN309" s="10"/>
      <c r="BO309" s="10"/>
      <c r="BP309" s="10"/>
      <c r="BQ309" s="10"/>
    </row>
    <row r="310" spans="1:69" x14ac:dyDescent="0.25">
      <c r="A310" s="15"/>
      <c r="B310" s="15"/>
      <c r="C310" s="15"/>
      <c r="D310" s="15"/>
      <c r="E310" s="15"/>
      <c r="F310" s="15"/>
      <c r="G310" s="15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32"/>
      <c r="AA310" s="32"/>
      <c r="AB310" s="32"/>
      <c r="AC310" s="16"/>
      <c r="AD310" s="16"/>
      <c r="AE310" s="32"/>
      <c r="AF310" s="32"/>
      <c r="AG310" s="32"/>
      <c r="AH310" s="32"/>
      <c r="AI310" s="16"/>
      <c r="AJ310" s="16"/>
      <c r="AK310" s="32"/>
      <c r="AL310" s="32"/>
      <c r="AM310" s="32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0"/>
      <c r="BN310" s="10"/>
      <c r="BO310" s="10"/>
      <c r="BP310" s="10"/>
      <c r="BQ310" s="10"/>
    </row>
    <row r="311" spans="1:69" x14ac:dyDescent="0.25">
      <c r="A311" s="15"/>
      <c r="B311" s="15"/>
      <c r="C311" s="15"/>
      <c r="D311" s="15"/>
      <c r="E311" s="15"/>
      <c r="F311" s="15"/>
      <c r="G311" s="15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32"/>
      <c r="AA311" s="32"/>
      <c r="AB311" s="32"/>
      <c r="AC311" s="16"/>
      <c r="AD311" s="16"/>
      <c r="AE311" s="32"/>
      <c r="AF311" s="32"/>
      <c r="AG311" s="32"/>
      <c r="AH311" s="32"/>
      <c r="AI311" s="16"/>
      <c r="AJ311" s="16"/>
      <c r="AK311" s="32"/>
      <c r="AL311" s="32"/>
      <c r="AM311" s="32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0"/>
      <c r="BN311" s="10"/>
      <c r="BO311" s="10"/>
      <c r="BP311" s="10"/>
      <c r="BQ311" s="10"/>
    </row>
    <row r="312" spans="1:69" x14ac:dyDescent="0.25">
      <c r="A312" s="15"/>
      <c r="B312" s="15"/>
      <c r="C312" s="15"/>
      <c r="D312" s="15"/>
      <c r="E312" s="15"/>
      <c r="F312" s="15"/>
      <c r="G312" s="15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32"/>
      <c r="AA312" s="32"/>
      <c r="AB312" s="32"/>
      <c r="AC312" s="16"/>
      <c r="AD312" s="16"/>
      <c r="AE312" s="32"/>
      <c r="AF312" s="32"/>
      <c r="AG312" s="32"/>
      <c r="AH312" s="32"/>
      <c r="AI312" s="16"/>
      <c r="AJ312" s="16"/>
      <c r="AK312" s="32"/>
      <c r="AL312" s="32"/>
      <c r="AM312" s="32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0"/>
      <c r="BN312" s="10"/>
      <c r="BO312" s="10"/>
      <c r="BP312" s="10"/>
      <c r="BQ312" s="10"/>
    </row>
    <row r="313" spans="1:69" x14ac:dyDescent="0.25">
      <c r="A313" s="15"/>
      <c r="B313" s="15"/>
      <c r="C313" s="15"/>
      <c r="D313" s="15"/>
      <c r="E313" s="15"/>
      <c r="F313" s="15"/>
      <c r="G313" s="15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32"/>
      <c r="AA313" s="32"/>
      <c r="AB313" s="32"/>
      <c r="AC313" s="16"/>
      <c r="AD313" s="16"/>
      <c r="AE313" s="32"/>
      <c r="AF313" s="32"/>
      <c r="AG313" s="32"/>
      <c r="AH313" s="32"/>
      <c r="AI313" s="16"/>
      <c r="AJ313" s="16"/>
      <c r="AK313" s="32"/>
      <c r="AL313" s="32"/>
      <c r="AM313" s="32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0"/>
      <c r="BN313" s="10"/>
      <c r="BO313" s="10"/>
      <c r="BP313" s="10"/>
      <c r="BQ313" s="10"/>
    </row>
    <row r="314" spans="1:69" x14ac:dyDescent="0.25">
      <c r="A314" s="15"/>
      <c r="B314" s="15"/>
      <c r="C314" s="15"/>
      <c r="D314" s="15"/>
      <c r="E314" s="15"/>
      <c r="F314" s="15"/>
      <c r="G314" s="15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32"/>
      <c r="AA314" s="32"/>
      <c r="AB314" s="32"/>
      <c r="AC314" s="16"/>
      <c r="AD314" s="16"/>
      <c r="AE314" s="32"/>
      <c r="AF314" s="32"/>
      <c r="AG314" s="32"/>
      <c r="AH314" s="32"/>
      <c r="AI314" s="16"/>
      <c r="AJ314" s="16"/>
      <c r="AK314" s="32"/>
      <c r="AL314" s="32"/>
      <c r="AM314" s="32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0"/>
      <c r="BN314" s="10"/>
      <c r="BO314" s="10"/>
      <c r="BP314" s="10"/>
      <c r="BQ314" s="10"/>
    </row>
    <row r="315" spans="1:69" x14ac:dyDescent="0.25">
      <c r="A315" s="15"/>
      <c r="B315" s="15"/>
      <c r="C315" s="15"/>
      <c r="D315" s="15"/>
      <c r="E315" s="15"/>
      <c r="F315" s="15"/>
      <c r="G315" s="15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32"/>
      <c r="AA315" s="32"/>
      <c r="AB315" s="32"/>
      <c r="AC315" s="16"/>
      <c r="AD315" s="16"/>
      <c r="AE315" s="32"/>
      <c r="AF315" s="32"/>
      <c r="AG315" s="32"/>
      <c r="AH315" s="32"/>
      <c r="AI315" s="16"/>
      <c r="AJ315" s="16"/>
      <c r="AK315" s="32"/>
      <c r="AL315" s="32"/>
      <c r="AM315" s="32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0"/>
      <c r="BN315" s="10"/>
      <c r="BO315" s="10"/>
      <c r="BP315" s="10"/>
      <c r="BQ315" s="10"/>
    </row>
    <row r="316" spans="1:69" x14ac:dyDescent="0.25">
      <c r="A316" s="15"/>
      <c r="B316" s="15"/>
      <c r="C316" s="15"/>
      <c r="D316" s="15"/>
      <c r="E316" s="15"/>
      <c r="F316" s="15"/>
      <c r="G316" s="15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32"/>
      <c r="AA316" s="32"/>
      <c r="AB316" s="32"/>
      <c r="AC316" s="16"/>
      <c r="AD316" s="16"/>
      <c r="AE316" s="32"/>
      <c r="AF316" s="32"/>
      <c r="AG316" s="32"/>
      <c r="AH316" s="32"/>
      <c r="AI316" s="16"/>
      <c r="AJ316" s="16"/>
      <c r="AK316" s="32"/>
      <c r="AL316" s="32"/>
      <c r="AM316" s="32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0"/>
      <c r="BN316" s="10"/>
      <c r="BO316" s="10"/>
      <c r="BP316" s="10"/>
      <c r="BQ316" s="10"/>
    </row>
    <row r="317" spans="1:69" x14ac:dyDescent="0.25">
      <c r="A317" s="15"/>
      <c r="B317" s="15"/>
      <c r="C317" s="15"/>
      <c r="D317" s="15"/>
      <c r="E317" s="15"/>
      <c r="F317" s="15"/>
      <c r="G317" s="15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32"/>
      <c r="AA317" s="32"/>
      <c r="AB317" s="32"/>
      <c r="AC317" s="16"/>
      <c r="AD317" s="16"/>
      <c r="AE317" s="32"/>
      <c r="AF317" s="32"/>
      <c r="AG317" s="32"/>
      <c r="AH317" s="32"/>
      <c r="AI317" s="16"/>
      <c r="AJ317" s="16"/>
      <c r="AK317" s="32"/>
      <c r="AL317" s="32"/>
      <c r="AM317" s="32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0"/>
      <c r="BN317" s="10"/>
      <c r="BO317" s="10"/>
      <c r="BP317" s="10"/>
      <c r="BQ317" s="10"/>
    </row>
    <row r="318" spans="1:69" x14ac:dyDescent="0.25">
      <c r="A318" s="15"/>
      <c r="B318" s="15"/>
      <c r="C318" s="15"/>
      <c r="D318" s="15"/>
      <c r="E318" s="15"/>
      <c r="F318" s="15"/>
      <c r="G318" s="15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32"/>
      <c r="AA318" s="32"/>
      <c r="AB318" s="32"/>
      <c r="AC318" s="16"/>
      <c r="AD318" s="16"/>
      <c r="AE318" s="32"/>
      <c r="AF318" s="32"/>
      <c r="AG318" s="32"/>
      <c r="AH318" s="32"/>
      <c r="AI318" s="16"/>
      <c r="AJ318" s="16"/>
      <c r="AK318" s="32"/>
      <c r="AL318" s="32"/>
      <c r="AM318" s="32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0"/>
      <c r="BN318" s="10"/>
      <c r="BO318" s="10"/>
      <c r="BP318" s="10"/>
      <c r="BQ318" s="10"/>
    </row>
    <row r="319" spans="1:69" x14ac:dyDescent="0.25">
      <c r="A319" s="15"/>
      <c r="B319" s="15"/>
      <c r="C319" s="15"/>
      <c r="D319" s="15"/>
      <c r="E319" s="15"/>
      <c r="F319" s="15"/>
      <c r="G319" s="15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32"/>
      <c r="AA319" s="32"/>
      <c r="AB319" s="32"/>
      <c r="AC319" s="16"/>
      <c r="AD319" s="16"/>
      <c r="AE319" s="32"/>
      <c r="AF319" s="32"/>
      <c r="AG319" s="32"/>
      <c r="AH319" s="32"/>
      <c r="AI319" s="16"/>
      <c r="AJ319" s="16"/>
      <c r="AK319" s="32"/>
      <c r="AL319" s="32"/>
      <c r="AM319" s="32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0"/>
      <c r="BN319" s="10"/>
      <c r="BO319" s="10"/>
      <c r="BP319" s="10"/>
      <c r="BQ319" s="10"/>
    </row>
    <row r="320" spans="1:69" x14ac:dyDescent="0.25">
      <c r="A320" s="15"/>
      <c r="B320" s="15"/>
      <c r="C320" s="15"/>
      <c r="D320" s="15"/>
      <c r="E320" s="15"/>
      <c r="F320" s="15"/>
      <c r="G320" s="15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32"/>
      <c r="AA320" s="32"/>
      <c r="AB320" s="32"/>
      <c r="AC320" s="16"/>
      <c r="AD320" s="16"/>
      <c r="AE320" s="32"/>
      <c r="AF320" s="32"/>
      <c r="AG320" s="32"/>
      <c r="AH320" s="32"/>
      <c r="AI320" s="16"/>
      <c r="AJ320" s="16"/>
      <c r="AK320" s="32"/>
      <c r="AL320" s="32"/>
      <c r="AM320" s="32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0"/>
      <c r="BN320" s="10"/>
      <c r="BO320" s="10"/>
      <c r="BP320" s="10"/>
      <c r="BQ320" s="10"/>
    </row>
    <row r="321" spans="1:69" x14ac:dyDescent="0.25">
      <c r="A321" s="15"/>
      <c r="B321" s="15"/>
      <c r="C321" s="15"/>
      <c r="D321" s="15"/>
      <c r="E321" s="15"/>
      <c r="F321" s="15"/>
      <c r="G321" s="15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32"/>
      <c r="AA321" s="32"/>
      <c r="AB321" s="32"/>
      <c r="AC321" s="16"/>
      <c r="AD321" s="16"/>
      <c r="AE321" s="32"/>
      <c r="AF321" s="32"/>
      <c r="AG321" s="32"/>
      <c r="AH321" s="32"/>
      <c r="AI321" s="16"/>
      <c r="AJ321" s="16"/>
      <c r="AK321" s="32"/>
      <c r="AL321" s="32"/>
      <c r="AM321" s="32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0"/>
      <c r="BN321" s="10"/>
      <c r="BO321" s="10"/>
      <c r="BP321" s="10"/>
      <c r="BQ321" s="10"/>
    </row>
    <row r="322" spans="1:69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33"/>
      <c r="AA322" s="33"/>
      <c r="AB322" s="33"/>
      <c r="AC322" s="10"/>
      <c r="AD322" s="10"/>
      <c r="AE322" s="33"/>
      <c r="AF322" s="33"/>
      <c r="AG322" s="33"/>
      <c r="AH322" s="33"/>
      <c r="AI322" s="10"/>
      <c r="AJ322" s="10"/>
      <c r="AK322" s="33"/>
      <c r="AL322" s="33"/>
      <c r="AM322" s="33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"/>
      <c r="BD322" s="10"/>
      <c r="BE322" s="10"/>
      <c r="BF322" s="10"/>
      <c r="BG322" s="10"/>
      <c r="BH322" s="10"/>
      <c r="BI322" s="10"/>
      <c r="BJ322" s="10"/>
      <c r="BK322" s="10"/>
      <c r="BL322" s="10"/>
      <c r="BM322" s="10"/>
      <c r="BN322" s="10"/>
      <c r="BO322" s="10"/>
      <c r="BP322" s="10"/>
      <c r="BQ322" s="10"/>
    </row>
    <row r="323" spans="1:69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33"/>
      <c r="AA323" s="33"/>
      <c r="AB323" s="33"/>
      <c r="AC323" s="10"/>
      <c r="AD323" s="10"/>
      <c r="AE323" s="33"/>
      <c r="AF323" s="33"/>
      <c r="AG323" s="33"/>
      <c r="AH323" s="33"/>
      <c r="AI323" s="10"/>
      <c r="AJ323" s="10"/>
      <c r="AK323" s="33"/>
      <c r="AL323" s="33"/>
      <c r="AM323" s="33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0"/>
      <c r="BF323" s="10"/>
      <c r="BG323" s="10"/>
      <c r="BH323" s="10"/>
      <c r="BI323" s="10"/>
      <c r="BJ323" s="10"/>
      <c r="BK323" s="10"/>
      <c r="BL323" s="10"/>
      <c r="BM323" s="10"/>
      <c r="BN323" s="10"/>
      <c r="BO323" s="10"/>
      <c r="BP323" s="10"/>
      <c r="BQ323" s="10"/>
    </row>
    <row r="324" spans="1:69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33"/>
      <c r="AA324" s="33"/>
      <c r="AB324" s="33"/>
      <c r="AC324" s="10"/>
      <c r="AD324" s="10"/>
      <c r="AE324" s="33"/>
      <c r="AF324" s="33"/>
      <c r="AG324" s="33"/>
      <c r="AH324" s="33"/>
      <c r="AI324" s="10"/>
      <c r="AJ324" s="10"/>
      <c r="AK324" s="33"/>
      <c r="AL324" s="33"/>
      <c r="AM324" s="33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</row>
  </sheetData>
  <mergeCells count="10">
    <mergeCell ref="U276:V276"/>
    <mergeCell ref="A2:BP2"/>
    <mergeCell ref="BH3:BP3"/>
    <mergeCell ref="Z3:AJ3"/>
    <mergeCell ref="AK3:AU3"/>
    <mergeCell ref="R4:U4"/>
    <mergeCell ref="A3:Y3"/>
    <mergeCell ref="V4:Y4"/>
    <mergeCell ref="AV3:BA3"/>
    <mergeCell ref="BB3:BG3"/>
  </mergeCells>
  <phoneticPr fontId="1" type="noConversion"/>
  <hyperlinks>
    <hyperlink ref="BO106" r:id="rId1"/>
    <hyperlink ref="BO110" r:id="rId2"/>
    <hyperlink ref="BO114" r:id="rId3"/>
    <hyperlink ref="BO131" r:id="rId4"/>
    <hyperlink ref="BO138" r:id="rId5"/>
    <hyperlink ref="BO154" r:id="rId6"/>
    <hyperlink ref="BO159" r:id="rId7"/>
    <hyperlink ref="BO163" r:id="rId8"/>
    <hyperlink ref="BO175" r:id="rId9"/>
    <hyperlink ref="BO179" r:id="rId10"/>
    <hyperlink ref="BO192" r:id="rId11"/>
    <hyperlink ref="BO205" r:id="rId12"/>
    <hyperlink ref="BO211" r:id="rId13"/>
    <hyperlink ref="BO219" r:id="rId14"/>
    <hyperlink ref="BO231" r:id="rId15"/>
    <hyperlink ref="BO243" r:id="rId16"/>
    <hyperlink ref="BO265" r:id="rId17"/>
    <hyperlink ref="BO271" r:id="rId18"/>
    <hyperlink ref="BO276" r:id="rId19"/>
    <hyperlink ref="BO286" r:id="rId20"/>
    <hyperlink ref="BO295" r:id="rId21"/>
    <hyperlink ref="BO299" r:id="rId22"/>
    <hyperlink ref="BO302" r:id="rId23"/>
  </hyperlinks>
  <pageMargins left="0.7" right="0.7" top="0.75" bottom="0.75" header="0.3" footer="0.3"/>
  <pageSetup paperSize="9" orientation="portrait" horizontalDpi="1200" verticalDpi="1200" r:id="rId2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81"/>
  <sheetViews>
    <sheetView workbookViewId="0">
      <selection activeCell="B3" sqref="B3:C23"/>
    </sheetView>
  </sheetViews>
  <sheetFormatPr baseColWidth="10" defaultRowHeight="15" x14ac:dyDescent="0.25"/>
  <cols>
    <col min="3" max="3" width="25.7109375" bestFit="1" customWidth="1"/>
    <col min="5" max="5" width="25.5703125" customWidth="1"/>
  </cols>
  <sheetData>
    <row r="3" spans="2:7" x14ac:dyDescent="0.25">
      <c r="B3" s="1">
        <v>1</v>
      </c>
      <c r="C3" s="38" t="s">
        <v>79</v>
      </c>
      <c r="E3" s="167" t="s">
        <v>571</v>
      </c>
      <c r="F3" s="167"/>
      <c r="G3" s="167"/>
    </row>
    <row r="4" spans="2:7" x14ac:dyDescent="0.25">
      <c r="B4" s="1">
        <v>2</v>
      </c>
      <c r="C4" s="38" t="s">
        <v>90</v>
      </c>
      <c r="E4" s="31" t="s">
        <v>1</v>
      </c>
      <c r="F4" s="31" t="s">
        <v>2</v>
      </c>
      <c r="G4" s="31" t="s">
        <v>3</v>
      </c>
    </row>
    <row r="5" spans="2:7" x14ac:dyDescent="0.25">
      <c r="B5" s="1">
        <v>3</v>
      </c>
      <c r="C5" s="38" t="s">
        <v>100</v>
      </c>
      <c r="E5" s="38" t="s">
        <v>104</v>
      </c>
      <c r="F5" s="2">
        <f>COUNTIF($C$3:$C$79,"Atencion al cliente")</f>
        <v>39</v>
      </c>
      <c r="G5" s="67">
        <f>F5/F14</f>
        <v>0.56521739130434778</v>
      </c>
    </row>
    <row r="6" spans="2:7" x14ac:dyDescent="0.25">
      <c r="B6" s="1">
        <v>4</v>
      </c>
      <c r="C6" s="38" t="s">
        <v>104</v>
      </c>
      <c r="E6" s="2" t="s">
        <v>79</v>
      </c>
      <c r="F6" s="2">
        <f>COUNTIF($C$3:$C$79,"Buen Servicio")</f>
        <v>4</v>
      </c>
      <c r="G6" s="67">
        <f>F6/F14</f>
        <v>5.7971014492753624E-2</v>
      </c>
    </row>
    <row r="7" spans="2:7" x14ac:dyDescent="0.25">
      <c r="B7" s="1">
        <v>5</v>
      </c>
      <c r="C7" s="38" t="s">
        <v>104</v>
      </c>
      <c r="E7" s="2" t="s">
        <v>100</v>
      </c>
      <c r="F7" s="2">
        <f>COUNTIF($C$3:$C$79,"Calidad de producto")</f>
        <v>10</v>
      </c>
      <c r="G7" s="67">
        <f>F7/F14</f>
        <v>0.14492753623188406</v>
      </c>
    </row>
    <row r="8" spans="2:7" x14ac:dyDescent="0.25">
      <c r="B8" s="1">
        <v>6</v>
      </c>
      <c r="C8" s="38" t="s">
        <v>104</v>
      </c>
      <c r="E8" s="2" t="s">
        <v>369</v>
      </c>
      <c r="F8" s="2">
        <f>COUNTIF($C$3:$C$79,"Confianza por los productos")</f>
        <v>1</v>
      </c>
      <c r="G8" s="67">
        <f>F8/F14</f>
        <v>1.4492753623188406E-2</v>
      </c>
    </row>
    <row r="9" spans="2:7" x14ac:dyDescent="0.25">
      <c r="B9" s="1">
        <v>7</v>
      </c>
      <c r="C9" s="38" t="s">
        <v>104</v>
      </c>
      <c r="E9" s="2" t="s">
        <v>322</v>
      </c>
      <c r="F9" s="2">
        <f>COUNTIF($C$3:$C$79,"Descuentos")</f>
        <v>1</v>
      </c>
      <c r="G9" s="67">
        <f>F9/F14</f>
        <v>1.4492753623188406E-2</v>
      </c>
    </row>
    <row r="10" spans="2:7" x14ac:dyDescent="0.25">
      <c r="B10" s="1">
        <v>8</v>
      </c>
      <c r="C10" s="38" t="s">
        <v>104</v>
      </c>
      <c r="E10" s="2" t="s">
        <v>372</v>
      </c>
      <c r="F10" s="2">
        <f>COUNTIF($C$3:$C$79,"Horarios de atención")</f>
        <v>1</v>
      </c>
      <c r="G10" s="67">
        <f>F10/F14</f>
        <v>1.4492753623188406E-2</v>
      </c>
    </row>
    <row r="11" spans="2:7" x14ac:dyDescent="0.25">
      <c r="B11" s="1">
        <v>9</v>
      </c>
      <c r="C11" s="38" t="s">
        <v>104</v>
      </c>
      <c r="E11" s="2" t="s">
        <v>90</v>
      </c>
      <c r="F11" s="2">
        <f>COUNTIF($C$3:$C$79,"Precios bajos")</f>
        <v>4</v>
      </c>
      <c r="G11" s="67">
        <f>F11/F14</f>
        <v>5.7971014492753624E-2</v>
      </c>
    </row>
    <row r="12" spans="2:7" x14ac:dyDescent="0.25">
      <c r="B12" s="1">
        <v>10</v>
      </c>
      <c r="C12" s="38" t="s">
        <v>104</v>
      </c>
      <c r="E12" s="2" t="s">
        <v>166</v>
      </c>
      <c r="F12" s="2">
        <f>COUNTIF($C$3:$C$79,"Satifaccion por el servicio")</f>
        <v>8</v>
      </c>
      <c r="G12" s="67">
        <f>F12/F14</f>
        <v>0.11594202898550725</v>
      </c>
    </row>
    <row r="13" spans="2:7" x14ac:dyDescent="0.25">
      <c r="B13" s="1">
        <v>11</v>
      </c>
      <c r="C13" s="38" t="s">
        <v>100</v>
      </c>
      <c r="E13" s="2" t="s">
        <v>252</v>
      </c>
      <c r="F13" s="2">
        <f>COUNTIF($C$3:$C$79,"Tener producto a la mano")</f>
        <v>1</v>
      </c>
      <c r="G13" s="67">
        <f>F13/F14</f>
        <v>1.4492753623188406E-2</v>
      </c>
    </row>
    <row r="14" spans="2:7" x14ac:dyDescent="0.25">
      <c r="B14" s="1">
        <v>12</v>
      </c>
      <c r="C14" s="38" t="s">
        <v>100</v>
      </c>
      <c r="E14" s="72" t="s">
        <v>6</v>
      </c>
      <c r="F14" s="72">
        <f>SUM(F5:F13)</f>
        <v>69</v>
      </c>
      <c r="G14" s="76">
        <f>SUM(G5:G13)</f>
        <v>0.99999999999999978</v>
      </c>
    </row>
    <row r="15" spans="2:7" x14ac:dyDescent="0.25">
      <c r="B15" s="1">
        <v>13</v>
      </c>
      <c r="C15" s="38" t="s">
        <v>100</v>
      </c>
      <c r="E15" s="16"/>
    </row>
    <row r="16" spans="2:7" x14ac:dyDescent="0.25">
      <c r="B16" s="1">
        <v>14</v>
      </c>
      <c r="C16" s="38" t="s">
        <v>90</v>
      </c>
      <c r="E16" s="16"/>
    </row>
    <row r="17" spans="2:5" x14ac:dyDescent="0.25">
      <c r="B17" s="1">
        <v>15</v>
      </c>
      <c r="C17" s="38" t="s">
        <v>104</v>
      </c>
      <c r="E17" s="16"/>
    </row>
    <row r="18" spans="2:5" x14ac:dyDescent="0.25">
      <c r="B18" s="1">
        <v>16</v>
      </c>
      <c r="C18" s="2"/>
      <c r="E18" s="16"/>
    </row>
    <row r="19" spans="2:5" x14ac:dyDescent="0.25">
      <c r="B19" s="1">
        <v>17</v>
      </c>
      <c r="C19" s="38" t="s">
        <v>104</v>
      </c>
      <c r="E19" s="16"/>
    </row>
    <row r="20" spans="2:5" x14ac:dyDescent="0.25">
      <c r="B20" s="1">
        <v>18</v>
      </c>
      <c r="C20" s="38" t="s">
        <v>153</v>
      </c>
      <c r="E20" s="16"/>
    </row>
    <row r="21" spans="2:5" x14ac:dyDescent="0.25">
      <c r="B21" s="1">
        <v>19</v>
      </c>
      <c r="C21" s="38" t="s">
        <v>104</v>
      </c>
      <c r="E21" s="16"/>
    </row>
    <row r="22" spans="2:5" x14ac:dyDescent="0.25">
      <c r="B22" s="1">
        <v>20</v>
      </c>
      <c r="C22" s="38" t="s">
        <v>104</v>
      </c>
      <c r="E22" s="16"/>
    </row>
    <row r="23" spans="2:5" x14ac:dyDescent="0.25">
      <c r="B23" s="1">
        <v>21</v>
      </c>
      <c r="C23" s="38" t="s">
        <v>166</v>
      </c>
      <c r="E23" s="16"/>
    </row>
    <row r="24" spans="2:5" x14ac:dyDescent="0.25">
      <c r="B24" s="1">
        <v>22</v>
      </c>
      <c r="C24" s="38" t="s">
        <v>104</v>
      </c>
      <c r="E24" s="16"/>
    </row>
    <row r="25" spans="2:5" x14ac:dyDescent="0.25">
      <c r="B25" s="1">
        <v>23</v>
      </c>
      <c r="C25" s="38" t="s">
        <v>104</v>
      </c>
      <c r="E25" s="16"/>
    </row>
    <row r="26" spans="2:5" x14ac:dyDescent="0.25">
      <c r="B26" s="1">
        <v>24</v>
      </c>
      <c r="C26" s="38" t="s">
        <v>104</v>
      </c>
      <c r="E26" s="16"/>
    </row>
    <row r="27" spans="2:5" x14ac:dyDescent="0.25">
      <c r="B27" s="1">
        <v>25</v>
      </c>
      <c r="C27" s="38" t="s">
        <v>166</v>
      </c>
      <c r="E27" s="16"/>
    </row>
    <row r="28" spans="2:5" x14ac:dyDescent="0.25">
      <c r="B28" s="1">
        <v>26</v>
      </c>
      <c r="C28" s="2" t="s">
        <v>166</v>
      </c>
      <c r="E28" s="16"/>
    </row>
    <row r="29" spans="2:5" x14ac:dyDescent="0.25">
      <c r="B29" s="1">
        <v>27</v>
      </c>
      <c r="C29" s="2" t="s">
        <v>104</v>
      </c>
      <c r="E29" s="16"/>
    </row>
    <row r="30" spans="2:5" x14ac:dyDescent="0.25">
      <c r="B30" s="1">
        <v>28</v>
      </c>
      <c r="C30" s="2" t="s">
        <v>104</v>
      </c>
      <c r="E30" s="16"/>
    </row>
    <row r="31" spans="2:5" x14ac:dyDescent="0.25">
      <c r="B31" s="1">
        <v>29</v>
      </c>
      <c r="C31" s="2" t="s">
        <v>79</v>
      </c>
      <c r="E31" s="16"/>
    </row>
    <row r="32" spans="2:5" x14ac:dyDescent="0.25">
      <c r="B32" s="1">
        <v>30</v>
      </c>
      <c r="C32" s="2" t="s">
        <v>79</v>
      </c>
      <c r="E32" s="16"/>
    </row>
    <row r="33" spans="2:5" x14ac:dyDescent="0.25">
      <c r="B33" s="1">
        <v>31</v>
      </c>
      <c r="C33" s="2"/>
      <c r="E33" s="16"/>
    </row>
    <row r="34" spans="2:5" x14ac:dyDescent="0.25">
      <c r="B34" s="1">
        <v>32</v>
      </c>
      <c r="C34" s="2" t="s">
        <v>104</v>
      </c>
      <c r="E34" s="16"/>
    </row>
    <row r="35" spans="2:5" x14ac:dyDescent="0.25">
      <c r="B35" s="1">
        <v>33</v>
      </c>
      <c r="C35" s="2" t="s">
        <v>104</v>
      </c>
      <c r="E35" s="16"/>
    </row>
    <row r="36" spans="2:5" x14ac:dyDescent="0.25">
      <c r="B36" s="1">
        <v>34</v>
      </c>
      <c r="C36" s="2" t="s">
        <v>104</v>
      </c>
      <c r="E36" s="16"/>
    </row>
    <row r="37" spans="2:5" x14ac:dyDescent="0.25">
      <c r="B37" s="1">
        <v>35</v>
      </c>
      <c r="C37" s="2"/>
      <c r="E37" s="16"/>
    </row>
    <row r="38" spans="2:5" x14ac:dyDescent="0.25">
      <c r="B38" s="1">
        <v>36</v>
      </c>
      <c r="C38" s="2" t="s">
        <v>104</v>
      </c>
      <c r="E38" s="16"/>
    </row>
    <row r="39" spans="2:5" x14ac:dyDescent="0.25">
      <c r="B39" s="1">
        <v>37</v>
      </c>
      <c r="C39" s="2"/>
      <c r="E39" s="16"/>
    </row>
    <row r="40" spans="2:5" x14ac:dyDescent="0.25">
      <c r="B40" s="1">
        <v>38</v>
      </c>
      <c r="C40" s="2" t="s">
        <v>100</v>
      </c>
      <c r="E40" s="16"/>
    </row>
    <row r="41" spans="2:5" x14ac:dyDescent="0.25">
      <c r="B41" s="1">
        <v>39</v>
      </c>
      <c r="C41" s="2" t="s">
        <v>252</v>
      </c>
      <c r="E41" s="16"/>
    </row>
    <row r="42" spans="2:5" x14ac:dyDescent="0.25">
      <c r="B42" s="1">
        <v>40</v>
      </c>
      <c r="C42" s="2"/>
      <c r="E42" s="16"/>
    </row>
    <row r="43" spans="2:5" x14ac:dyDescent="0.25">
      <c r="B43" s="1">
        <v>41</v>
      </c>
      <c r="C43" s="2" t="s">
        <v>79</v>
      </c>
      <c r="E43" s="16"/>
    </row>
    <row r="44" spans="2:5" x14ac:dyDescent="0.25">
      <c r="B44" s="1">
        <v>42</v>
      </c>
      <c r="C44" s="2" t="s">
        <v>104</v>
      </c>
      <c r="E44" s="10"/>
    </row>
    <row r="45" spans="2:5" x14ac:dyDescent="0.25">
      <c r="B45" s="1">
        <v>43</v>
      </c>
      <c r="C45" s="2" t="s">
        <v>100</v>
      </c>
      <c r="E45" s="16"/>
    </row>
    <row r="46" spans="2:5" x14ac:dyDescent="0.25">
      <c r="B46" s="1">
        <v>44</v>
      </c>
      <c r="C46" s="2" t="s">
        <v>104</v>
      </c>
      <c r="E46" s="16"/>
    </row>
    <row r="47" spans="2:5" x14ac:dyDescent="0.25">
      <c r="B47" s="1">
        <v>45</v>
      </c>
      <c r="C47" s="2" t="s">
        <v>166</v>
      </c>
      <c r="E47" s="16"/>
    </row>
    <row r="48" spans="2:5" x14ac:dyDescent="0.25">
      <c r="B48" s="1">
        <v>46</v>
      </c>
      <c r="C48" s="2" t="s">
        <v>100</v>
      </c>
      <c r="E48" s="10"/>
    </row>
    <row r="49" spans="2:5" x14ac:dyDescent="0.25">
      <c r="B49" s="1">
        <v>47</v>
      </c>
      <c r="C49" s="2" t="s">
        <v>104</v>
      </c>
      <c r="E49" s="16"/>
    </row>
    <row r="50" spans="2:5" x14ac:dyDescent="0.25">
      <c r="B50" s="1">
        <v>48</v>
      </c>
      <c r="C50" s="2" t="s">
        <v>104</v>
      </c>
      <c r="E50" s="16"/>
    </row>
    <row r="51" spans="2:5" x14ac:dyDescent="0.25">
      <c r="B51" s="1">
        <v>49</v>
      </c>
      <c r="C51" s="2" t="s">
        <v>100</v>
      </c>
      <c r="E51" s="16"/>
    </row>
    <row r="52" spans="2:5" x14ac:dyDescent="0.25">
      <c r="B52" s="1">
        <v>50</v>
      </c>
      <c r="C52" s="2" t="s">
        <v>104</v>
      </c>
      <c r="E52" s="16"/>
    </row>
    <row r="53" spans="2:5" x14ac:dyDescent="0.25">
      <c r="B53" s="1">
        <v>51</v>
      </c>
      <c r="C53" s="2" t="s">
        <v>104</v>
      </c>
      <c r="E53" s="16"/>
    </row>
    <row r="54" spans="2:5" x14ac:dyDescent="0.25">
      <c r="B54" s="1">
        <v>52</v>
      </c>
      <c r="C54" s="2"/>
      <c r="E54" s="16"/>
    </row>
    <row r="55" spans="2:5" x14ac:dyDescent="0.25">
      <c r="B55" s="1">
        <v>53</v>
      </c>
      <c r="C55" s="2" t="s">
        <v>322</v>
      </c>
      <c r="E55" s="16"/>
    </row>
    <row r="56" spans="2:5" x14ac:dyDescent="0.25">
      <c r="B56" s="1">
        <v>54</v>
      </c>
      <c r="C56" s="2" t="s">
        <v>100</v>
      </c>
      <c r="E56" s="16"/>
    </row>
    <row r="57" spans="2:5" x14ac:dyDescent="0.25">
      <c r="B57" s="1">
        <v>55</v>
      </c>
      <c r="C57" s="2" t="s">
        <v>104</v>
      </c>
      <c r="E57" s="16"/>
    </row>
    <row r="58" spans="2:5" x14ac:dyDescent="0.25">
      <c r="B58" s="1">
        <v>56</v>
      </c>
      <c r="C58" s="2" t="s">
        <v>104</v>
      </c>
      <c r="E58" s="10"/>
    </row>
    <row r="59" spans="2:5" x14ac:dyDescent="0.25">
      <c r="B59" s="1">
        <v>57</v>
      </c>
      <c r="C59" s="2" t="s">
        <v>104</v>
      </c>
      <c r="E59" s="10"/>
    </row>
    <row r="60" spans="2:5" x14ac:dyDescent="0.25">
      <c r="B60" s="1">
        <v>58</v>
      </c>
      <c r="C60" s="2" t="s">
        <v>104</v>
      </c>
      <c r="E60" s="10"/>
    </row>
    <row r="61" spans="2:5" x14ac:dyDescent="0.25">
      <c r="B61" s="1">
        <v>59</v>
      </c>
      <c r="C61" s="2" t="s">
        <v>166</v>
      </c>
      <c r="E61" s="10"/>
    </row>
    <row r="62" spans="2:5" x14ac:dyDescent="0.25">
      <c r="B62" s="1">
        <v>60</v>
      </c>
      <c r="C62" s="2" t="s">
        <v>90</v>
      </c>
      <c r="E62" s="16"/>
    </row>
    <row r="63" spans="2:5" x14ac:dyDescent="0.25">
      <c r="B63" s="1">
        <v>61</v>
      </c>
      <c r="C63" s="2" t="s">
        <v>104</v>
      </c>
      <c r="E63" s="16"/>
    </row>
    <row r="64" spans="2:5" x14ac:dyDescent="0.25">
      <c r="B64" s="1">
        <v>62</v>
      </c>
      <c r="C64" s="2" t="s">
        <v>104</v>
      </c>
      <c r="E64" s="16"/>
    </row>
    <row r="65" spans="2:5" x14ac:dyDescent="0.25">
      <c r="B65" s="1">
        <v>63</v>
      </c>
      <c r="C65" s="2" t="s">
        <v>90</v>
      </c>
      <c r="E65" s="10"/>
    </row>
    <row r="66" spans="2:5" x14ac:dyDescent="0.25">
      <c r="B66" s="1">
        <v>64</v>
      </c>
      <c r="C66" s="2" t="s">
        <v>104</v>
      </c>
      <c r="E66" s="16"/>
    </row>
    <row r="67" spans="2:5" x14ac:dyDescent="0.25">
      <c r="B67" s="1">
        <v>65</v>
      </c>
      <c r="C67" s="2" t="s">
        <v>104</v>
      </c>
      <c r="E67" s="16"/>
    </row>
    <row r="68" spans="2:5" x14ac:dyDescent="0.25">
      <c r="B68" s="1">
        <v>66</v>
      </c>
      <c r="C68" s="2" t="s">
        <v>570</v>
      </c>
      <c r="E68" s="16"/>
    </row>
    <row r="69" spans="2:5" x14ac:dyDescent="0.25">
      <c r="B69" s="1">
        <v>67</v>
      </c>
      <c r="C69" s="2" t="s">
        <v>372</v>
      </c>
      <c r="E69" s="16"/>
    </row>
    <row r="70" spans="2:5" x14ac:dyDescent="0.25">
      <c r="B70" s="1">
        <v>68</v>
      </c>
      <c r="C70" s="2" t="s">
        <v>104</v>
      </c>
      <c r="E70" s="16"/>
    </row>
    <row r="71" spans="2:5" x14ac:dyDescent="0.25">
      <c r="B71" s="1">
        <v>69</v>
      </c>
      <c r="C71" s="2" t="s">
        <v>104</v>
      </c>
      <c r="E71" s="16"/>
    </row>
    <row r="72" spans="2:5" x14ac:dyDescent="0.25">
      <c r="B72" s="1">
        <v>70</v>
      </c>
      <c r="C72" s="2" t="s">
        <v>166</v>
      </c>
      <c r="E72" s="16"/>
    </row>
    <row r="73" spans="2:5" x14ac:dyDescent="0.25">
      <c r="B73" s="1">
        <v>71</v>
      </c>
      <c r="C73" s="2"/>
      <c r="E73" s="16"/>
    </row>
    <row r="74" spans="2:5" x14ac:dyDescent="0.25">
      <c r="B74" s="1">
        <v>72</v>
      </c>
      <c r="C74" s="2" t="s">
        <v>166</v>
      </c>
      <c r="E74" s="10"/>
    </row>
    <row r="75" spans="2:5" x14ac:dyDescent="0.25">
      <c r="B75" s="1">
        <v>73</v>
      </c>
      <c r="C75" s="2" t="s">
        <v>100</v>
      </c>
      <c r="E75" s="16"/>
    </row>
    <row r="76" spans="2:5" x14ac:dyDescent="0.25">
      <c r="B76" s="1">
        <v>74</v>
      </c>
      <c r="C76" s="2" t="s">
        <v>104</v>
      </c>
      <c r="E76" s="16"/>
    </row>
    <row r="77" spans="2:5" x14ac:dyDescent="0.25">
      <c r="B77" s="1">
        <v>75</v>
      </c>
      <c r="C77" s="2" t="s">
        <v>166</v>
      </c>
      <c r="E77" s="16"/>
    </row>
    <row r="78" spans="2:5" x14ac:dyDescent="0.25">
      <c r="B78" s="1">
        <v>76</v>
      </c>
      <c r="C78" s="2" t="s">
        <v>104</v>
      </c>
      <c r="E78" s="16"/>
    </row>
    <row r="79" spans="2:5" x14ac:dyDescent="0.25">
      <c r="B79" s="1">
        <v>77</v>
      </c>
      <c r="C79" s="2" t="s">
        <v>104</v>
      </c>
      <c r="E79" s="16"/>
    </row>
    <row r="80" spans="2:5" x14ac:dyDescent="0.25">
      <c r="E80" s="16"/>
    </row>
    <row r="81" spans="5:5" x14ac:dyDescent="0.25">
      <c r="E81" s="16"/>
    </row>
  </sheetData>
  <sortState ref="E5:G81">
    <sortCondition ref="E5:E81"/>
  </sortState>
  <mergeCells count="1">
    <mergeCell ref="E3:G3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85"/>
  <sheetViews>
    <sheetView workbookViewId="0">
      <selection activeCell="E2" sqref="E2:G2"/>
    </sheetView>
  </sheetViews>
  <sheetFormatPr baseColWidth="10" defaultRowHeight="15" x14ac:dyDescent="0.25"/>
  <cols>
    <col min="3" max="3" width="22.7109375" style="111" customWidth="1"/>
    <col min="5" max="5" width="13.85546875" customWidth="1"/>
    <col min="7" max="7" width="11.42578125" style="68"/>
  </cols>
  <sheetData>
    <row r="2" spans="2:7" ht="27.95" customHeight="1" x14ac:dyDescent="0.25">
      <c r="B2" s="1">
        <v>1</v>
      </c>
      <c r="C2" s="109" t="s">
        <v>82</v>
      </c>
      <c r="E2" s="166" t="s">
        <v>610</v>
      </c>
      <c r="F2" s="166"/>
      <c r="G2" s="166"/>
    </row>
    <row r="3" spans="2:7" ht="27.95" customHeight="1" x14ac:dyDescent="0.25">
      <c r="B3" s="1">
        <v>2</v>
      </c>
      <c r="C3" s="109" t="s">
        <v>91</v>
      </c>
      <c r="E3" s="71" t="s">
        <v>1</v>
      </c>
      <c r="F3" s="71" t="s">
        <v>2</v>
      </c>
      <c r="G3" s="71" t="s">
        <v>3</v>
      </c>
    </row>
    <row r="4" spans="2:7" ht="27.95" customHeight="1" x14ac:dyDescent="0.25">
      <c r="B4" s="1">
        <v>3</v>
      </c>
      <c r="C4" s="109" t="s">
        <v>91</v>
      </c>
      <c r="E4" s="110" t="s">
        <v>353</v>
      </c>
      <c r="F4" s="1">
        <f>COUNTIF($E$4:$E$35,"A la expectativa")</f>
        <v>1</v>
      </c>
      <c r="G4" s="4">
        <f>F4/F36</f>
        <v>1.3888888888888888E-2</v>
      </c>
    </row>
    <row r="5" spans="2:7" ht="27.95" customHeight="1" x14ac:dyDescent="0.25">
      <c r="B5" s="1">
        <v>4</v>
      </c>
      <c r="C5" s="109" t="s">
        <v>91</v>
      </c>
      <c r="E5" s="110" t="s">
        <v>272</v>
      </c>
      <c r="F5" s="1">
        <f>COUNTIF($C$2:$C$78,"Bien")</f>
        <v>1</v>
      </c>
      <c r="G5" s="4">
        <f>F5/F36</f>
        <v>1.3888888888888888E-2</v>
      </c>
    </row>
    <row r="6" spans="2:7" ht="27.95" customHeight="1" x14ac:dyDescent="0.25">
      <c r="B6" s="1">
        <v>5</v>
      </c>
      <c r="C6" s="109" t="s">
        <v>108</v>
      </c>
      <c r="E6" s="110" t="s">
        <v>139</v>
      </c>
      <c r="F6" s="1">
        <f>COUNTIF($C$2:$C$78,"Bueno")</f>
        <v>7</v>
      </c>
      <c r="G6" s="4">
        <f>F6/$F$36</f>
        <v>9.7222222222222224E-2</v>
      </c>
    </row>
    <row r="7" spans="2:7" ht="27.95" customHeight="1" x14ac:dyDescent="0.25">
      <c r="B7" s="1">
        <v>6</v>
      </c>
      <c r="C7" s="109" t="s">
        <v>91</v>
      </c>
      <c r="E7" s="110" t="s">
        <v>174</v>
      </c>
      <c r="F7" s="1">
        <f>COUNTIF($C$2:$C$78,"Bueno a la expectativa")</f>
        <v>1</v>
      </c>
      <c r="G7" s="4">
        <f t="shared" ref="G7:G35" si="0">F7/$F$36</f>
        <v>1.3888888888888888E-2</v>
      </c>
    </row>
    <row r="8" spans="2:7" ht="27.95" customHeight="1" x14ac:dyDescent="0.25">
      <c r="B8" s="1">
        <v>7</v>
      </c>
      <c r="C8" s="109" t="s">
        <v>91</v>
      </c>
      <c r="E8" s="110" t="s">
        <v>206</v>
      </c>
      <c r="F8" s="1">
        <f>COUNTIF($C$2:$C$78,"Cambios favorables")</f>
        <v>1</v>
      </c>
      <c r="G8" s="4">
        <f t="shared" si="0"/>
        <v>1.3888888888888888E-2</v>
      </c>
    </row>
    <row r="9" spans="2:7" ht="27.95" customHeight="1" x14ac:dyDescent="0.25">
      <c r="B9" s="1">
        <v>8</v>
      </c>
      <c r="C9" s="109" t="s">
        <v>118</v>
      </c>
      <c r="E9" s="110" t="s">
        <v>292</v>
      </c>
      <c r="F9" s="1">
        <f>COUNTIF($C$2:$C$78,"Compleja")</f>
        <v>1</v>
      </c>
      <c r="G9" s="4">
        <f t="shared" si="0"/>
        <v>1.3888888888888888E-2</v>
      </c>
    </row>
    <row r="10" spans="2:7" ht="27.95" customHeight="1" x14ac:dyDescent="0.25">
      <c r="B10" s="1">
        <v>9</v>
      </c>
      <c r="C10" s="109" t="s">
        <v>91</v>
      </c>
      <c r="E10" s="110" t="s">
        <v>108</v>
      </c>
      <c r="F10" s="1">
        <f>COUNTIF($C$2:$C$78,"Complicado")</f>
        <v>6</v>
      </c>
      <c r="G10" s="4">
        <f t="shared" si="0"/>
        <v>8.3333333333333329E-2</v>
      </c>
    </row>
    <row r="11" spans="2:7" ht="27.95" customHeight="1" x14ac:dyDescent="0.25">
      <c r="B11" s="1">
        <v>10</v>
      </c>
      <c r="C11" s="109" t="s">
        <v>108</v>
      </c>
      <c r="E11" s="110" t="s">
        <v>335</v>
      </c>
      <c r="F11" s="1">
        <f>COUNTIF($C$2:$C$78,"Con bastantes expectativas")</f>
        <v>1</v>
      </c>
      <c r="G11" s="4">
        <f t="shared" si="0"/>
        <v>1.3888888888888888E-2</v>
      </c>
    </row>
    <row r="12" spans="2:7" ht="27.95" customHeight="1" x14ac:dyDescent="0.25">
      <c r="B12" s="1">
        <v>11</v>
      </c>
      <c r="C12" s="109" t="s">
        <v>91</v>
      </c>
      <c r="E12" s="110" t="s">
        <v>182</v>
      </c>
      <c r="F12" s="1">
        <f>COUNTIF($C$2:$C$78,"Con temor de lo que pueda pasar")</f>
        <v>1</v>
      </c>
      <c r="G12" s="4">
        <f t="shared" si="0"/>
        <v>1.3888888888888888E-2</v>
      </c>
    </row>
    <row r="13" spans="2:7" ht="27.95" customHeight="1" x14ac:dyDescent="0.25">
      <c r="B13" s="1">
        <v>12</v>
      </c>
      <c r="C13" s="109" t="s">
        <v>91</v>
      </c>
      <c r="E13" s="110" t="s">
        <v>323</v>
      </c>
      <c r="F13" s="1">
        <f>COUNTIF($C$2:$C$78,"Creo que no va a mejorar")</f>
        <v>1</v>
      </c>
      <c r="G13" s="4">
        <f t="shared" si="0"/>
        <v>1.3888888888888888E-2</v>
      </c>
    </row>
    <row r="14" spans="2:7" ht="27.95" customHeight="1" x14ac:dyDescent="0.25">
      <c r="B14" s="1">
        <v>13</v>
      </c>
      <c r="C14" s="109" t="s">
        <v>91</v>
      </c>
      <c r="E14" s="110" t="s">
        <v>339</v>
      </c>
      <c r="F14" s="1">
        <f>COUNTIF($C$2:$C$78,"De todo cada vez más costoso todo")</f>
        <v>1</v>
      </c>
      <c r="G14" s="4">
        <f t="shared" si="0"/>
        <v>1.3888888888888888E-2</v>
      </c>
    </row>
    <row r="15" spans="2:7" ht="27.95" customHeight="1" x14ac:dyDescent="0.25">
      <c r="B15" s="1">
        <v>14</v>
      </c>
      <c r="C15" s="109" t="s">
        <v>139</v>
      </c>
      <c r="E15" s="110" t="s">
        <v>283</v>
      </c>
      <c r="F15" s="1">
        <f>COUNTIF($C$2:$C$78,"Decadencia")</f>
        <v>1</v>
      </c>
      <c r="G15" s="4">
        <f t="shared" si="0"/>
        <v>1.3888888888888888E-2</v>
      </c>
    </row>
    <row r="16" spans="2:7" ht="27.95" customHeight="1" x14ac:dyDescent="0.25">
      <c r="B16" s="1">
        <v>15</v>
      </c>
      <c r="C16" s="109" t="s">
        <v>91</v>
      </c>
      <c r="E16" s="110" t="s">
        <v>222</v>
      </c>
      <c r="F16" s="1">
        <f>COUNTIF($C$2:$C$78,"Desventaja para las ventas por que son productos importantes que por su costo puede dificultar las compras")</f>
        <v>1</v>
      </c>
      <c r="G16" s="4">
        <f t="shared" si="0"/>
        <v>1.3888888888888888E-2</v>
      </c>
    </row>
    <row r="17" spans="2:7" ht="27.95" customHeight="1" x14ac:dyDescent="0.25">
      <c r="B17" s="1">
        <v>16</v>
      </c>
      <c r="C17" s="109" t="s">
        <v>91</v>
      </c>
      <c r="E17" s="110" t="s">
        <v>382</v>
      </c>
      <c r="F17" s="1">
        <f>COUNTIF($C$2:$C$78,"en ves de ir mejorando todo hace un alce muy grande y una dificil situación para manejar la vida diaria")</f>
        <v>1</v>
      </c>
      <c r="G17" s="4">
        <f t="shared" si="0"/>
        <v>1.3888888888888888E-2</v>
      </c>
    </row>
    <row r="18" spans="2:7" ht="27.95" customHeight="1" x14ac:dyDescent="0.25">
      <c r="B18" s="1">
        <v>17</v>
      </c>
      <c r="C18" s="109" t="s">
        <v>151</v>
      </c>
      <c r="E18" s="110" t="s">
        <v>374</v>
      </c>
      <c r="F18" s="1">
        <f>COUNTIF($C$2:$C$78,"Es la oportunidad del campo que se desarrolle al maximo y mejore el valor de los precios")</f>
        <v>1</v>
      </c>
      <c r="G18" s="4">
        <f t="shared" si="0"/>
        <v>1.3888888888888888E-2</v>
      </c>
    </row>
    <row r="19" spans="2:7" ht="27.95" customHeight="1" x14ac:dyDescent="0.25">
      <c r="B19" s="1">
        <v>18</v>
      </c>
      <c r="C19" s="109" t="s">
        <v>91</v>
      </c>
      <c r="E19" s="110" t="s">
        <v>151</v>
      </c>
      <c r="F19" s="1">
        <f>COUNTIF($C$2:$C$78,"Excelente")</f>
        <v>1</v>
      </c>
      <c r="G19" s="4">
        <f t="shared" si="0"/>
        <v>1.3888888888888888E-2</v>
      </c>
    </row>
    <row r="20" spans="2:7" ht="27.95" customHeight="1" x14ac:dyDescent="0.25">
      <c r="B20" s="1">
        <v>19</v>
      </c>
      <c r="C20" s="109" t="s">
        <v>91</v>
      </c>
      <c r="E20" s="110" t="s">
        <v>259</v>
      </c>
      <c r="F20" s="1">
        <f>COUNTIF($C$2:$C$78,"La expectativa es que no incremente los costos")</f>
        <v>1</v>
      </c>
      <c r="G20" s="4">
        <f t="shared" si="0"/>
        <v>1.3888888888888888E-2</v>
      </c>
    </row>
    <row r="21" spans="2:7" ht="27.95" customHeight="1" x14ac:dyDescent="0.25">
      <c r="B21" s="1">
        <v>20</v>
      </c>
      <c r="C21" s="109" t="s">
        <v>163</v>
      </c>
      <c r="E21" s="110" t="s">
        <v>297</v>
      </c>
      <c r="F21" s="1">
        <f>COUNTIF($C$2:$C$78,"Mal por que todo esta subiendo")</f>
        <v>1</v>
      </c>
      <c r="G21" s="4">
        <f t="shared" si="0"/>
        <v>1.3888888888888888E-2</v>
      </c>
    </row>
    <row r="22" spans="2:7" ht="27.95" customHeight="1" x14ac:dyDescent="0.25">
      <c r="B22" s="1">
        <v>21</v>
      </c>
      <c r="C22" s="109" t="s">
        <v>91</v>
      </c>
      <c r="E22" s="110" t="s">
        <v>91</v>
      </c>
      <c r="F22" s="1">
        <f>COUNTIF($C$2:$C$78,"Malo")</f>
        <v>29</v>
      </c>
      <c r="G22" s="4">
        <f t="shared" si="0"/>
        <v>0.40277777777777779</v>
      </c>
    </row>
    <row r="23" spans="2:7" ht="27.95" customHeight="1" x14ac:dyDescent="0.25">
      <c r="B23" s="1">
        <v>22</v>
      </c>
      <c r="C23" s="109" t="s">
        <v>174</v>
      </c>
      <c r="E23" s="110" t="s">
        <v>345</v>
      </c>
      <c r="F23" s="1">
        <f>COUNTIF($C$2:$C$78,"Malo por el incremento de todo")</f>
        <v>1</v>
      </c>
      <c r="G23" s="4">
        <f t="shared" si="0"/>
        <v>1.3888888888888888E-2</v>
      </c>
    </row>
    <row r="24" spans="2:7" ht="27.95" customHeight="1" x14ac:dyDescent="0.25">
      <c r="B24" s="1">
        <v>23</v>
      </c>
      <c r="C24" s="109" t="s">
        <v>182</v>
      </c>
      <c r="E24" s="110" t="s">
        <v>310</v>
      </c>
      <c r="F24" s="1">
        <f>COUNTIF($C$2:$C$78,"Muy buena en espera a la expectativa")</f>
        <v>2</v>
      </c>
      <c r="G24" s="4">
        <f t="shared" si="0"/>
        <v>2.7777777777777776E-2</v>
      </c>
    </row>
    <row r="25" spans="2:7" ht="27.95" customHeight="1" x14ac:dyDescent="0.25">
      <c r="B25" s="1">
        <v>24</v>
      </c>
      <c r="C25" s="109" t="s">
        <v>108</v>
      </c>
      <c r="E25" s="110" t="s">
        <v>360</v>
      </c>
      <c r="F25" s="1">
        <f>COUNTIF($C$2:$C$78,"Muy mal")</f>
        <v>1</v>
      </c>
      <c r="G25" s="4">
        <f t="shared" si="0"/>
        <v>1.3888888888888888E-2</v>
      </c>
    </row>
    <row r="26" spans="2:7" ht="27.95" customHeight="1" x14ac:dyDescent="0.25">
      <c r="B26" s="1">
        <v>25</v>
      </c>
      <c r="C26" s="109" t="s">
        <v>91</v>
      </c>
      <c r="E26" s="110" t="s">
        <v>348</v>
      </c>
      <c r="F26" s="1">
        <f>COUNTIF($C$2:$C$78,"Muy pesada por que todo esta costoso")</f>
        <v>1</v>
      </c>
      <c r="G26" s="4">
        <f t="shared" si="0"/>
        <v>1.3888888888888888E-2</v>
      </c>
    </row>
    <row r="27" spans="2:7" ht="27.95" customHeight="1" x14ac:dyDescent="0.25">
      <c r="B27" s="1">
        <v>26</v>
      </c>
      <c r="C27" s="109" t="s">
        <v>91</v>
      </c>
      <c r="E27" s="110" t="s">
        <v>397</v>
      </c>
      <c r="F27" s="1">
        <f>COUNTIF($C$2:$C$78,"Normal")</f>
        <v>1</v>
      </c>
      <c r="G27" s="4">
        <f t="shared" si="0"/>
        <v>1.3888888888888888E-2</v>
      </c>
    </row>
    <row r="28" spans="2:7" ht="27.95" customHeight="1" x14ac:dyDescent="0.25">
      <c r="B28" s="1">
        <v>27</v>
      </c>
      <c r="C28" s="109" t="s">
        <v>108</v>
      </c>
      <c r="E28" s="110" t="s">
        <v>118</v>
      </c>
      <c r="F28" s="1">
        <f>COUNTIF($C$2:$C$78,"Pesado con lo que se viene")</f>
        <v>1</v>
      </c>
      <c r="G28" s="4">
        <f t="shared" si="0"/>
        <v>1.3888888888888888E-2</v>
      </c>
    </row>
    <row r="29" spans="2:7" ht="27.95" customHeight="1" x14ac:dyDescent="0.25">
      <c r="B29" s="1">
        <v>28</v>
      </c>
      <c r="C29" s="109" t="s">
        <v>91</v>
      </c>
      <c r="E29" s="110" t="s">
        <v>82</v>
      </c>
      <c r="F29" s="1">
        <f>COUNTIF($C$2:$C$78,"Pesima se viene cosas dificiles en la economia")</f>
        <v>1</v>
      </c>
      <c r="G29" s="4">
        <f t="shared" si="0"/>
        <v>1.3888888888888888E-2</v>
      </c>
    </row>
    <row r="30" spans="2:7" ht="27.95" customHeight="1" x14ac:dyDescent="0.25">
      <c r="B30" s="1">
        <v>29</v>
      </c>
      <c r="C30" s="109" t="s">
        <v>206</v>
      </c>
      <c r="E30" s="110" t="s">
        <v>388</v>
      </c>
      <c r="F30" s="1">
        <f>COUNTIF($C$2:$C$78,"Por el momento esta estable")</f>
        <v>1</v>
      </c>
      <c r="G30" s="4">
        <f t="shared" si="0"/>
        <v>1.3888888888888888E-2</v>
      </c>
    </row>
    <row r="31" spans="2:7" ht="27.95" customHeight="1" x14ac:dyDescent="0.25">
      <c r="B31" s="1">
        <v>30</v>
      </c>
      <c r="C31" s="109" t="s">
        <v>139</v>
      </c>
      <c r="E31" s="110" t="s">
        <v>357</v>
      </c>
      <c r="F31" s="1">
        <f>COUNTIF($C$2:$C$78,"Positivamente")</f>
        <v>1</v>
      </c>
      <c r="G31" s="4">
        <f t="shared" si="0"/>
        <v>1.3888888888888888E-2</v>
      </c>
    </row>
    <row r="32" spans="2:7" ht="27.95" customHeight="1" x14ac:dyDescent="0.25">
      <c r="B32" s="1">
        <v>31</v>
      </c>
      <c r="C32" s="109" t="s">
        <v>139</v>
      </c>
      <c r="E32" s="110" t="s">
        <v>306</v>
      </c>
      <c r="F32" s="1">
        <f>COUNTIF($C$2:$C$78,"Que podrian haber cambios malos por el incremento")</f>
        <v>1</v>
      </c>
      <c r="G32" s="4">
        <f t="shared" si="0"/>
        <v>1.3888888888888888E-2</v>
      </c>
    </row>
    <row r="33" spans="2:7" ht="27.95" customHeight="1" x14ac:dyDescent="0.25">
      <c r="B33" s="1">
        <v>32</v>
      </c>
      <c r="C33" s="109" t="s">
        <v>108</v>
      </c>
      <c r="E33" s="110" t="s">
        <v>163</v>
      </c>
      <c r="F33" s="1">
        <f>COUNTIF($C$2:$C$78,"Que va haber mucha mejoria en la economia")</f>
        <v>1</v>
      </c>
      <c r="G33" s="4">
        <f t="shared" si="0"/>
        <v>1.3888888888888888E-2</v>
      </c>
    </row>
    <row r="34" spans="2:7" ht="27.95" customHeight="1" x14ac:dyDescent="0.25">
      <c r="B34" s="1">
        <v>33</v>
      </c>
      <c r="C34" s="109" t="s">
        <v>222</v>
      </c>
      <c r="E34" s="110" t="s">
        <v>253</v>
      </c>
      <c r="F34" s="1">
        <f>COUNTIF($C$2:$C$78,"Reservado")</f>
        <v>1</v>
      </c>
      <c r="G34" s="4">
        <f t="shared" si="0"/>
        <v>1.3888888888888888E-2</v>
      </c>
    </row>
    <row r="35" spans="2:7" ht="27.95" customHeight="1" x14ac:dyDescent="0.25">
      <c r="B35" s="1">
        <v>34</v>
      </c>
      <c r="C35" s="109" t="s">
        <v>91</v>
      </c>
      <c r="E35" s="110" t="s">
        <v>363</v>
      </c>
      <c r="F35" s="1">
        <f>COUNTIF($C$2:$C$78,"Será un buena administración y trae avances favorables")</f>
        <v>1</v>
      </c>
      <c r="G35" s="4">
        <f t="shared" si="0"/>
        <v>1.3888888888888888E-2</v>
      </c>
    </row>
    <row r="36" spans="2:7" ht="27.95" customHeight="1" x14ac:dyDescent="0.25">
      <c r="B36" s="1">
        <v>35</v>
      </c>
      <c r="C36" s="109" t="s">
        <v>139</v>
      </c>
      <c r="E36" s="72" t="s">
        <v>6</v>
      </c>
      <c r="F36" s="72">
        <f>SUM(F4:F35)</f>
        <v>72</v>
      </c>
      <c r="G36" s="113">
        <f>SUM(G4:G35)</f>
        <v>0.99999999999999944</v>
      </c>
    </row>
    <row r="37" spans="2:7" ht="27.95" customHeight="1" x14ac:dyDescent="0.25">
      <c r="B37" s="1">
        <v>36</v>
      </c>
      <c r="C37" s="109" t="s">
        <v>91</v>
      </c>
    </row>
    <row r="38" spans="2:7" ht="27.95" customHeight="1" x14ac:dyDescent="0.25">
      <c r="B38" s="1">
        <v>37</v>
      </c>
      <c r="C38" s="109" t="s">
        <v>139</v>
      </c>
      <c r="E38" s="112"/>
    </row>
    <row r="39" spans="2:7" ht="27.95" customHeight="1" x14ac:dyDescent="0.25">
      <c r="B39" s="1">
        <v>38</v>
      </c>
      <c r="C39" s="109"/>
      <c r="E39" s="112"/>
    </row>
    <row r="40" spans="2:7" ht="27.95" customHeight="1" x14ac:dyDescent="0.25">
      <c r="B40" s="1">
        <v>39</v>
      </c>
      <c r="C40" s="109" t="s">
        <v>253</v>
      </c>
      <c r="E40" s="112"/>
    </row>
    <row r="41" spans="2:7" ht="27.95" customHeight="1" x14ac:dyDescent="0.25">
      <c r="B41" s="1">
        <v>40</v>
      </c>
      <c r="C41" s="109" t="s">
        <v>259</v>
      </c>
      <c r="E41" s="112"/>
    </row>
    <row r="42" spans="2:7" ht="27.95" customHeight="1" x14ac:dyDescent="0.25">
      <c r="B42" s="1">
        <v>41</v>
      </c>
      <c r="C42" s="109" t="s">
        <v>108</v>
      </c>
      <c r="E42" s="112"/>
    </row>
    <row r="43" spans="2:7" ht="27.95" customHeight="1" x14ac:dyDescent="0.25">
      <c r="B43" s="1">
        <v>42</v>
      </c>
      <c r="C43" s="109" t="s">
        <v>611</v>
      </c>
      <c r="E43" s="112"/>
    </row>
    <row r="44" spans="2:7" ht="27.95" customHeight="1" x14ac:dyDescent="0.25">
      <c r="B44" s="1">
        <v>43</v>
      </c>
      <c r="C44" s="109" t="s">
        <v>91</v>
      </c>
      <c r="E44" s="112"/>
    </row>
    <row r="45" spans="2:7" ht="27.95" customHeight="1" x14ac:dyDescent="0.25">
      <c r="B45" s="1">
        <v>44</v>
      </c>
      <c r="C45" s="109" t="s">
        <v>91</v>
      </c>
      <c r="E45" s="112"/>
    </row>
    <row r="46" spans="2:7" ht="27.95" customHeight="1" x14ac:dyDescent="0.25">
      <c r="B46" s="1">
        <v>45</v>
      </c>
      <c r="C46" s="109" t="s">
        <v>283</v>
      </c>
      <c r="E46" s="112"/>
    </row>
    <row r="47" spans="2:7" ht="27.95" customHeight="1" x14ac:dyDescent="0.25">
      <c r="B47" s="1">
        <v>46</v>
      </c>
      <c r="C47" s="109" t="s">
        <v>292</v>
      </c>
      <c r="E47" s="112"/>
    </row>
    <row r="48" spans="2:7" ht="27.95" customHeight="1" x14ac:dyDescent="0.25">
      <c r="B48" s="1">
        <v>47</v>
      </c>
      <c r="C48" s="109" t="s">
        <v>297</v>
      </c>
      <c r="E48" s="112"/>
    </row>
    <row r="49" spans="2:5" ht="27.95" customHeight="1" x14ac:dyDescent="0.25">
      <c r="B49" s="1">
        <v>48</v>
      </c>
      <c r="C49" s="109" t="s">
        <v>139</v>
      </c>
      <c r="E49" s="112"/>
    </row>
    <row r="50" spans="2:5" ht="27.95" customHeight="1" x14ac:dyDescent="0.25">
      <c r="B50" s="1">
        <v>49</v>
      </c>
      <c r="C50" s="109" t="s">
        <v>306</v>
      </c>
      <c r="E50" s="112"/>
    </row>
    <row r="51" spans="2:5" ht="27.95" customHeight="1" x14ac:dyDescent="0.25">
      <c r="B51" s="1">
        <v>50</v>
      </c>
      <c r="C51" s="109" t="s">
        <v>310</v>
      </c>
      <c r="E51" s="112"/>
    </row>
    <row r="52" spans="2:5" ht="27.95" customHeight="1" x14ac:dyDescent="0.25">
      <c r="B52" s="1">
        <v>51</v>
      </c>
      <c r="C52" s="109" t="s">
        <v>310</v>
      </c>
      <c r="E52" s="112"/>
    </row>
    <row r="53" spans="2:5" ht="27.95" customHeight="1" x14ac:dyDescent="0.25">
      <c r="B53" s="1">
        <v>52</v>
      </c>
      <c r="C53" s="109"/>
      <c r="E53" s="112"/>
    </row>
    <row r="54" spans="2:5" ht="27.95" customHeight="1" x14ac:dyDescent="0.25">
      <c r="B54" s="1">
        <v>53</v>
      </c>
      <c r="C54" s="109" t="s">
        <v>323</v>
      </c>
      <c r="E54" s="112"/>
    </row>
    <row r="55" spans="2:5" ht="27.95" customHeight="1" x14ac:dyDescent="0.25">
      <c r="B55" s="1">
        <v>54</v>
      </c>
      <c r="C55" s="109" t="s">
        <v>91</v>
      </c>
      <c r="E55" s="112"/>
    </row>
    <row r="56" spans="2:5" ht="27.95" customHeight="1" x14ac:dyDescent="0.25">
      <c r="B56" s="1">
        <v>55</v>
      </c>
      <c r="C56" s="109" t="s">
        <v>335</v>
      </c>
      <c r="E56" s="112"/>
    </row>
    <row r="57" spans="2:5" ht="27.95" customHeight="1" x14ac:dyDescent="0.25">
      <c r="B57" s="1">
        <v>56</v>
      </c>
      <c r="C57" s="109" t="s">
        <v>339</v>
      </c>
      <c r="E57" s="112"/>
    </row>
    <row r="58" spans="2:5" ht="27.95" customHeight="1" x14ac:dyDescent="0.25">
      <c r="B58" s="1">
        <v>57</v>
      </c>
      <c r="C58" s="109" t="s">
        <v>345</v>
      </c>
      <c r="E58" s="112"/>
    </row>
    <row r="59" spans="2:5" ht="27.95" customHeight="1" x14ac:dyDescent="0.25">
      <c r="B59" s="1">
        <v>58</v>
      </c>
      <c r="C59" s="109" t="s">
        <v>348</v>
      </c>
      <c r="E59" s="112"/>
    </row>
    <row r="60" spans="2:5" ht="27.95" customHeight="1" x14ac:dyDescent="0.25">
      <c r="B60" s="1">
        <v>59</v>
      </c>
      <c r="C60" s="109" t="s">
        <v>91</v>
      </c>
      <c r="E60" s="112"/>
    </row>
    <row r="61" spans="2:5" ht="27.95" customHeight="1" x14ac:dyDescent="0.25">
      <c r="B61" s="1">
        <v>60</v>
      </c>
      <c r="C61" s="109" t="s">
        <v>353</v>
      </c>
      <c r="E61" s="112"/>
    </row>
    <row r="62" spans="2:5" ht="27.95" customHeight="1" x14ac:dyDescent="0.25">
      <c r="B62" s="1">
        <v>61</v>
      </c>
      <c r="C62" s="109" t="s">
        <v>357</v>
      </c>
      <c r="E62" s="10"/>
    </row>
    <row r="63" spans="2:5" ht="27.95" customHeight="1" x14ac:dyDescent="0.25">
      <c r="B63" s="1">
        <v>62</v>
      </c>
      <c r="C63" s="109" t="s">
        <v>360</v>
      </c>
      <c r="E63" s="10"/>
    </row>
    <row r="64" spans="2:5" ht="27.95" customHeight="1" x14ac:dyDescent="0.25">
      <c r="B64" s="1">
        <v>63</v>
      </c>
      <c r="C64" s="109" t="s">
        <v>363</v>
      </c>
      <c r="E64" s="10"/>
    </row>
    <row r="65" spans="2:5" ht="27.95" customHeight="1" x14ac:dyDescent="0.25">
      <c r="B65" s="1">
        <v>64</v>
      </c>
      <c r="C65" s="109" t="s">
        <v>139</v>
      </c>
      <c r="E65" s="10"/>
    </row>
    <row r="66" spans="2:5" ht="27.95" customHeight="1" x14ac:dyDescent="0.25">
      <c r="B66" s="1">
        <v>65</v>
      </c>
      <c r="C66" s="109" t="s">
        <v>91</v>
      </c>
      <c r="E66" s="10"/>
    </row>
    <row r="67" spans="2:5" ht="27.95" customHeight="1" x14ac:dyDescent="0.25">
      <c r="B67" s="1">
        <v>66</v>
      </c>
      <c r="C67" s="110"/>
      <c r="E67" s="10"/>
    </row>
    <row r="68" spans="2:5" ht="27.95" customHeight="1" x14ac:dyDescent="0.25">
      <c r="B68" s="1">
        <v>67</v>
      </c>
      <c r="C68" s="110" t="s">
        <v>374</v>
      </c>
      <c r="E68" s="10"/>
    </row>
    <row r="69" spans="2:5" ht="27.95" customHeight="1" x14ac:dyDescent="0.25">
      <c r="B69" s="1">
        <v>68</v>
      </c>
      <c r="C69" s="110" t="s">
        <v>382</v>
      </c>
      <c r="E69" s="10"/>
    </row>
    <row r="70" spans="2:5" ht="27.95" customHeight="1" x14ac:dyDescent="0.25">
      <c r="B70" s="1">
        <v>69</v>
      </c>
      <c r="C70" s="110" t="s">
        <v>388</v>
      </c>
      <c r="E70" s="10"/>
    </row>
    <row r="71" spans="2:5" ht="27.95" customHeight="1" x14ac:dyDescent="0.25">
      <c r="B71" s="1">
        <v>70</v>
      </c>
      <c r="C71" s="110"/>
      <c r="E71" s="10"/>
    </row>
    <row r="72" spans="2:5" ht="27.95" customHeight="1" x14ac:dyDescent="0.25">
      <c r="B72" s="1">
        <v>71</v>
      </c>
      <c r="C72" s="110"/>
      <c r="E72" s="10"/>
    </row>
    <row r="73" spans="2:5" ht="27.95" customHeight="1" x14ac:dyDescent="0.25">
      <c r="B73" s="1">
        <v>72</v>
      </c>
      <c r="C73" s="110" t="s">
        <v>91</v>
      </c>
      <c r="E73" s="10"/>
    </row>
    <row r="74" spans="2:5" ht="27.95" customHeight="1" x14ac:dyDescent="0.25">
      <c r="B74" s="1">
        <v>73</v>
      </c>
      <c r="C74" s="110" t="s">
        <v>397</v>
      </c>
      <c r="E74" s="10"/>
    </row>
    <row r="75" spans="2:5" ht="27.95" customHeight="1" x14ac:dyDescent="0.25">
      <c r="B75" s="1">
        <v>74</v>
      </c>
      <c r="C75" s="110" t="s">
        <v>91</v>
      </c>
      <c r="E75" s="10"/>
    </row>
    <row r="76" spans="2:5" ht="27.95" customHeight="1" x14ac:dyDescent="0.25">
      <c r="B76" s="1">
        <v>75</v>
      </c>
      <c r="C76" s="110" t="s">
        <v>91</v>
      </c>
      <c r="E76" s="112"/>
    </row>
    <row r="77" spans="2:5" ht="27.95" customHeight="1" x14ac:dyDescent="0.25">
      <c r="B77" s="1">
        <v>76</v>
      </c>
      <c r="C77" s="110" t="s">
        <v>91</v>
      </c>
      <c r="E77" s="112"/>
    </row>
    <row r="78" spans="2:5" ht="27.95" customHeight="1" x14ac:dyDescent="0.25">
      <c r="B78" s="1">
        <v>77</v>
      </c>
      <c r="C78" s="110" t="s">
        <v>91</v>
      </c>
      <c r="E78" s="112"/>
    </row>
    <row r="79" spans="2:5" x14ac:dyDescent="0.25">
      <c r="E79" s="112"/>
    </row>
    <row r="80" spans="2:5" x14ac:dyDescent="0.25">
      <c r="E80" s="112"/>
    </row>
    <row r="81" spans="5:5" x14ac:dyDescent="0.25">
      <c r="E81" s="10"/>
    </row>
    <row r="82" spans="5:5" x14ac:dyDescent="0.25">
      <c r="E82" s="10"/>
    </row>
    <row r="83" spans="5:5" x14ac:dyDescent="0.25">
      <c r="E83" s="10"/>
    </row>
    <row r="84" spans="5:5" x14ac:dyDescent="0.25">
      <c r="E84" s="10"/>
    </row>
    <row r="85" spans="5:5" x14ac:dyDescent="0.25">
      <c r="E85" s="10"/>
    </row>
  </sheetData>
  <sortState ref="E4:G80">
    <sortCondition ref="E4:E80"/>
  </sortState>
  <mergeCells count="1">
    <mergeCell ref="E2:G2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28"/>
  <sheetViews>
    <sheetView topLeftCell="A331" workbookViewId="0">
      <selection activeCell="B2" sqref="B2:D3"/>
    </sheetView>
  </sheetViews>
  <sheetFormatPr baseColWidth="10" defaultRowHeight="15" x14ac:dyDescent="0.25"/>
  <cols>
    <col min="2" max="2" width="41.5703125" customWidth="1"/>
    <col min="3" max="3" width="17.28515625" customWidth="1"/>
    <col min="4" max="4" width="18" customWidth="1"/>
  </cols>
  <sheetData>
    <row r="2" spans="1:4" x14ac:dyDescent="0.25">
      <c r="B2" s="165" t="s">
        <v>412</v>
      </c>
      <c r="C2" s="165"/>
      <c r="D2" s="165"/>
    </row>
    <row r="3" spans="1:4" x14ac:dyDescent="0.25">
      <c r="B3" s="31" t="s">
        <v>1</v>
      </c>
      <c r="C3" s="31" t="s">
        <v>2</v>
      </c>
      <c r="D3" s="31" t="s">
        <v>3</v>
      </c>
    </row>
    <row r="4" spans="1:4" x14ac:dyDescent="0.25">
      <c r="A4">
        <v>1</v>
      </c>
      <c r="B4" s="2" t="s">
        <v>4</v>
      </c>
      <c r="C4" s="2">
        <f>COUNTIF(Tabulación!D5:D306,Procesamiento_Info!A4)</f>
        <v>20</v>
      </c>
      <c r="D4" s="4">
        <f>C4/$C$6</f>
        <v>0.25974025974025972</v>
      </c>
    </row>
    <row r="5" spans="1:4" x14ac:dyDescent="0.25">
      <c r="A5">
        <v>2</v>
      </c>
      <c r="B5" s="2" t="s">
        <v>5</v>
      </c>
      <c r="C5" s="2">
        <f>COUNTIF(Tabulación!D5:D306,Procesamiento_Info!A5)</f>
        <v>57</v>
      </c>
      <c r="D5" s="4">
        <f>C5/$C$6</f>
        <v>0.74025974025974028</v>
      </c>
    </row>
    <row r="6" spans="1:4" x14ac:dyDescent="0.25">
      <c r="B6" s="3" t="s">
        <v>6</v>
      </c>
      <c r="C6" s="3">
        <f>SUM(C4:C5)</f>
        <v>77</v>
      </c>
      <c r="D6" s="5">
        <f>SUM(D4:D5)</f>
        <v>1</v>
      </c>
    </row>
    <row r="13" spans="1:4" x14ac:dyDescent="0.25">
      <c r="B13" s="165" t="s">
        <v>413</v>
      </c>
      <c r="C13" s="165"/>
      <c r="D13" s="165"/>
    </row>
    <row r="14" spans="1:4" x14ac:dyDescent="0.25">
      <c r="B14" s="31" t="s">
        <v>1</v>
      </c>
      <c r="C14" s="31" t="s">
        <v>2</v>
      </c>
      <c r="D14" s="31" t="s">
        <v>3</v>
      </c>
    </row>
    <row r="15" spans="1:4" x14ac:dyDescent="0.25">
      <c r="A15">
        <v>1</v>
      </c>
      <c r="B15" s="2" t="s">
        <v>414</v>
      </c>
      <c r="C15" s="2">
        <f>COUNTIF(Tabulación!E5:E306,Procesamiento_Info!A15)</f>
        <v>14</v>
      </c>
      <c r="D15" s="4">
        <f>C15/$C$6</f>
        <v>0.18181818181818182</v>
      </c>
    </row>
    <row r="16" spans="1:4" x14ac:dyDescent="0.25">
      <c r="A16">
        <v>2</v>
      </c>
      <c r="B16" s="2" t="s">
        <v>415</v>
      </c>
      <c r="C16" s="2">
        <f>COUNTIF(Tabulación!E5:E306,Procesamiento_Info!A16)</f>
        <v>61</v>
      </c>
      <c r="D16" s="4">
        <f>C16/$C$6</f>
        <v>0.79220779220779225</v>
      </c>
    </row>
    <row r="17" spans="1:4" x14ac:dyDescent="0.25">
      <c r="A17">
        <v>3</v>
      </c>
      <c r="B17" s="2" t="s">
        <v>416</v>
      </c>
      <c r="C17" s="2">
        <f>COUNTIF(Tabulación!E5:E306,Procesamiento_Info!A17)</f>
        <v>2</v>
      </c>
      <c r="D17" s="4">
        <f>C17/$C$6</f>
        <v>2.5974025974025976E-2</v>
      </c>
    </row>
    <row r="18" spans="1:4" x14ac:dyDescent="0.25">
      <c r="B18" s="3" t="s">
        <v>6</v>
      </c>
      <c r="C18" s="3">
        <f>SUM(C15:C17)</f>
        <v>77</v>
      </c>
      <c r="D18" s="5">
        <f>SUM(D15:D17)</f>
        <v>1</v>
      </c>
    </row>
    <row r="24" spans="1:4" x14ac:dyDescent="0.25">
      <c r="B24" s="165" t="s">
        <v>417</v>
      </c>
      <c r="C24" s="165"/>
      <c r="D24" s="165"/>
    </row>
    <row r="25" spans="1:4" x14ac:dyDescent="0.25">
      <c r="B25" s="31" t="s">
        <v>1</v>
      </c>
      <c r="C25" s="31" t="s">
        <v>2</v>
      </c>
      <c r="D25" s="31" t="s">
        <v>3</v>
      </c>
    </row>
    <row r="26" spans="1:4" x14ac:dyDescent="0.25">
      <c r="A26">
        <v>1</v>
      </c>
      <c r="B26" s="2" t="s">
        <v>418</v>
      </c>
      <c r="C26" s="2">
        <f>COUNTIF(Tabulación!F5:F306,Procesamiento_Info!A26)</f>
        <v>75</v>
      </c>
      <c r="D26" s="4">
        <f>C26/$C$6</f>
        <v>0.97402597402597402</v>
      </c>
    </row>
    <row r="27" spans="1:4" x14ac:dyDescent="0.25">
      <c r="A27">
        <v>2</v>
      </c>
      <c r="B27" s="2" t="s">
        <v>419</v>
      </c>
      <c r="C27" s="2">
        <f>COUNTIF(Tabulación!F5:F306,Procesamiento_Info!A27)</f>
        <v>2</v>
      </c>
      <c r="D27" s="4">
        <f>C27/$C$6</f>
        <v>2.5974025974025976E-2</v>
      </c>
    </row>
    <row r="28" spans="1:4" x14ac:dyDescent="0.25">
      <c r="B28" s="3" t="s">
        <v>6</v>
      </c>
      <c r="C28" s="3">
        <f>SUM(C26:C27)</f>
        <v>77</v>
      </c>
      <c r="D28" s="5">
        <f>SUM(D26:D27)</f>
        <v>1</v>
      </c>
    </row>
    <row r="34" spans="1:4" x14ac:dyDescent="0.25">
      <c r="B34" s="165" t="s">
        <v>420</v>
      </c>
      <c r="C34" s="165"/>
      <c r="D34" s="165"/>
    </row>
    <row r="35" spans="1:4" x14ac:dyDescent="0.25">
      <c r="B35" s="31" t="s">
        <v>1</v>
      </c>
      <c r="C35" s="31" t="s">
        <v>2</v>
      </c>
      <c r="D35" s="31" t="s">
        <v>3</v>
      </c>
    </row>
    <row r="36" spans="1:4" x14ac:dyDescent="0.25">
      <c r="A36">
        <v>1</v>
      </c>
      <c r="B36" s="2" t="s">
        <v>421</v>
      </c>
      <c r="C36" s="2">
        <f>COUNTIF(Tabulación!G5:G306,Procesamiento_Info!A36)</f>
        <v>0</v>
      </c>
      <c r="D36" s="4">
        <f>C36/$C$6</f>
        <v>0</v>
      </c>
    </row>
    <row r="37" spans="1:4" x14ac:dyDescent="0.25">
      <c r="A37">
        <v>2</v>
      </c>
      <c r="B37" s="2" t="s">
        <v>422</v>
      </c>
      <c r="C37" s="2">
        <f>COUNTIF(Tabulación!G5:G306,Procesamiento_Info!A37)</f>
        <v>0</v>
      </c>
      <c r="D37" s="4">
        <f t="shared" ref="D37:D47" si="0">C37/$C$6</f>
        <v>0</v>
      </c>
    </row>
    <row r="38" spans="1:4" x14ac:dyDescent="0.25">
      <c r="A38">
        <v>3</v>
      </c>
      <c r="B38" s="2" t="s">
        <v>423</v>
      </c>
      <c r="C38" s="2">
        <f>COUNTIF(Tabulación!G5:G306,Procesamiento_Info!A39)</f>
        <v>0</v>
      </c>
      <c r="D38" s="4">
        <f t="shared" si="0"/>
        <v>0</v>
      </c>
    </row>
    <row r="39" spans="1:4" x14ac:dyDescent="0.25">
      <c r="A39">
        <v>4</v>
      </c>
      <c r="B39" s="2" t="s">
        <v>424</v>
      </c>
      <c r="C39" s="2">
        <f>COUNTIF(Tabulación!G5:G306,Procesamiento_Info!A39)</f>
        <v>0</v>
      </c>
      <c r="D39" s="4">
        <f t="shared" si="0"/>
        <v>0</v>
      </c>
    </row>
    <row r="40" spans="1:4" x14ac:dyDescent="0.25">
      <c r="A40">
        <v>5</v>
      </c>
      <c r="B40" s="2" t="s">
        <v>425</v>
      </c>
      <c r="C40" s="2">
        <f>COUNTIF(Tabulación!G5:G306,Procesamiento_Info!A40)</f>
        <v>0</v>
      </c>
      <c r="D40" s="4">
        <f t="shared" si="0"/>
        <v>0</v>
      </c>
    </row>
    <row r="41" spans="1:4" x14ac:dyDescent="0.25">
      <c r="A41">
        <v>6</v>
      </c>
      <c r="B41" s="2" t="s">
        <v>426</v>
      </c>
      <c r="C41" s="2">
        <f>COUNTIF(Tabulación!G5:G306,Procesamiento_Info!A41)</f>
        <v>0</v>
      </c>
      <c r="D41" s="4">
        <f t="shared" si="0"/>
        <v>0</v>
      </c>
    </row>
    <row r="42" spans="1:4" x14ac:dyDescent="0.25">
      <c r="A42">
        <v>7</v>
      </c>
      <c r="B42" s="2" t="s">
        <v>427</v>
      </c>
      <c r="C42" s="2">
        <f>COUNTIF(Tabulación!G5:G306,Procesamiento_Info!A42)</f>
        <v>0</v>
      </c>
      <c r="D42" s="4">
        <f t="shared" si="0"/>
        <v>0</v>
      </c>
    </row>
    <row r="43" spans="1:4" x14ac:dyDescent="0.25">
      <c r="A43">
        <v>8</v>
      </c>
      <c r="B43" s="2" t="s">
        <v>428</v>
      </c>
      <c r="C43" s="2">
        <f>COUNTIF(Tabulación!G9:G308,Procesamiento_Info!A43)</f>
        <v>0</v>
      </c>
      <c r="D43" s="4">
        <f t="shared" si="0"/>
        <v>0</v>
      </c>
    </row>
    <row r="44" spans="1:4" x14ac:dyDescent="0.25">
      <c r="A44">
        <v>9</v>
      </c>
      <c r="B44" s="2" t="s">
        <v>429</v>
      </c>
      <c r="C44" s="2">
        <f>COUNTIF(Tabulación!G13:G309,Procesamiento_Info!A44)</f>
        <v>0</v>
      </c>
      <c r="D44" s="4">
        <f t="shared" si="0"/>
        <v>0</v>
      </c>
    </row>
    <row r="45" spans="1:4" x14ac:dyDescent="0.25">
      <c r="A45">
        <v>10</v>
      </c>
      <c r="B45" s="2" t="s">
        <v>430</v>
      </c>
      <c r="C45" s="2">
        <f>COUNTIF(Tabulación!G16:G310,Procesamiento_Info!A45)</f>
        <v>0</v>
      </c>
      <c r="D45" s="4">
        <f t="shared" si="0"/>
        <v>0</v>
      </c>
    </row>
    <row r="46" spans="1:4" x14ac:dyDescent="0.25">
      <c r="A46">
        <v>11</v>
      </c>
      <c r="B46" s="2" t="s">
        <v>431</v>
      </c>
      <c r="C46" s="2">
        <f>COUNTIF(Tabulación!G19:G311,Procesamiento_Info!A46)</f>
        <v>2</v>
      </c>
      <c r="D46" s="4">
        <f t="shared" si="0"/>
        <v>2.5974025974025976E-2</v>
      </c>
    </row>
    <row r="47" spans="1:4" x14ac:dyDescent="0.25">
      <c r="A47">
        <v>12</v>
      </c>
      <c r="B47" s="2" t="s">
        <v>432</v>
      </c>
      <c r="C47" s="2">
        <f>COUNTIF(Tabulación!G23:G312,Procesamiento_Info!A47)</f>
        <v>69</v>
      </c>
      <c r="D47" s="4">
        <f t="shared" si="0"/>
        <v>0.89610389610389607</v>
      </c>
    </row>
    <row r="48" spans="1:4" x14ac:dyDescent="0.25">
      <c r="B48" s="3" t="s">
        <v>6</v>
      </c>
      <c r="C48" s="3">
        <f>SUM(C36:C47)</f>
        <v>71</v>
      </c>
      <c r="D48" s="5">
        <f>SUM(D36:D47)</f>
        <v>0.92207792207792205</v>
      </c>
    </row>
    <row r="51" spans="1:4" x14ac:dyDescent="0.25">
      <c r="B51" s="165" t="s">
        <v>452</v>
      </c>
      <c r="C51" s="165"/>
      <c r="D51" s="165"/>
    </row>
    <row r="52" spans="1:4" x14ac:dyDescent="0.25">
      <c r="B52" s="31" t="s">
        <v>1</v>
      </c>
      <c r="C52" s="31" t="s">
        <v>2</v>
      </c>
      <c r="D52" s="31" t="s">
        <v>3</v>
      </c>
    </row>
    <row r="53" spans="1:4" x14ac:dyDescent="0.25">
      <c r="A53">
        <v>1</v>
      </c>
      <c r="B53" s="2" t="s">
        <v>453</v>
      </c>
      <c r="C53" s="2">
        <f>COUNTIF(Tabulación!H5:H306,Procesamiento_Info!A53)</f>
        <v>20</v>
      </c>
      <c r="D53" s="4">
        <f>C53/$C$57</f>
        <v>0.25974025974025972</v>
      </c>
    </row>
    <row r="54" spans="1:4" x14ac:dyDescent="0.25">
      <c r="A54">
        <v>2</v>
      </c>
      <c r="B54" s="2" t="s">
        <v>454</v>
      </c>
      <c r="C54" s="2">
        <f>COUNTIF(Tabulación!H5:H306,Procesamiento_Info!A54)</f>
        <v>24</v>
      </c>
      <c r="D54" s="4">
        <f>C54/$C$57</f>
        <v>0.31168831168831168</v>
      </c>
    </row>
    <row r="55" spans="1:4" x14ac:dyDescent="0.25">
      <c r="A55">
        <v>3</v>
      </c>
      <c r="B55" s="2" t="s">
        <v>455</v>
      </c>
      <c r="C55" s="2">
        <f>COUNTIF(Tabulación!H5:H306,Procesamiento_Info!A55)</f>
        <v>19</v>
      </c>
      <c r="D55" s="4">
        <f>C55/$C$57</f>
        <v>0.24675324675324675</v>
      </c>
    </row>
    <row r="56" spans="1:4" x14ac:dyDescent="0.25">
      <c r="A56">
        <v>4</v>
      </c>
      <c r="B56" s="2" t="s">
        <v>456</v>
      </c>
      <c r="C56" s="2">
        <f>COUNTIF(Tabulación!H5:H306,Procesamiento_Info!A56)</f>
        <v>14</v>
      </c>
      <c r="D56" s="4">
        <f>C56/$C$57</f>
        <v>0.18181818181818182</v>
      </c>
    </row>
    <row r="57" spans="1:4" x14ac:dyDescent="0.25">
      <c r="B57" s="3" t="s">
        <v>6</v>
      </c>
      <c r="C57" s="3">
        <f>SUM(C53:C56)</f>
        <v>77</v>
      </c>
      <c r="D57" s="5">
        <f>SUM(D53:D56)</f>
        <v>1</v>
      </c>
    </row>
    <row r="60" spans="1:4" x14ac:dyDescent="0.25">
      <c r="B60" s="165" t="s">
        <v>459</v>
      </c>
      <c r="C60" s="165"/>
      <c r="D60" s="165"/>
    </row>
    <row r="61" spans="1:4" x14ac:dyDescent="0.25">
      <c r="B61" s="31" t="s">
        <v>1</v>
      </c>
      <c r="C61" s="31" t="s">
        <v>2</v>
      </c>
      <c r="D61" s="31" t="s">
        <v>3</v>
      </c>
    </row>
    <row r="62" spans="1:4" x14ac:dyDescent="0.25">
      <c r="A62">
        <v>1</v>
      </c>
      <c r="B62" s="2">
        <v>1</v>
      </c>
      <c r="C62" s="2">
        <f>COUNTIF(Tabulación!I5:I306,Procesamiento_Info!A62)</f>
        <v>56</v>
      </c>
      <c r="D62" s="4">
        <f>C62/$C$57</f>
        <v>0.72727272727272729</v>
      </c>
    </row>
    <row r="63" spans="1:4" x14ac:dyDescent="0.25">
      <c r="A63">
        <v>2</v>
      </c>
      <c r="B63" s="2" t="s">
        <v>457</v>
      </c>
      <c r="C63" s="2">
        <f>COUNTIF(Tabulación!I5:I306,Procesamiento_Info!A63)</f>
        <v>16</v>
      </c>
      <c r="D63" s="4">
        <f>C63/$C$57</f>
        <v>0.20779220779220781</v>
      </c>
    </row>
    <row r="64" spans="1:4" x14ac:dyDescent="0.25">
      <c r="A64">
        <v>3</v>
      </c>
      <c r="B64" s="2" t="s">
        <v>458</v>
      </c>
      <c r="C64" s="2">
        <f>COUNTIF(Tabulación!I5:I306,Procesamiento_Info!A64)</f>
        <v>5</v>
      </c>
      <c r="D64" s="4">
        <f>C64/$C$57</f>
        <v>6.4935064935064929E-2</v>
      </c>
    </row>
    <row r="65" spans="1:4" x14ac:dyDescent="0.25">
      <c r="B65" s="3" t="s">
        <v>6</v>
      </c>
      <c r="C65" s="3">
        <f>SUM(C62:C64)</f>
        <v>77</v>
      </c>
      <c r="D65" s="5">
        <f>SUM(D62:D64)</f>
        <v>1</v>
      </c>
    </row>
    <row r="73" spans="1:4" x14ac:dyDescent="0.25">
      <c r="B73" s="165" t="s">
        <v>460</v>
      </c>
      <c r="C73" s="165"/>
      <c r="D73" s="165"/>
    </row>
    <row r="74" spans="1:4" x14ac:dyDescent="0.25">
      <c r="B74" s="31" t="s">
        <v>1</v>
      </c>
      <c r="C74" s="31" t="s">
        <v>2</v>
      </c>
      <c r="D74" s="31" t="s">
        <v>3</v>
      </c>
    </row>
    <row r="75" spans="1:4" x14ac:dyDescent="0.25">
      <c r="A75">
        <v>1</v>
      </c>
      <c r="B75" s="2" t="s">
        <v>461</v>
      </c>
      <c r="C75" s="2">
        <f>COUNTIF(Tabulación!J5:J306,Procesamiento_Info!A75)</f>
        <v>20</v>
      </c>
      <c r="D75" s="4">
        <f>C75/$C$57</f>
        <v>0.25974025974025972</v>
      </c>
    </row>
    <row r="76" spans="1:4" x14ac:dyDescent="0.25">
      <c r="A76">
        <v>2</v>
      </c>
      <c r="B76" s="2" t="s">
        <v>462</v>
      </c>
      <c r="C76" s="2">
        <f>COUNTIF(Tabulación!J5:J306,Procesamiento_Info!A76)</f>
        <v>22</v>
      </c>
      <c r="D76" s="4">
        <f>C76/$C$57</f>
        <v>0.2857142857142857</v>
      </c>
    </row>
    <row r="77" spans="1:4" x14ac:dyDescent="0.25">
      <c r="A77">
        <v>3</v>
      </c>
      <c r="B77" s="2" t="s">
        <v>463</v>
      </c>
      <c r="C77" s="2">
        <f>COUNTIF(Tabulación!J5:J306,Procesamiento_Info!A77)</f>
        <v>35</v>
      </c>
      <c r="D77" s="4">
        <f>C77/$C$57</f>
        <v>0.45454545454545453</v>
      </c>
    </row>
    <row r="78" spans="1:4" x14ac:dyDescent="0.25">
      <c r="B78" s="3" t="s">
        <v>6</v>
      </c>
      <c r="C78" s="3">
        <f>SUM(C75:C77)</f>
        <v>77</v>
      </c>
      <c r="D78" s="5">
        <f>SUM(D75:D77)</f>
        <v>1</v>
      </c>
    </row>
    <row r="86" spans="1:4" x14ac:dyDescent="0.25">
      <c r="B86" s="165" t="s">
        <v>464</v>
      </c>
      <c r="C86" s="165"/>
      <c r="D86" s="165"/>
    </row>
    <row r="87" spans="1:4" x14ac:dyDescent="0.25">
      <c r="B87" s="31" t="s">
        <v>1</v>
      </c>
      <c r="C87" s="31" t="s">
        <v>2</v>
      </c>
      <c r="D87" s="31" t="s">
        <v>3</v>
      </c>
    </row>
    <row r="88" spans="1:4" x14ac:dyDescent="0.25">
      <c r="A88">
        <v>1</v>
      </c>
      <c r="B88" s="2" t="s">
        <v>465</v>
      </c>
      <c r="C88" s="2">
        <f>COUNTIF(Tabulación!K5:K306,Procesamiento_Info!A88)</f>
        <v>12</v>
      </c>
      <c r="D88" s="4">
        <f>C88/$C$57</f>
        <v>0.15584415584415584</v>
      </c>
    </row>
    <row r="89" spans="1:4" x14ac:dyDescent="0.25">
      <c r="A89">
        <v>2</v>
      </c>
      <c r="B89" s="2" t="s">
        <v>466</v>
      </c>
      <c r="C89" s="2">
        <f>COUNTIF(Tabulación!K5:K306,Procesamiento_Info!A89)</f>
        <v>60</v>
      </c>
      <c r="D89" s="4">
        <f>C89/$C$57</f>
        <v>0.77922077922077926</v>
      </c>
    </row>
    <row r="90" spans="1:4" x14ac:dyDescent="0.25">
      <c r="A90">
        <v>3</v>
      </c>
      <c r="B90" s="2" t="s">
        <v>467</v>
      </c>
      <c r="C90" s="2">
        <f>COUNTIF(Tabulación!K5:K306,Procesamiento_Info!A90)</f>
        <v>5</v>
      </c>
      <c r="D90" s="4">
        <f>C90/$C$57</f>
        <v>6.4935064935064929E-2</v>
      </c>
    </row>
    <row r="91" spans="1:4" x14ac:dyDescent="0.25">
      <c r="B91" s="3" t="s">
        <v>6</v>
      </c>
      <c r="C91" s="3">
        <f>SUM(C88:C90)</f>
        <v>77</v>
      </c>
      <c r="D91" s="5">
        <f>SUM(D88:D90)</f>
        <v>1</v>
      </c>
    </row>
    <row r="98" spans="1:4" x14ac:dyDescent="0.25">
      <c r="B98" s="165" t="s">
        <v>468</v>
      </c>
      <c r="C98" s="165"/>
      <c r="D98" s="165"/>
    </row>
    <row r="99" spans="1:4" x14ac:dyDescent="0.25">
      <c r="B99" s="31" t="s">
        <v>1</v>
      </c>
      <c r="C99" s="31" t="s">
        <v>2</v>
      </c>
      <c r="D99" s="31" t="s">
        <v>3</v>
      </c>
    </row>
    <row r="100" spans="1:4" x14ac:dyDescent="0.25">
      <c r="A100">
        <v>1</v>
      </c>
      <c r="B100" s="2" t="s">
        <v>469</v>
      </c>
      <c r="C100" s="2">
        <f>COUNTIF(Tabulación!L5:L306,Procesamiento_Info!A100)</f>
        <v>57</v>
      </c>
      <c r="D100" s="4">
        <f>C100/$C$57</f>
        <v>0.74025974025974028</v>
      </c>
    </row>
    <row r="101" spans="1:4" x14ac:dyDescent="0.25">
      <c r="A101">
        <v>2</v>
      </c>
      <c r="B101" s="2" t="s">
        <v>470</v>
      </c>
      <c r="C101" s="2">
        <f>COUNTIF(Tabulación!L5:L306,Procesamiento_Info!A101)</f>
        <v>15</v>
      </c>
      <c r="D101" s="4">
        <f>C101/$C$57</f>
        <v>0.19480519480519481</v>
      </c>
    </row>
    <row r="102" spans="1:4" x14ac:dyDescent="0.25">
      <c r="A102">
        <v>3</v>
      </c>
      <c r="B102" s="2" t="s">
        <v>471</v>
      </c>
      <c r="C102" s="2">
        <f>COUNTIF(Tabulación!L5:L306,Procesamiento_Info!A102)</f>
        <v>5</v>
      </c>
      <c r="D102" s="4">
        <f>C102/$C$57</f>
        <v>6.4935064935064929E-2</v>
      </c>
    </row>
    <row r="103" spans="1:4" x14ac:dyDescent="0.25">
      <c r="B103" s="3" t="s">
        <v>6</v>
      </c>
      <c r="C103" s="3">
        <f>SUM(C100:C102)</f>
        <v>77</v>
      </c>
      <c r="D103" s="5">
        <f>SUM(D100:D102)</f>
        <v>1</v>
      </c>
    </row>
    <row r="110" spans="1:4" x14ac:dyDescent="0.25">
      <c r="B110" s="165" t="s">
        <v>472</v>
      </c>
      <c r="C110" s="165"/>
      <c r="D110" s="165"/>
    </row>
    <row r="111" spans="1:4" x14ac:dyDescent="0.25">
      <c r="B111" s="31" t="s">
        <v>1</v>
      </c>
      <c r="C111" s="31" t="s">
        <v>2</v>
      </c>
      <c r="D111" s="31" t="s">
        <v>3</v>
      </c>
    </row>
    <row r="112" spans="1:4" x14ac:dyDescent="0.25">
      <c r="A112">
        <v>1</v>
      </c>
      <c r="B112" s="2" t="s">
        <v>473</v>
      </c>
      <c r="C112" s="2">
        <f>COUNTIF(Tabulación!M5:M306,Procesamiento_Info!A112)</f>
        <v>2</v>
      </c>
      <c r="D112" s="4">
        <f>C112/$C$57</f>
        <v>2.5974025974025976E-2</v>
      </c>
    </row>
    <row r="113" spans="1:4" x14ac:dyDescent="0.25">
      <c r="A113">
        <v>2</v>
      </c>
      <c r="B113" s="2" t="s">
        <v>474</v>
      </c>
      <c r="C113" s="2">
        <f>COUNTIF(Tabulación!M5:M306,Procesamiento_Info!A113)</f>
        <v>15</v>
      </c>
      <c r="D113" s="4">
        <f>C113/$C$57</f>
        <v>0.19480519480519481</v>
      </c>
    </row>
    <row r="114" spans="1:4" x14ac:dyDescent="0.25">
      <c r="A114">
        <v>3</v>
      </c>
      <c r="B114" s="2" t="s">
        <v>475</v>
      </c>
      <c r="C114" s="2">
        <f>COUNTIF(Tabulación!M5:M306,Procesamiento_Info!A114)</f>
        <v>60</v>
      </c>
      <c r="D114" s="4">
        <f>C114/$C$57</f>
        <v>0.77922077922077926</v>
      </c>
    </row>
    <row r="115" spans="1:4" x14ac:dyDescent="0.25">
      <c r="B115" s="3" t="s">
        <v>6</v>
      </c>
      <c r="C115" s="3">
        <f>SUM(C112:C114)</f>
        <v>77</v>
      </c>
      <c r="D115" s="5">
        <f>SUM(D112:D114)</f>
        <v>1</v>
      </c>
    </row>
    <row r="121" spans="1:4" x14ac:dyDescent="0.25">
      <c r="B121" s="165" t="s">
        <v>476</v>
      </c>
      <c r="C121" s="165"/>
      <c r="D121" s="165"/>
    </row>
    <row r="122" spans="1:4" x14ac:dyDescent="0.25">
      <c r="B122" s="31" t="s">
        <v>1</v>
      </c>
      <c r="C122" s="31" t="s">
        <v>2</v>
      </c>
      <c r="D122" s="31" t="s">
        <v>3</v>
      </c>
    </row>
    <row r="123" spans="1:4" x14ac:dyDescent="0.25">
      <c r="A123">
        <v>1</v>
      </c>
      <c r="B123" s="2" t="s">
        <v>477</v>
      </c>
      <c r="C123" s="2">
        <f>COUNTIF(Tabulación!N5:N306,Procesamiento_Info!A123)</f>
        <v>5</v>
      </c>
      <c r="D123" s="4">
        <f>C123/$C$57</f>
        <v>6.4935064935064929E-2</v>
      </c>
    </row>
    <row r="124" spans="1:4" x14ac:dyDescent="0.25">
      <c r="A124">
        <v>2</v>
      </c>
      <c r="B124" s="2" t="s">
        <v>478</v>
      </c>
      <c r="C124" s="2">
        <f>COUNTIF(Tabulación!N5:N306,Procesamiento_Info!A124)</f>
        <v>0</v>
      </c>
      <c r="D124" s="4">
        <f>C124/$C$57</f>
        <v>0</v>
      </c>
    </row>
    <row r="125" spans="1:4" x14ac:dyDescent="0.25">
      <c r="A125">
        <v>3</v>
      </c>
      <c r="B125" s="2" t="s">
        <v>479</v>
      </c>
      <c r="C125" s="2">
        <f>COUNTIF(Tabulación!N5:N306,Procesamiento_Info!A125)</f>
        <v>72</v>
      </c>
      <c r="D125" s="4">
        <f>C125/$C$57</f>
        <v>0.93506493506493504</v>
      </c>
    </row>
    <row r="126" spans="1:4" x14ac:dyDescent="0.25">
      <c r="B126" s="3" t="s">
        <v>6</v>
      </c>
      <c r="C126" s="3">
        <f>SUM(C123:C125)</f>
        <v>77</v>
      </c>
      <c r="D126" s="5">
        <f>SUM(D123:D125)</f>
        <v>1</v>
      </c>
    </row>
    <row r="131" spans="1:4" x14ac:dyDescent="0.25">
      <c r="B131" s="165" t="s">
        <v>480</v>
      </c>
      <c r="C131" s="165"/>
      <c r="D131" s="165"/>
    </row>
    <row r="132" spans="1:4" x14ac:dyDescent="0.25">
      <c r="B132" s="31" t="s">
        <v>1</v>
      </c>
      <c r="C132" s="31" t="s">
        <v>2</v>
      </c>
      <c r="D132" s="31" t="s">
        <v>3</v>
      </c>
    </row>
    <row r="133" spans="1:4" x14ac:dyDescent="0.25">
      <c r="A133">
        <v>1</v>
      </c>
      <c r="B133" s="2" t="s">
        <v>481</v>
      </c>
      <c r="C133" s="2">
        <f>COUNTIF(Tabulación!O5:O306,Procesamiento_Info!A133)</f>
        <v>11</v>
      </c>
      <c r="D133" s="4">
        <f>C133/$C$57</f>
        <v>0.14285714285714285</v>
      </c>
    </row>
    <row r="134" spans="1:4" x14ac:dyDescent="0.25">
      <c r="A134">
        <v>2</v>
      </c>
      <c r="B134" s="2" t="s">
        <v>482</v>
      </c>
      <c r="C134" s="2">
        <f>COUNTIF(Tabulación!O5:O306,Procesamiento_Info!A134)</f>
        <v>48</v>
      </c>
      <c r="D134" s="4">
        <f>C134/$C$57</f>
        <v>0.62337662337662336</v>
      </c>
    </row>
    <row r="135" spans="1:4" x14ac:dyDescent="0.25">
      <c r="A135">
        <v>3</v>
      </c>
      <c r="B135" s="2" t="s">
        <v>483</v>
      </c>
      <c r="C135" s="2">
        <f>COUNTIF(Tabulación!O5:O306,Procesamiento_Info!A135)</f>
        <v>15</v>
      </c>
      <c r="D135" s="4">
        <f>C135/$C$57</f>
        <v>0.19480519480519481</v>
      </c>
    </row>
    <row r="136" spans="1:4" x14ac:dyDescent="0.25">
      <c r="B136" s="3" t="s">
        <v>6</v>
      </c>
      <c r="C136" s="3">
        <f>SUM(C133:C135)</f>
        <v>74</v>
      </c>
      <c r="D136" s="5">
        <f>SUM(D133:D135)</f>
        <v>0.96103896103896091</v>
      </c>
    </row>
    <row r="145" spans="1:4" x14ac:dyDescent="0.25">
      <c r="B145" s="165" t="s">
        <v>484</v>
      </c>
      <c r="C145" s="165"/>
      <c r="D145" s="165"/>
    </row>
    <row r="146" spans="1:4" x14ac:dyDescent="0.25">
      <c r="B146" s="31" t="s">
        <v>1</v>
      </c>
      <c r="C146" s="31" t="s">
        <v>2</v>
      </c>
      <c r="D146" s="31" t="s">
        <v>3</v>
      </c>
    </row>
    <row r="147" spans="1:4" x14ac:dyDescent="0.25">
      <c r="A147">
        <v>1</v>
      </c>
      <c r="B147" s="2" t="s">
        <v>485</v>
      </c>
      <c r="C147" s="2">
        <f>COUNTIF(Tabulación!Q5:Q306,Procesamiento_Info!A147)</f>
        <v>2</v>
      </c>
      <c r="D147" s="4">
        <f>C147/$C$57</f>
        <v>2.5974025974025976E-2</v>
      </c>
    </row>
    <row r="148" spans="1:4" x14ac:dyDescent="0.25">
      <c r="A148">
        <v>2</v>
      </c>
      <c r="B148" s="2" t="s">
        <v>457</v>
      </c>
      <c r="C148" s="2">
        <f>COUNTIF(Tabulación!Q5:Q306,Procesamiento_Info!A148)</f>
        <v>23</v>
      </c>
      <c r="D148" s="4">
        <f>C148/$C$57</f>
        <v>0.29870129870129869</v>
      </c>
    </row>
    <row r="149" spans="1:4" x14ac:dyDescent="0.25">
      <c r="A149">
        <v>3</v>
      </c>
      <c r="B149" s="2" t="s">
        <v>486</v>
      </c>
      <c r="C149" s="2">
        <f>COUNTIF(Tabulación!Q5:Q306,Procesamiento_Info!A149)</f>
        <v>50</v>
      </c>
      <c r="D149" s="4">
        <f>C149/$C$57</f>
        <v>0.64935064935064934</v>
      </c>
    </row>
    <row r="150" spans="1:4" x14ac:dyDescent="0.25">
      <c r="B150" s="3" t="s">
        <v>6</v>
      </c>
      <c r="C150" s="3">
        <f>SUM(C147:C149)</f>
        <v>75</v>
      </c>
      <c r="D150" s="5">
        <f>SUM(D147:D149)</f>
        <v>0.97402597402597402</v>
      </c>
    </row>
    <row r="156" spans="1:4" x14ac:dyDescent="0.25">
      <c r="B156" s="165" t="s">
        <v>487</v>
      </c>
      <c r="C156" s="165"/>
      <c r="D156" s="165"/>
    </row>
    <row r="157" spans="1:4" x14ac:dyDescent="0.25">
      <c r="B157" s="31" t="s">
        <v>1</v>
      </c>
      <c r="C157" s="31" t="s">
        <v>2</v>
      </c>
      <c r="D157" s="31" t="s">
        <v>3</v>
      </c>
    </row>
    <row r="158" spans="1:4" x14ac:dyDescent="0.25">
      <c r="A158">
        <v>1</v>
      </c>
      <c r="B158" s="2" t="s">
        <v>488</v>
      </c>
      <c r="C158" s="2">
        <f>COUNTIF(Tabulación!AI5:AI306,Procesamiento_Info!A158)</f>
        <v>16</v>
      </c>
      <c r="D158" s="4">
        <f>C158/$C$57</f>
        <v>0.20779220779220781</v>
      </c>
    </row>
    <row r="159" spans="1:4" x14ac:dyDescent="0.25">
      <c r="A159">
        <v>2</v>
      </c>
      <c r="B159" s="2" t="s">
        <v>83</v>
      </c>
      <c r="C159" s="2">
        <f>COUNTIF(Tabulación!AI5:AI306,Procesamiento_Info!A159)</f>
        <v>58</v>
      </c>
      <c r="D159" s="4">
        <f>C159/$C$57</f>
        <v>0.75324675324675328</v>
      </c>
    </row>
    <row r="160" spans="1:4" x14ac:dyDescent="0.25">
      <c r="B160" s="3" t="s">
        <v>6</v>
      </c>
      <c r="C160" s="3">
        <f>SUM(C158:C159)</f>
        <v>74</v>
      </c>
      <c r="D160" s="5">
        <f>SUM(D158:D159)</f>
        <v>0.96103896103896114</v>
      </c>
    </row>
    <row r="169" spans="1:4" x14ac:dyDescent="0.25">
      <c r="B169" s="165" t="s">
        <v>489</v>
      </c>
      <c r="C169" s="165"/>
      <c r="D169" s="165"/>
    </row>
    <row r="170" spans="1:4" x14ac:dyDescent="0.25">
      <c r="B170" s="31" t="s">
        <v>1</v>
      </c>
      <c r="C170" s="31" t="s">
        <v>2</v>
      </c>
      <c r="D170" s="31" t="s">
        <v>3</v>
      </c>
    </row>
    <row r="171" spans="1:4" x14ac:dyDescent="0.25">
      <c r="A171">
        <v>1</v>
      </c>
      <c r="B171" s="2" t="s">
        <v>139</v>
      </c>
      <c r="C171" s="2">
        <f>COUNTIF(Tabulación!AO5:AO306,Procesamiento_Info!A171)</f>
        <v>67</v>
      </c>
      <c r="D171" s="4">
        <f>C171/$C$57</f>
        <v>0.87012987012987009</v>
      </c>
    </row>
    <row r="172" spans="1:4" x14ac:dyDescent="0.25">
      <c r="A172">
        <v>2</v>
      </c>
      <c r="B172" s="2" t="s">
        <v>91</v>
      </c>
      <c r="C172" s="2">
        <f>COUNTIF(Tabulación!AO5:AO306,Procesamiento_Info!A172)</f>
        <v>0</v>
      </c>
      <c r="D172" s="4">
        <f>C172/$C$57</f>
        <v>0</v>
      </c>
    </row>
    <row r="173" spans="1:4" x14ac:dyDescent="0.25">
      <c r="A173">
        <v>3</v>
      </c>
      <c r="B173" s="2" t="s">
        <v>490</v>
      </c>
      <c r="C173" s="2">
        <f>COUNTIF(Tabulación!AO5:AO306,Procesamiento_Info!A173)</f>
        <v>2</v>
      </c>
      <c r="D173" s="4">
        <f>C173/$C$57</f>
        <v>2.5974025974025976E-2</v>
      </c>
    </row>
    <row r="174" spans="1:4" x14ac:dyDescent="0.25">
      <c r="A174">
        <v>4</v>
      </c>
      <c r="B174" s="2" t="s">
        <v>151</v>
      </c>
      <c r="C174" s="2">
        <f>COUNTIF(Tabulación!AO5:AO306,Procesamiento_Info!A174)</f>
        <v>7</v>
      </c>
      <c r="D174" s="4">
        <f>C174/$C$57</f>
        <v>9.0909090909090912E-2</v>
      </c>
    </row>
    <row r="175" spans="1:4" x14ac:dyDescent="0.25">
      <c r="B175" s="3" t="s">
        <v>6</v>
      </c>
      <c r="C175" s="3">
        <f>SUM(C171:C174)</f>
        <v>76</v>
      </c>
      <c r="D175" s="5">
        <f>SUM(D171:D174)</f>
        <v>0.98701298701298701</v>
      </c>
    </row>
    <row r="181" spans="1:4" x14ac:dyDescent="0.25">
      <c r="B181" s="165" t="s">
        <v>491</v>
      </c>
      <c r="C181" s="165"/>
      <c r="D181" s="165"/>
    </row>
    <row r="182" spans="1:4" x14ac:dyDescent="0.25">
      <c r="B182" s="31" t="s">
        <v>1</v>
      </c>
      <c r="C182" s="31" t="s">
        <v>2</v>
      </c>
      <c r="D182" s="31" t="s">
        <v>3</v>
      </c>
    </row>
    <row r="183" spans="1:4" x14ac:dyDescent="0.25">
      <c r="A183">
        <v>1</v>
      </c>
      <c r="B183" s="2" t="s">
        <v>488</v>
      </c>
      <c r="C183" s="2">
        <f>COUNTIF(Tabulación!AP5:AP306,Procesamiento_Info!A183)</f>
        <v>28</v>
      </c>
      <c r="D183" s="4">
        <f>C183/$C$57</f>
        <v>0.36363636363636365</v>
      </c>
    </row>
    <row r="184" spans="1:4" x14ac:dyDescent="0.25">
      <c r="A184">
        <v>2</v>
      </c>
      <c r="B184" s="2" t="s">
        <v>83</v>
      </c>
      <c r="C184" s="2">
        <f>COUNTIF(Tabulación!AP5:AP306,Procesamiento_Info!A184)</f>
        <v>49</v>
      </c>
      <c r="D184" s="4">
        <f>C184/$C$57</f>
        <v>0.63636363636363635</v>
      </c>
    </row>
    <row r="185" spans="1:4" x14ac:dyDescent="0.25">
      <c r="B185" s="3" t="s">
        <v>6</v>
      </c>
      <c r="C185" s="3">
        <f>SUM(C183:C184)</f>
        <v>77</v>
      </c>
      <c r="D185" s="5">
        <f>SUM(D183:D184)</f>
        <v>1</v>
      </c>
    </row>
    <row r="194" spans="1:4" x14ac:dyDescent="0.25">
      <c r="B194" s="165" t="s">
        <v>492</v>
      </c>
      <c r="C194" s="165"/>
      <c r="D194" s="165"/>
    </row>
    <row r="195" spans="1:4" x14ac:dyDescent="0.25">
      <c r="B195" s="31" t="s">
        <v>1</v>
      </c>
      <c r="C195" s="31" t="s">
        <v>2</v>
      </c>
      <c r="D195" s="31" t="s">
        <v>3</v>
      </c>
    </row>
    <row r="196" spans="1:4" x14ac:dyDescent="0.25">
      <c r="A196">
        <v>1</v>
      </c>
      <c r="B196" s="2" t="s">
        <v>488</v>
      </c>
      <c r="C196" s="2">
        <f>COUNTIF(Tabulación!AR5:AR306,Procesamiento_Info!A196)</f>
        <v>15</v>
      </c>
      <c r="D196" s="4">
        <f>C196/$C$57</f>
        <v>0.19480519480519481</v>
      </c>
    </row>
    <row r="197" spans="1:4" x14ac:dyDescent="0.25">
      <c r="A197">
        <v>2</v>
      </c>
      <c r="B197" s="2" t="s">
        <v>83</v>
      </c>
      <c r="C197" s="2">
        <f>COUNTIF(Tabulación!AR5:AR306,Procesamiento_Info!A197)</f>
        <v>61</v>
      </c>
      <c r="D197" s="4">
        <f>C197/$C$57</f>
        <v>0.79220779220779225</v>
      </c>
    </row>
    <row r="198" spans="1:4" x14ac:dyDescent="0.25">
      <c r="B198" s="3" t="s">
        <v>6</v>
      </c>
      <c r="C198" s="3">
        <f>SUM(C196:C197)</f>
        <v>76</v>
      </c>
      <c r="D198" s="5">
        <f>SUM(D196:D197)</f>
        <v>0.98701298701298712</v>
      </c>
    </row>
    <row r="207" spans="1:4" x14ac:dyDescent="0.25">
      <c r="B207" s="165" t="s">
        <v>493</v>
      </c>
      <c r="C207" s="165"/>
      <c r="D207" s="165"/>
    </row>
    <row r="208" spans="1:4" x14ac:dyDescent="0.25">
      <c r="B208" s="31" t="s">
        <v>1</v>
      </c>
      <c r="C208" s="31" t="s">
        <v>2</v>
      </c>
      <c r="D208" s="31" t="s">
        <v>3</v>
      </c>
    </row>
    <row r="209" spans="1:4" x14ac:dyDescent="0.25">
      <c r="A209">
        <v>1</v>
      </c>
      <c r="B209" s="2" t="s">
        <v>225</v>
      </c>
      <c r="C209" s="2">
        <f>COUNTIF(Tabulación!AT5:AT306,Procesamiento_Info!A209)</f>
        <v>21</v>
      </c>
      <c r="D209" s="4">
        <f>C209/$C$57</f>
        <v>0.27272727272727271</v>
      </c>
    </row>
    <row r="210" spans="1:4" x14ac:dyDescent="0.25">
      <c r="A210">
        <v>2</v>
      </c>
      <c r="B210" s="2" t="s">
        <v>494</v>
      </c>
      <c r="C210" s="2">
        <f>COUNTIF(Tabulación!AT5:AT306,Procesamiento_Info!A210)</f>
        <v>7</v>
      </c>
      <c r="D210" s="4">
        <f t="shared" ref="D210:D215" si="1">C210/$C$57</f>
        <v>9.0909090909090912E-2</v>
      </c>
    </row>
    <row r="211" spans="1:4" x14ac:dyDescent="0.25">
      <c r="A211">
        <v>3</v>
      </c>
      <c r="B211" s="2" t="s">
        <v>495</v>
      </c>
      <c r="C211" s="2">
        <f>COUNTIF(Tabulación!AT7:AT309,Procesamiento_Info!A211)</f>
        <v>37</v>
      </c>
      <c r="D211" s="4">
        <f t="shared" si="1"/>
        <v>0.48051948051948051</v>
      </c>
    </row>
    <row r="212" spans="1:4" x14ac:dyDescent="0.25">
      <c r="A212">
        <v>4</v>
      </c>
      <c r="B212" s="55" t="s">
        <v>496</v>
      </c>
      <c r="C212" s="2">
        <f>COUNTIF(Tabulación!AT8:AT310,Procesamiento_Info!A212)</f>
        <v>2</v>
      </c>
      <c r="D212" s="4">
        <f t="shared" si="1"/>
        <v>2.5974025974025976E-2</v>
      </c>
    </row>
    <row r="213" spans="1:4" x14ac:dyDescent="0.25">
      <c r="A213">
        <v>5</v>
      </c>
      <c r="B213" s="2" t="s">
        <v>497</v>
      </c>
      <c r="C213" s="2">
        <f>COUNTIF(Tabulación!AT9:AT311,Procesamiento_Info!A213)</f>
        <v>4</v>
      </c>
      <c r="D213" s="4">
        <f t="shared" si="1"/>
        <v>5.1948051948051951E-2</v>
      </c>
    </row>
    <row r="214" spans="1:4" x14ac:dyDescent="0.25">
      <c r="A214">
        <v>6</v>
      </c>
      <c r="B214" s="2" t="s">
        <v>498</v>
      </c>
      <c r="C214" s="2">
        <f>COUNTIF(Tabulación!AT5:AT306,Procesamiento_Info!A214)</f>
        <v>4</v>
      </c>
      <c r="D214" s="4">
        <f t="shared" si="1"/>
        <v>5.1948051948051951E-2</v>
      </c>
    </row>
    <row r="215" spans="1:4" x14ac:dyDescent="0.25">
      <c r="A215">
        <v>7</v>
      </c>
      <c r="B215" s="2" t="s">
        <v>499</v>
      </c>
      <c r="C215" s="2">
        <f>COUNTIF(Tabulación!AT11:AT313,Procesamiento_Info!A215)</f>
        <v>1</v>
      </c>
      <c r="D215" s="4">
        <f t="shared" si="1"/>
        <v>1.2987012987012988E-2</v>
      </c>
    </row>
    <row r="216" spans="1:4" x14ac:dyDescent="0.25">
      <c r="B216" s="3" t="s">
        <v>6</v>
      </c>
      <c r="C216" s="3">
        <f>SUM(C209:C215)</f>
        <v>76</v>
      </c>
      <c r="D216" s="5">
        <f>SUM(D209:D215)</f>
        <v>0.98701298701298701</v>
      </c>
    </row>
    <row r="224" spans="1:4" x14ac:dyDescent="0.25">
      <c r="B224" s="165" t="s">
        <v>500</v>
      </c>
      <c r="C224" s="165"/>
      <c r="D224" s="165"/>
    </row>
    <row r="225" spans="1:4" x14ac:dyDescent="0.25">
      <c r="B225" s="31" t="s">
        <v>1</v>
      </c>
      <c r="C225" s="31" t="s">
        <v>2</v>
      </c>
      <c r="D225" s="31" t="s">
        <v>3</v>
      </c>
    </row>
    <row r="226" spans="1:4" x14ac:dyDescent="0.25">
      <c r="A226">
        <v>1</v>
      </c>
      <c r="B226" s="2" t="s">
        <v>501</v>
      </c>
      <c r="C226" s="2">
        <f>COUNTIF(Tabulación!AV5:AV306,Procesamiento_Info!A226)</f>
        <v>53</v>
      </c>
      <c r="D226" s="4">
        <f t="shared" ref="D226:D231" si="2">C226/$C$57</f>
        <v>0.68831168831168832</v>
      </c>
    </row>
    <row r="227" spans="1:4" x14ac:dyDescent="0.25">
      <c r="A227">
        <v>2</v>
      </c>
      <c r="B227" s="2" t="s">
        <v>350</v>
      </c>
      <c r="C227" s="2">
        <f>COUNTIF(Tabulación!AV5:AV306,Procesamiento_Info!A227)</f>
        <v>12</v>
      </c>
      <c r="D227" s="4">
        <f t="shared" si="2"/>
        <v>0.15584415584415584</v>
      </c>
    </row>
    <row r="228" spans="1:4" x14ac:dyDescent="0.25">
      <c r="A228">
        <v>3</v>
      </c>
      <c r="B228" s="2" t="s">
        <v>502</v>
      </c>
      <c r="C228" s="2">
        <f>COUNTIF(Tabulación!AV5:AV306,Procesamiento_Info!A228)</f>
        <v>1</v>
      </c>
      <c r="D228" s="4">
        <f t="shared" si="2"/>
        <v>1.2987012987012988E-2</v>
      </c>
    </row>
    <row r="229" spans="1:4" x14ac:dyDescent="0.25">
      <c r="A229">
        <v>4</v>
      </c>
      <c r="B229" s="55" t="s">
        <v>496</v>
      </c>
      <c r="C229" s="2">
        <f>COUNTIF(Tabulación!AV8:AV310,Procesamiento_Info!A229)</f>
        <v>9</v>
      </c>
      <c r="D229" s="4">
        <f t="shared" si="2"/>
        <v>0.11688311688311688</v>
      </c>
    </row>
    <row r="230" spans="1:4" x14ac:dyDescent="0.25">
      <c r="A230">
        <v>5</v>
      </c>
      <c r="B230" s="2" t="s">
        <v>497</v>
      </c>
      <c r="C230" s="2">
        <f>COUNTIF(Tabulación!AV9:AV311,Procesamiento_Info!A230)</f>
        <v>1</v>
      </c>
      <c r="D230" s="4">
        <f t="shared" si="2"/>
        <v>1.2987012987012988E-2</v>
      </c>
    </row>
    <row r="231" spans="1:4" x14ac:dyDescent="0.25">
      <c r="A231">
        <v>6</v>
      </c>
      <c r="B231" s="2" t="s">
        <v>498</v>
      </c>
      <c r="C231" s="2">
        <f>COUNTIF(Tabulación!AV5:AV306,Procesamiento_Info!A231)</f>
        <v>0</v>
      </c>
      <c r="D231" s="4">
        <f t="shared" si="2"/>
        <v>0</v>
      </c>
    </row>
    <row r="232" spans="1:4" x14ac:dyDescent="0.25">
      <c r="B232" s="3" t="s">
        <v>6</v>
      </c>
      <c r="C232" s="3">
        <f>SUM(C226:C231)</f>
        <v>76</v>
      </c>
      <c r="D232" s="5">
        <f>SUM(D226:D231)</f>
        <v>0.98701298701298701</v>
      </c>
    </row>
    <row r="236" spans="1:4" x14ac:dyDescent="0.25">
      <c r="B236" s="165" t="s">
        <v>503</v>
      </c>
      <c r="C236" s="165"/>
      <c r="D236" s="165"/>
    </row>
    <row r="237" spans="1:4" x14ac:dyDescent="0.25">
      <c r="B237" s="31" t="s">
        <v>1</v>
      </c>
      <c r="C237" s="31" t="s">
        <v>2</v>
      </c>
      <c r="D237" s="31" t="s">
        <v>3</v>
      </c>
    </row>
    <row r="238" spans="1:4" x14ac:dyDescent="0.25">
      <c r="A238">
        <v>1</v>
      </c>
      <c r="B238" s="2" t="s">
        <v>504</v>
      </c>
      <c r="C238" s="2">
        <f>COUNTIF(Tabulación!AX5:AX306,Procesamiento_Info!A238)</f>
        <v>43</v>
      </c>
      <c r="D238" s="4">
        <f t="shared" ref="D238:D243" si="3">C238/$C$57</f>
        <v>0.55844155844155841</v>
      </c>
    </row>
    <row r="239" spans="1:4" x14ac:dyDescent="0.25">
      <c r="A239">
        <v>2</v>
      </c>
      <c r="B239" s="2" t="s">
        <v>505</v>
      </c>
      <c r="C239" s="2">
        <f>COUNTIF(Tabulación!AX5:AX306,Procesamiento_Info!A239)</f>
        <v>14</v>
      </c>
      <c r="D239" s="4">
        <f t="shared" si="3"/>
        <v>0.18181818181818182</v>
      </c>
    </row>
    <row r="240" spans="1:4" x14ac:dyDescent="0.25">
      <c r="A240">
        <v>3</v>
      </c>
      <c r="B240" s="2" t="s">
        <v>506</v>
      </c>
      <c r="C240" s="2">
        <f>COUNTIF(Tabulación!AX6:AX308,Procesamiento_Info!A240)</f>
        <v>11</v>
      </c>
      <c r="D240" s="4">
        <f t="shared" si="3"/>
        <v>0.14285714285714285</v>
      </c>
    </row>
    <row r="241" spans="1:4" x14ac:dyDescent="0.25">
      <c r="A241">
        <v>4</v>
      </c>
      <c r="B241" s="55" t="s">
        <v>496</v>
      </c>
      <c r="C241" s="2">
        <f>COUNTIF(Tabulación!AX7:AX309,Procesamiento_Info!A241)</f>
        <v>5</v>
      </c>
      <c r="D241" s="4">
        <f t="shared" si="3"/>
        <v>6.4935064935064929E-2</v>
      </c>
    </row>
    <row r="242" spans="1:4" x14ac:dyDescent="0.25">
      <c r="A242">
        <v>5</v>
      </c>
      <c r="B242" s="2" t="s">
        <v>497</v>
      </c>
      <c r="C242" s="2">
        <f>COUNTIF(Tabulación!AX8:AX310,Procesamiento_Info!A242)</f>
        <v>4</v>
      </c>
      <c r="D242" s="4">
        <f t="shared" si="3"/>
        <v>5.1948051948051951E-2</v>
      </c>
    </row>
    <row r="243" spans="1:4" x14ac:dyDescent="0.25">
      <c r="A243">
        <v>6</v>
      </c>
      <c r="B243" s="2" t="s">
        <v>498</v>
      </c>
      <c r="C243" s="2">
        <f>COUNTIF(Tabulación!AX9:AX311,Procesamiento_Info!A243)</f>
        <v>0</v>
      </c>
      <c r="D243" s="4">
        <f t="shared" si="3"/>
        <v>0</v>
      </c>
    </row>
    <row r="244" spans="1:4" x14ac:dyDescent="0.25">
      <c r="B244" s="3" t="s">
        <v>6</v>
      </c>
      <c r="C244" s="3">
        <f>SUM(C238:C243)</f>
        <v>77</v>
      </c>
      <c r="D244" s="5">
        <f>SUM(D238:D243)</f>
        <v>0.99999999999999989</v>
      </c>
    </row>
    <row r="249" spans="1:4" x14ac:dyDescent="0.25">
      <c r="B249" s="165" t="s">
        <v>507</v>
      </c>
      <c r="C249" s="165"/>
      <c r="D249" s="165"/>
    </row>
    <row r="250" spans="1:4" x14ac:dyDescent="0.25">
      <c r="B250" s="31" t="s">
        <v>1</v>
      </c>
      <c r="C250" s="31" t="s">
        <v>2</v>
      </c>
      <c r="D250" s="31" t="s">
        <v>3</v>
      </c>
    </row>
    <row r="251" spans="1:4" x14ac:dyDescent="0.25">
      <c r="A251">
        <v>1</v>
      </c>
      <c r="B251" s="2" t="s">
        <v>488</v>
      </c>
      <c r="C251" s="2">
        <f>COUNTIF(Tabulación!AZ5:AZ306,Procesamiento_Info!A251)</f>
        <v>10</v>
      </c>
      <c r="D251" s="4">
        <f>C251/$C$57</f>
        <v>0.12987012987012986</v>
      </c>
    </row>
    <row r="252" spans="1:4" x14ac:dyDescent="0.25">
      <c r="A252">
        <v>2</v>
      </c>
      <c r="B252" s="2" t="s">
        <v>83</v>
      </c>
      <c r="C252" s="2">
        <f>COUNTIF(Tabulación!AZ5:AZ306,Procesamiento_Info!A252)</f>
        <v>66</v>
      </c>
      <c r="D252" s="4">
        <f>C252/$C$57</f>
        <v>0.8571428571428571</v>
      </c>
    </row>
    <row r="253" spans="1:4" x14ac:dyDescent="0.25">
      <c r="B253" s="3" t="s">
        <v>6</v>
      </c>
      <c r="C253" s="3">
        <f>SUM(C251:C252)</f>
        <v>76</v>
      </c>
      <c r="D253" s="5">
        <f>SUM(D251:D252)</f>
        <v>0.9870129870129869</v>
      </c>
    </row>
    <row r="262" spans="1:4" x14ac:dyDescent="0.25">
      <c r="B262" s="165" t="s">
        <v>508</v>
      </c>
      <c r="C262" s="165"/>
      <c r="D262" s="165"/>
    </row>
    <row r="263" spans="1:4" x14ac:dyDescent="0.25">
      <c r="B263" s="31" t="s">
        <v>1</v>
      </c>
      <c r="C263" s="31" t="s">
        <v>2</v>
      </c>
      <c r="D263" s="31" t="s">
        <v>3</v>
      </c>
    </row>
    <row r="264" spans="1:4" x14ac:dyDescent="0.25">
      <c r="A264">
        <v>1</v>
      </c>
      <c r="B264" s="2" t="s">
        <v>436</v>
      </c>
      <c r="C264" s="2">
        <f>COUNTIF(Tabulación!BB5:BB306,Procesamiento_Info!A264)</f>
        <v>10</v>
      </c>
      <c r="D264" s="4">
        <f t="shared" ref="D264:D269" si="4">C264/$C$57</f>
        <v>0.12987012987012986</v>
      </c>
    </row>
    <row r="265" spans="1:4" x14ac:dyDescent="0.25">
      <c r="A265">
        <v>2</v>
      </c>
      <c r="B265" s="2" t="s">
        <v>509</v>
      </c>
      <c r="C265" s="2">
        <f>COUNTIF(Tabulación!BB5:BB306,Procesamiento_Info!A265)</f>
        <v>8</v>
      </c>
      <c r="D265" s="4">
        <f t="shared" si="4"/>
        <v>0.1038961038961039</v>
      </c>
    </row>
    <row r="266" spans="1:4" x14ac:dyDescent="0.25">
      <c r="A266">
        <v>3</v>
      </c>
      <c r="B266" s="2" t="s">
        <v>510</v>
      </c>
      <c r="C266" s="2">
        <f>COUNTIF(Tabulación!BB5:BB306,Procesamiento_Info!A266)</f>
        <v>18</v>
      </c>
      <c r="D266" s="4">
        <f t="shared" si="4"/>
        <v>0.23376623376623376</v>
      </c>
    </row>
    <row r="267" spans="1:4" x14ac:dyDescent="0.25">
      <c r="A267">
        <v>4</v>
      </c>
      <c r="B267" s="55" t="s">
        <v>511</v>
      </c>
      <c r="C267" s="2">
        <f>COUNTIF(Tabulación!BB7:BB309,Procesamiento_Info!A267)</f>
        <v>14</v>
      </c>
      <c r="D267" s="4">
        <f t="shared" si="4"/>
        <v>0.18181818181818182</v>
      </c>
    </row>
    <row r="268" spans="1:4" x14ac:dyDescent="0.25">
      <c r="A268">
        <v>5</v>
      </c>
      <c r="B268" s="2" t="s">
        <v>512</v>
      </c>
      <c r="C268" s="2">
        <f>COUNTIF(Tabulación!BB8:BB310,Procesamiento_Info!A268)</f>
        <v>0</v>
      </c>
      <c r="D268" s="4">
        <f t="shared" si="4"/>
        <v>0</v>
      </c>
    </row>
    <row r="269" spans="1:4" x14ac:dyDescent="0.25">
      <c r="A269">
        <v>6</v>
      </c>
      <c r="B269" s="2" t="s">
        <v>83</v>
      </c>
      <c r="C269" s="2">
        <f>COUNTIF(Tabulación!BB9:BB311,Procesamiento_Info!A269)</f>
        <v>26</v>
      </c>
      <c r="D269" s="4">
        <f t="shared" si="4"/>
        <v>0.33766233766233766</v>
      </c>
    </row>
    <row r="270" spans="1:4" x14ac:dyDescent="0.25">
      <c r="B270" s="3" t="s">
        <v>6</v>
      </c>
      <c r="C270" s="3">
        <f>SUM(C264:C269)</f>
        <v>76</v>
      </c>
      <c r="D270" s="5">
        <f>SUM(D264:D269)</f>
        <v>0.98701298701298701</v>
      </c>
    </row>
    <row r="276" spans="1:4" x14ac:dyDescent="0.25">
      <c r="B276" s="165" t="s">
        <v>513</v>
      </c>
      <c r="C276" s="165"/>
      <c r="D276" s="165"/>
    </row>
    <row r="277" spans="1:4" x14ac:dyDescent="0.25">
      <c r="B277" s="31" t="s">
        <v>1</v>
      </c>
      <c r="C277" s="31" t="s">
        <v>2</v>
      </c>
      <c r="D277" s="31" t="s">
        <v>3</v>
      </c>
    </row>
    <row r="278" spans="1:4" x14ac:dyDescent="0.25">
      <c r="A278">
        <v>1</v>
      </c>
      <c r="B278" s="2" t="s">
        <v>514</v>
      </c>
      <c r="C278" s="2">
        <f>COUNTIF(Tabulación!BD5:BD306,Procesamiento_Info!A278)</f>
        <v>3</v>
      </c>
      <c r="D278" s="4">
        <f>C278/$C$57</f>
        <v>3.896103896103896E-2</v>
      </c>
    </row>
    <row r="279" spans="1:4" x14ac:dyDescent="0.25">
      <c r="A279">
        <v>2</v>
      </c>
      <c r="B279" s="2" t="s">
        <v>515</v>
      </c>
      <c r="C279" s="2">
        <f>COUNTIF(Tabulación!BD5:BD306,Procesamiento_Info!A279)</f>
        <v>8</v>
      </c>
      <c r="D279" s="4">
        <f t="shared" ref="D279:D284" si="5">C279/$C$57</f>
        <v>0.1038961038961039</v>
      </c>
    </row>
    <row r="280" spans="1:4" x14ac:dyDescent="0.25">
      <c r="A280">
        <v>3</v>
      </c>
      <c r="B280" s="2" t="s">
        <v>516</v>
      </c>
      <c r="C280" s="2">
        <f>COUNTIF(Tabulación!BD5:BD306,Procesamiento_Info!A280)</f>
        <v>1</v>
      </c>
      <c r="D280" s="4">
        <f t="shared" si="5"/>
        <v>1.2987012987012988E-2</v>
      </c>
    </row>
    <row r="281" spans="1:4" x14ac:dyDescent="0.25">
      <c r="A281">
        <v>4</v>
      </c>
      <c r="B281" s="55" t="s">
        <v>517</v>
      </c>
      <c r="C281" s="2">
        <f>COUNTIF(Tabulación!BD7:BD309,Procesamiento_Info!A281)</f>
        <v>37</v>
      </c>
      <c r="D281" s="4">
        <f t="shared" si="5"/>
        <v>0.48051948051948051</v>
      </c>
    </row>
    <row r="282" spans="1:4" x14ac:dyDescent="0.25">
      <c r="A282">
        <v>5</v>
      </c>
      <c r="B282" s="2" t="s">
        <v>518</v>
      </c>
      <c r="C282" s="2">
        <f>COUNTIF(Tabulación!BD8:BD310,Procesamiento_Info!A282)</f>
        <v>7</v>
      </c>
      <c r="D282" s="4">
        <f t="shared" si="5"/>
        <v>9.0909090909090912E-2</v>
      </c>
    </row>
    <row r="283" spans="1:4" x14ac:dyDescent="0.25">
      <c r="A283">
        <v>6</v>
      </c>
      <c r="B283" s="2" t="s">
        <v>488</v>
      </c>
      <c r="C283" s="2">
        <f>COUNTIF(Tabulación!BD9:BD311,Procesamiento_Info!A283)</f>
        <v>2</v>
      </c>
      <c r="D283" s="4">
        <f t="shared" si="5"/>
        <v>2.5974025974025976E-2</v>
      </c>
    </row>
    <row r="284" spans="1:4" x14ac:dyDescent="0.25">
      <c r="A284">
        <v>7</v>
      </c>
      <c r="B284" s="2" t="s">
        <v>83</v>
      </c>
      <c r="C284" s="2">
        <f>COUNTIF(Tabulación!BD5:BD306,Procesamiento_Info!A284)</f>
        <v>18</v>
      </c>
      <c r="D284" s="4">
        <f t="shared" si="5"/>
        <v>0.23376623376623376</v>
      </c>
    </row>
    <row r="285" spans="1:4" x14ac:dyDescent="0.25">
      <c r="B285" s="3" t="s">
        <v>6</v>
      </c>
      <c r="C285" s="3">
        <f>SUM(C278:C284)</f>
        <v>76</v>
      </c>
      <c r="D285" s="5">
        <f>SUM(D278:D284)</f>
        <v>0.98701298701298701</v>
      </c>
    </row>
    <row r="289" spans="1:4" x14ac:dyDescent="0.25">
      <c r="B289" s="165" t="s">
        <v>519</v>
      </c>
      <c r="C289" s="165"/>
      <c r="D289" s="165"/>
    </row>
    <row r="290" spans="1:4" x14ac:dyDescent="0.25">
      <c r="B290" s="31" t="s">
        <v>1</v>
      </c>
      <c r="C290" s="31" t="s">
        <v>2</v>
      </c>
      <c r="D290" s="31" t="s">
        <v>3</v>
      </c>
    </row>
    <row r="291" spans="1:4" x14ac:dyDescent="0.25">
      <c r="A291">
        <v>1</v>
      </c>
      <c r="B291" s="2" t="s">
        <v>520</v>
      </c>
      <c r="C291" s="2">
        <f>COUNTIF(Tabulación!BF5:BF306,Procesamiento_Info!A291)</f>
        <v>2</v>
      </c>
      <c r="D291" s="4">
        <f t="shared" ref="D291:D296" si="6">C291/$C$57</f>
        <v>2.5974025974025976E-2</v>
      </c>
    </row>
    <row r="292" spans="1:4" x14ac:dyDescent="0.25">
      <c r="A292">
        <v>2</v>
      </c>
      <c r="B292" s="2" t="s">
        <v>521</v>
      </c>
      <c r="C292" s="2">
        <f>COUNTIF(Tabulación!BF5:BF306,Procesamiento_Info!A292)</f>
        <v>0</v>
      </c>
      <c r="D292" s="4">
        <f t="shared" si="6"/>
        <v>0</v>
      </c>
    </row>
    <row r="293" spans="1:4" x14ac:dyDescent="0.25">
      <c r="A293">
        <v>3</v>
      </c>
      <c r="B293" s="2" t="s">
        <v>522</v>
      </c>
      <c r="C293" s="2">
        <f>COUNTIF(Tabulación!BF5:BF306,Procesamiento_Info!A293)</f>
        <v>8</v>
      </c>
      <c r="D293" s="4">
        <f t="shared" si="6"/>
        <v>0.1038961038961039</v>
      </c>
    </row>
    <row r="294" spans="1:4" x14ac:dyDescent="0.25">
      <c r="A294">
        <v>4</v>
      </c>
      <c r="B294" s="55" t="s">
        <v>536</v>
      </c>
      <c r="C294" s="2">
        <f>COUNTIF(Tabulación!BF5:BF306,Procesamiento_Info!A294)</f>
        <v>44</v>
      </c>
      <c r="D294" s="4">
        <f t="shared" si="6"/>
        <v>0.5714285714285714</v>
      </c>
    </row>
    <row r="295" spans="1:4" x14ac:dyDescent="0.25">
      <c r="A295">
        <v>5</v>
      </c>
      <c r="B295" s="2" t="s">
        <v>512</v>
      </c>
      <c r="C295" s="2">
        <f>COUNTIF(Tabulación!BF7:BF309,Procesamiento_Info!A295)</f>
        <v>0</v>
      </c>
      <c r="D295" s="4">
        <f t="shared" si="6"/>
        <v>0</v>
      </c>
    </row>
    <row r="296" spans="1:4" x14ac:dyDescent="0.25">
      <c r="A296">
        <v>6</v>
      </c>
      <c r="B296" s="2" t="s">
        <v>78</v>
      </c>
      <c r="C296" s="2">
        <f>COUNTIF(Tabulación!BF5:BF306,Procesamiento_Info!A296)</f>
        <v>22</v>
      </c>
      <c r="D296" s="4">
        <f t="shared" si="6"/>
        <v>0.2857142857142857</v>
      </c>
    </row>
    <row r="297" spans="1:4" x14ac:dyDescent="0.25">
      <c r="B297" s="3" t="s">
        <v>6</v>
      </c>
      <c r="C297" s="3">
        <f>SUM(C291:C296)</f>
        <v>76</v>
      </c>
      <c r="D297" s="5">
        <f>SUM(D291:D296)</f>
        <v>0.98701298701298701</v>
      </c>
    </row>
    <row r="301" spans="1:4" x14ac:dyDescent="0.25">
      <c r="B301" s="165" t="s">
        <v>523</v>
      </c>
      <c r="C301" s="165"/>
      <c r="D301" s="165"/>
    </row>
    <row r="302" spans="1:4" x14ac:dyDescent="0.25">
      <c r="B302" s="31" t="s">
        <v>1</v>
      </c>
      <c r="C302" s="31" t="s">
        <v>2</v>
      </c>
      <c r="D302" s="31" t="s">
        <v>3</v>
      </c>
    </row>
    <row r="303" spans="1:4" x14ac:dyDescent="0.25">
      <c r="A303">
        <v>1</v>
      </c>
      <c r="B303" s="2" t="s">
        <v>524</v>
      </c>
      <c r="C303" s="2">
        <f>COUNTIF(Tabulación!BH5:BH306,Procesamiento_Info!A303)</f>
        <v>4</v>
      </c>
      <c r="D303" s="4">
        <f>C303/$C$57</f>
        <v>5.1948051948051951E-2</v>
      </c>
    </row>
    <row r="304" spans="1:4" x14ac:dyDescent="0.25">
      <c r="A304">
        <v>2</v>
      </c>
      <c r="B304" s="2" t="s">
        <v>525</v>
      </c>
      <c r="C304" s="2">
        <f>COUNTIF(Tabulación!BH5:BH306,Procesamiento_Info!A304)</f>
        <v>14</v>
      </c>
      <c r="D304" s="4">
        <f>C304/$C$57</f>
        <v>0.18181818181818182</v>
      </c>
    </row>
    <row r="305" spans="1:4" x14ac:dyDescent="0.25">
      <c r="A305">
        <v>3</v>
      </c>
      <c r="B305" s="2" t="s">
        <v>526</v>
      </c>
      <c r="C305" s="2">
        <f>COUNTIF(Tabulación!BH7:BH309,Procesamiento_Info!A305)</f>
        <v>57</v>
      </c>
      <c r="D305" s="4">
        <f>C305/$C$57</f>
        <v>0.74025974025974028</v>
      </c>
    </row>
    <row r="306" spans="1:4" x14ac:dyDescent="0.25">
      <c r="A306">
        <v>4</v>
      </c>
      <c r="B306" s="55" t="s">
        <v>527</v>
      </c>
      <c r="C306" s="2">
        <f>COUNTIF(Tabulación!BH8:BH310,Procesamiento_Info!A306)</f>
        <v>1</v>
      </c>
      <c r="D306" s="4">
        <f>C306/$C$57</f>
        <v>1.2987012987012988E-2</v>
      </c>
    </row>
    <row r="307" spans="1:4" x14ac:dyDescent="0.25">
      <c r="A307">
        <v>5</v>
      </c>
      <c r="B307" s="2" t="s">
        <v>528</v>
      </c>
      <c r="C307" s="2">
        <f>COUNTIF(Tabulación!BH5:BH306,Procesamiento_Info!A307)</f>
        <v>0</v>
      </c>
      <c r="D307" s="4">
        <f>C307/$C$57</f>
        <v>0</v>
      </c>
    </row>
    <row r="308" spans="1:4" x14ac:dyDescent="0.25">
      <c r="B308" s="3" t="s">
        <v>6</v>
      </c>
      <c r="C308" s="3">
        <f>SUM(C303:C307)</f>
        <v>76</v>
      </c>
      <c r="D308" s="5">
        <f>SUM(D303:D307)</f>
        <v>0.98701298701298701</v>
      </c>
    </row>
    <row r="316" spans="1:4" x14ac:dyDescent="0.25">
      <c r="B316" s="165" t="s">
        <v>529</v>
      </c>
      <c r="C316" s="165"/>
      <c r="D316" s="165"/>
    </row>
    <row r="317" spans="1:4" x14ac:dyDescent="0.25">
      <c r="B317" s="31" t="s">
        <v>1</v>
      </c>
      <c r="C317" s="31" t="s">
        <v>2</v>
      </c>
      <c r="D317" s="31" t="s">
        <v>3</v>
      </c>
    </row>
    <row r="318" spans="1:4" x14ac:dyDescent="0.25">
      <c r="A318">
        <v>1</v>
      </c>
      <c r="B318" s="2" t="s">
        <v>533</v>
      </c>
      <c r="C318" s="2">
        <f>COUNTIF(Tabulación!BK5:BK306,Procesamiento_Info!A318)</f>
        <v>37</v>
      </c>
      <c r="D318" s="4">
        <f t="shared" ref="D318:D327" si="7">C318/$C$57</f>
        <v>0.48051948051948051</v>
      </c>
    </row>
    <row r="319" spans="1:4" x14ac:dyDescent="0.25">
      <c r="A319">
        <v>2</v>
      </c>
      <c r="B319" s="2" t="s">
        <v>534</v>
      </c>
      <c r="C319" s="2">
        <f>COUNTIF(Tabulación!BK5:BK306,Procesamiento_Info!A319)</f>
        <v>3</v>
      </c>
      <c r="D319" s="4">
        <f t="shared" si="7"/>
        <v>3.896103896103896E-2</v>
      </c>
    </row>
    <row r="320" spans="1:4" x14ac:dyDescent="0.25">
      <c r="A320">
        <v>3</v>
      </c>
      <c r="B320" s="2" t="s">
        <v>136</v>
      </c>
      <c r="C320" s="2">
        <f>COUNTIF(Tabulación!BK5:BK306,Procesamiento_Info!A320)</f>
        <v>14</v>
      </c>
      <c r="D320" s="4">
        <f t="shared" si="7"/>
        <v>0.18181818181818182</v>
      </c>
    </row>
    <row r="321" spans="1:4" x14ac:dyDescent="0.25">
      <c r="A321">
        <v>4</v>
      </c>
      <c r="B321" s="55" t="s">
        <v>535</v>
      </c>
      <c r="C321" s="2">
        <f>COUNTIF(Tabulación!BK5:BK306,Procesamiento_Info!A321)</f>
        <v>15</v>
      </c>
      <c r="D321" s="4">
        <f t="shared" si="7"/>
        <v>0.19480519480519481</v>
      </c>
    </row>
    <row r="322" spans="1:4" x14ac:dyDescent="0.25">
      <c r="A322">
        <v>5</v>
      </c>
      <c r="B322" s="55" t="s">
        <v>496</v>
      </c>
      <c r="C322" s="2">
        <f>COUNTIF(Tabulación!BK5:BK306,Procesamiento_Info!A322)</f>
        <v>0</v>
      </c>
      <c r="D322" s="4">
        <f t="shared" si="7"/>
        <v>0</v>
      </c>
    </row>
    <row r="323" spans="1:4" x14ac:dyDescent="0.25">
      <c r="A323">
        <v>6</v>
      </c>
      <c r="B323" s="55" t="s">
        <v>497</v>
      </c>
      <c r="C323" s="2">
        <f>COUNTIF(Tabulación!BK7:BK309,Procesamiento_Info!A323)</f>
        <v>0</v>
      </c>
      <c r="D323" s="4">
        <f t="shared" si="7"/>
        <v>0</v>
      </c>
    </row>
    <row r="324" spans="1:4" x14ac:dyDescent="0.25">
      <c r="A324">
        <v>7</v>
      </c>
      <c r="B324" s="55" t="s">
        <v>530</v>
      </c>
      <c r="C324" s="2">
        <f>COUNTIF(Tabulación!BK8:BK310,Procesamiento_Info!A324)</f>
        <v>2</v>
      </c>
      <c r="D324" s="4">
        <f t="shared" si="7"/>
        <v>2.5974025974025976E-2</v>
      </c>
    </row>
    <row r="325" spans="1:4" x14ac:dyDescent="0.25">
      <c r="A325">
        <v>8</v>
      </c>
      <c r="B325" s="55" t="s">
        <v>498</v>
      </c>
      <c r="C325" s="2">
        <f>COUNTIF(Tabulación!BK9:BK311,Procesamiento_Info!A325)</f>
        <v>2</v>
      </c>
      <c r="D325" s="4">
        <f t="shared" si="7"/>
        <v>2.5974025974025976E-2</v>
      </c>
    </row>
    <row r="326" spans="1:4" x14ac:dyDescent="0.25">
      <c r="A326">
        <v>9</v>
      </c>
      <c r="B326" s="2" t="s">
        <v>531</v>
      </c>
      <c r="C326" s="2">
        <f>COUNTIF(Tabulación!BK5:BK306,Procesamiento_Info!A326)</f>
        <v>0</v>
      </c>
      <c r="D326" s="4">
        <f t="shared" si="7"/>
        <v>0</v>
      </c>
    </row>
    <row r="327" spans="1:4" x14ac:dyDescent="0.25">
      <c r="A327">
        <v>10</v>
      </c>
      <c r="B327" s="55" t="s">
        <v>532</v>
      </c>
      <c r="C327" s="2">
        <f>COUNTIF(Tabulación!BK11:BK313,Procesamiento_Info!A327)</f>
        <v>2</v>
      </c>
      <c r="D327" s="4">
        <f t="shared" si="7"/>
        <v>2.5974025974025976E-2</v>
      </c>
    </row>
    <row r="328" spans="1:4" x14ac:dyDescent="0.25">
      <c r="B328" s="3" t="s">
        <v>6</v>
      </c>
      <c r="C328" s="3">
        <f>SUM(C318:C327)</f>
        <v>75</v>
      </c>
      <c r="D328" s="5">
        <f>SUM(D318:D327)</f>
        <v>0.97402597402597402</v>
      </c>
    </row>
  </sheetData>
  <mergeCells count="26">
    <mergeCell ref="B2:D2"/>
    <mergeCell ref="B13:D13"/>
    <mergeCell ref="B24:D24"/>
    <mergeCell ref="B34:D34"/>
    <mergeCell ref="B51:D51"/>
    <mergeCell ref="B60:D60"/>
    <mergeCell ref="B73:D73"/>
    <mergeCell ref="B86:D86"/>
    <mergeCell ref="B98:D98"/>
    <mergeCell ref="B110:D110"/>
    <mergeCell ref="B301:D301"/>
    <mergeCell ref="B316:D316"/>
    <mergeCell ref="B181:D181"/>
    <mergeCell ref="B121:D121"/>
    <mergeCell ref="B131:D131"/>
    <mergeCell ref="B145:D145"/>
    <mergeCell ref="B156:D156"/>
    <mergeCell ref="B169:D169"/>
    <mergeCell ref="B262:D262"/>
    <mergeCell ref="B276:D276"/>
    <mergeCell ref="B289:D289"/>
    <mergeCell ref="B194:D194"/>
    <mergeCell ref="B207:D207"/>
    <mergeCell ref="B224:D224"/>
    <mergeCell ref="B236:D236"/>
    <mergeCell ref="B249:D24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0"/>
  <sheetViews>
    <sheetView workbookViewId="0">
      <selection activeCell="A21" sqref="A21"/>
    </sheetView>
  </sheetViews>
  <sheetFormatPr baseColWidth="10" defaultRowHeight="15" x14ac:dyDescent="0.25"/>
  <cols>
    <col min="8" max="8" width="22.5703125" customWidth="1"/>
    <col min="11" max="11" width="11.42578125" customWidth="1"/>
  </cols>
  <sheetData>
    <row r="1" spans="2:10" x14ac:dyDescent="0.25">
      <c r="B1" s="66"/>
    </row>
    <row r="2" spans="2:10" x14ac:dyDescent="0.25">
      <c r="B2" s="2">
        <v>1</v>
      </c>
      <c r="C2" s="12" t="s">
        <v>73</v>
      </c>
      <c r="D2" s="12" t="s">
        <v>123</v>
      </c>
      <c r="E2" s="12" t="s">
        <v>289</v>
      </c>
      <c r="F2" s="12"/>
      <c r="H2" s="165" t="s">
        <v>558</v>
      </c>
      <c r="I2" s="165"/>
      <c r="J2" s="165"/>
    </row>
    <row r="3" spans="2:10" x14ac:dyDescent="0.25">
      <c r="B3" s="2">
        <v>2</v>
      </c>
      <c r="C3" s="12" t="s">
        <v>86</v>
      </c>
      <c r="D3" s="12" t="s">
        <v>87</v>
      </c>
      <c r="E3" s="12" t="s">
        <v>88</v>
      </c>
      <c r="F3" s="12"/>
      <c r="H3" s="31" t="s">
        <v>1</v>
      </c>
      <c r="I3" s="31" t="s">
        <v>2</v>
      </c>
      <c r="J3" s="31" t="s">
        <v>3</v>
      </c>
    </row>
    <row r="4" spans="2:10" x14ac:dyDescent="0.25">
      <c r="B4" s="2">
        <v>3</v>
      </c>
      <c r="C4" s="12" t="s">
        <v>93</v>
      </c>
      <c r="D4" s="12" t="s">
        <v>94</v>
      </c>
      <c r="E4" s="12"/>
      <c r="F4" s="12"/>
      <c r="H4" s="57" t="s">
        <v>114</v>
      </c>
      <c r="I4" s="2">
        <f>COUNTIF($C$2:$F$78,"Alpina")</f>
        <v>3</v>
      </c>
      <c r="J4" s="67">
        <f>I4/I51</f>
        <v>1.8987341772151899E-2</v>
      </c>
    </row>
    <row r="5" spans="2:10" x14ac:dyDescent="0.25">
      <c r="B5" s="2">
        <v>4</v>
      </c>
      <c r="C5" s="12" t="s">
        <v>93</v>
      </c>
      <c r="D5" s="12" t="s">
        <v>103</v>
      </c>
      <c r="E5" s="12" t="s">
        <v>111</v>
      </c>
      <c r="F5" s="12"/>
      <c r="H5" s="57" t="s">
        <v>144</v>
      </c>
      <c r="I5" s="2">
        <f>COUNTIF($C$2:$F$78,"Altipal")</f>
        <v>3</v>
      </c>
      <c r="J5" s="67">
        <f>I5/I51</f>
        <v>1.8987341772151899E-2</v>
      </c>
    </row>
    <row r="6" spans="2:10" x14ac:dyDescent="0.25">
      <c r="B6" s="2">
        <v>5</v>
      </c>
      <c r="C6" s="12"/>
      <c r="D6" s="12"/>
      <c r="E6" s="12"/>
      <c r="F6" s="12"/>
      <c r="H6" s="57" t="s">
        <v>264</v>
      </c>
      <c r="I6" s="2">
        <f>COUNTIF($C$2:$F$78,"Bavaria")</f>
        <v>2</v>
      </c>
      <c r="J6" s="67">
        <f>I6/I51</f>
        <v>1.2658227848101266E-2</v>
      </c>
    </row>
    <row r="7" spans="2:10" x14ac:dyDescent="0.25">
      <c r="B7" s="2">
        <v>6</v>
      </c>
      <c r="C7" s="12" t="s">
        <v>86</v>
      </c>
      <c r="D7" s="12" t="s">
        <v>88</v>
      </c>
      <c r="E7" s="12" t="s">
        <v>110</v>
      </c>
      <c r="F7" s="12"/>
      <c r="H7" s="57" t="s">
        <v>110</v>
      </c>
      <c r="I7" s="2">
        <f>COUNTIF($C$2:$F$78,"Bimbo")</f>
        <v>7</v>
      </c>
      <c r="J7" s="67">
        <f>I7/I51</f>
        <v>4.4303797468354431E-2</v>
      </c>
    </row>
    <row r="8" spans="2:10" x14ac:dyDescent="0.25">
      <c r="B8" s="2">
        <v>7</v>
      </c>
      <c r="C8" s="12" t="s">
        <v>73</v>
      </c>
      <c r="D8" s="12" t="s">
        <v>87</v>
      </c>
      <c r="E8" s="12" t="s">
        <v>93</v>
      </c>
      <c r="F8" s="12"/>
      <c r="H8" s="57" t="s">
        <v>111</v>
      </c>
      <c r="I8" s="2">
        <f>COUNTIF($C$2:$F$78,"Ceneca")</f>
        <v>7</v>
      </c>
      <c r="J8" s="67">
        <f>I8/I51</f>
        <v>4.4303797468354431E-2</v>
      </c>
    </row>
    <row r="9" spans="2:10" x14ac:dyDescent="0.25">
      <c r="B9" s="2">
        <v>8</v>
      </c>
      <c r="C9" s="12" t="s">
        <v>114</v>
      </c>
      <c r="D9" s="12" t="s">
        <v>93</v>
      </c>
      <c r="E9" s="12" t="s">
        <v>73</v>
      </c>
      <c r="F9" s="12"/>
      <c r="H9" s="57" t="s">
        <v>405</v>
      </c>
      <c r="I9" s="2">
        <f>COUNTIF($C$2:$F$78,"Clorox")</f>
        <v>1</v>
      </c>
      <c r="J9" s="67">
        <f>I9/I51</f>
        <v>6.3291139240506328E-3</v>
      </c>
    </row>
    <row r="10" spans="2:10" x14ac:dyDescent="0.25">
      <c r="B10" s="2">
        <v>9</v>
      </c>
      <c r="C10" s="12" t="s">
        <v>93</v>
      </c>
      <c r="D10" s="12" t="s">
        <v>120</v>
      </c>
      <c r="E10" s="12" t="s">
        <v>121</v>
      </c>
      <c r="F10" s="12"/>
      <c r="H10" s="57" t="s">
        <v>86</v>
      </c>
      <c r="I10" s="2">
        <f>COUNTIF($C$2:$F$78,"Coca cola")</f>
        <v>11</v>
      </c>
      <c r="J10" s="67">
        <f>I10/I51</f>
        <v>6.9620253164556958E-2</v>
      </c>
    </row>
    <row r="11" spans="2:10" x14ac:dyDescent="0.25">
      <c r="B11" s="2">
        <v>10</v>
      </c>
      <c r="C11" s="12" t="s">
        <v>93</v>
      </c>
      <c r="D11" s="12" t="s">
        <v>123</v>
      </c>
      <c r="E11" s="12" t="s">
        <v>73</v>
      </c>
      <c r="F11" s="12"/>
      <c r="H11" s="57" t="s">
        <v>287</v>
      </c>
      <c r="I11" s="2">
        <f>COUNTIF($C$2:$F$78,"Colanta")</f>
        <v>1</v>
      </c>
      <c r="J11" s="67">
        <f>I11/I51</f>
        <v>6.3291139240506328E-3</v>
      </c>
    </row>
    <row r="12" spans="2:10" x14ac:dyDescent="0.25">
      <c r="B12" s="2">
        <v>11</v>
      </c>
      <c r="C12" s="12" t="s">
        <v>93</v>
      </c>
      <c r="D12" s="12" t="s">
        <v>88</v>
      </c>
      <c r="E12" s="12" t="s">
        <v>121</v>
      </c>
      <c r="F12" s="12"/>
      <c r="H12" s="57" t="s">
        <v>344</v>
      </c>
      <c r="I12" s="2">
        <f>COUNTIF($C$2:$F$78,"Colgate")</f>
        <v>1</v>
      </c>
      <c r="J12" s="67">
        <f>I12/I51</f>
        <v>6.3291139240506328E-3</v>
      </c>
    </row>
    <row r="13" spans="2:10" x14ac:dyDescent="0.25">
      <c r="B13" s="2">
        <v>12</v>
      </c>
      <c r="C13" s="12" t="s">
        <v>73</v>
      </c>
      <c r="D13" s="12" t="s">
        <v>93</v>
      </c>
      <c r="E13" s="12" t="s">
        <v>121</v>
      </c>
      <c r="F13" s="12" t="s">
        <v>88</v>
      </c>
      <c r="H13" s="57" t="s">
        <v>289</v>
      </c>
      <c r="I13" s="2">
        <f>COUNTIF($C$2:$F$78,"Colombiana")</f>
        <v>3</v>
      </c>
      <c r="J13" s="67">
        <f>I13/I51</f>
        <v>1.8987341772151899E-2</v>
      </c>
    </row>
    <row r="14" spans="2:10" x14ac:dyDescent="0.25">
      <c r="B14" s="2">
        <v>13</v>
      </c>
      <c r="C14" s="12" t="s">
        <v>133</v>
      </c>
      <c r="D14" s="12" t="s">
        <v>134</v>
      </c>
      <c r="E14" s="12" t="s">
        <v>135</v>
      </c>
      <c r="F14" s="12" t="s">
        <v>111</v>
      </c>
      <c r="H14" s="57" t="s">
        <v>87</v>
      </c>
      <c r="I14" s="2">
        <f>COUNTIF($C$2:$F$78,"Copidrogas")</f>
        <v>6</v>
      </c>
      <c r="J14" s="67">
        <f>I14/I51</f>
        <v>3.7974683544303799E-2</v>
      </c>
    </row>
    <row r="15" spans="2:10" x14ac:dyDescent="0.25">
      <c r="B15" s="2">
        <v>14</v>
      </c>
      <c r="C15" s="12" t="s">
        <v>133</v>
      </c>
      <c r="D15" s="12" t="s">
        <v>138</v>
      </c>
      <c r="E15" s="12" t="s">
        <v>135</v>
      </c>
      <c r="F15" s="12"/>
      <c r="H15" s="57" t="s">
        <v>559</v>
      </c>
      <c r="I15" s="2">
        <f>COUNTIF($C$2:$F$78,"Crem Helado")</f>
        <v>4</v>
      </c>
      <c r="J15" s="67">
        <f>I15/I51</f>
        <v>2.5316455696202531E-2</v>
      </c>
    </row>
    <row r="16" spans="2:10" x14ac:dyDescent="0.25">
      <c r="B16" s="2">
        <v>15</v>
      </c>
      <c r="C16" s="12" t="s">
        <v>111</v>
      </c>
      <c r="D16" s="12" t="s">
        <v>110</v>
      </c>
      <c r="E16" s="12" t="s">
        <v>88</v>
      </c>
      <c r="F16" s="12"/>
      <c r="H16" s="57" t="s">
        <v>314</v>
      </c>
      <c r="I16" s="2">
        <f>COUNTIF($C$2:$F$78,"Darnell")</f>
        <v>1</v>
      </c>
      <c r="J16" s="67">
        <f>I16/I51</f>
        <v>6.3291139240506328E-3</v>
      </c>
    </row>
    <row r="17" spans="2:10" x14ac:dyDescent="0.25">
      <c r="B17" s="2">
        <v>16</v>
      </c>
      <c r="C17" s="12"/>
      <c r="D17" s="12"/>
      <c r="E17" s="12"/>
      <c r="F17" s="12"/>
      <c r="H17" s="57" t="s">
        <v>228</v>
      </c>
      <c r="I17" s="2">
        <f>COUNTIF($C$2:$F$78,"Daysor")</f>
        <v>2</v>
      </c>
      <c r="J17" s="67">
        <f>I17/I51</f>
        <v>1.2658227848101266E-2</v>
      </c>
    </row>
    <row r="18" spans="2:10" x14ac:dyDescent="0.25">
      <c r="B18" s="2">
        <v>17</v>
      </c>
      <c r="C18" s="12" t="s">
        <v>73</v>
      </c>
      <c r="D18" s="12" t="s">
        <v>143</v>
      </c>
      <c r="E18" s="12" t="s">
        <v>110</v>
      </c>
      <c r="F18" s="12" t="s">
        <v>144</v>
      </c>
      <c r="H18" s="57" t="s">
        <v>343</v>
      </c>
      <c r="I18" s="2">
        <f>COUNTIF($C$2:$F$78,"Dersa")</f>
        <v>3</v>
      </c>
      <c r="J18" s="67">
        <f>I18/I51</f>
        <v>1.8987341772151899E-2</v>
      </c>
    </row>
    <row r="19" spans="2:10" x14ac:dyDescent="0.25">
      <c r="B19" s="2">
        <v>18</v>
      </c>
      <c r="C19" s="12" t="s">
        <v>73</v>
      </c>
      <c r="D19" s="12" t="s">
        <v>110</v>
      </c>
      <c r="E19" s="12" t="s">
        <v>144</v>
      </c>
      <c r="F19" s="12" t="s">
        <v>133</v>
      </c>
      <c r="H19" s="57" t="s">
        <v>364</v>
      </c>
      <c r="I19" s="2">
        <f>COUNTIF($C$2:$F$78,"Establo")</f>
        <v>1</v>
      </c>
      <c r="J19" s="67">
        <f>I19/I51</f>
        <v>6.3291139240506328E-3</v>
      </c>
    </row>
    <row r="20" spans="2:10" x14ac:dyDescent="0.25">
      <c r="B20" s="2">
        <v>19</v>
      </c>
      <c r="C20" s="12" t="s">
        <v>156</v>
      </c>
      <c r="D20" s="12" t="s">
        <v>110</v>
      </c>
      <c r="E20" s="12" t="s">
        <v>133</v>
      </c>
      <c r="F20" s="12"/>
      <c r="H20" s="57" t="s">
        <v>133</v>
      </c>
      <c r="I20" s="2">
        <f>COUNTIF($C$2:$F$78,"Familia")</f>
        <v>5</v>
      </c>
      <c r="J20" s="67">
        <f>I20/I51</f>
        <v>3.1645569620253167E-2</v>
      </c>
    </row>
    <row r="21" spans="2:10" x14ac:dyDescent="0.25">
      <c r="B21" s="2">
        <v>20</v>
      </c>
      <c r="C21" s="12"/>
      <c r="D21" s="12"/>
      <c r="E21" s="12"/>
      <c r="F21" s="12"/>
      <c r="H21" s="57" t="s">
        <v>337</v>
      </c>
      <c r="I21" s="2">
        <f>COUNTIF($C$2:$F$78,"Farmasanchez")</f>
        <v>1</v>
      </c>
      <c r="J21" s="67">
        <f>I21/I51</f>
        <v>6.3291139240506328E-3</v>
      </c>
    </row>
    <row r="22" spans="2:10" x14ac:dyDescent="0.25">
      <c r="B22" s="2">
        <v>21</v>
      </c>
      <c r="C22" s="12" t="s">
        <v>120</v>
      </c>
      <c r="D22" s="12" t="s">
        <v>559</v>
      </c>
      <c r="E22" s="12"/>
      <c r="F22" s="12"/>
      <c r="H22" s="57" t="s">
        <v>313</v>
      </c>
      <c r="I22" s="2">
        <f>COUNTIF($C$2:$F$78,"Fonseca")</f>
        <v>1</v>
      </c>
      <c r="J22" s="67">
        <f>I22/I51</f>
        <v>6.3291139240506328E-3</v>
      </c>
    </row>
    <row r="23" spans="2:10" x14ac:dyDescent="0.25">
      <c r="B23" s="2">
        <v>22</v>
      </c>
      <c r="C23" s="12" t="s">
        <v>138</v>
      </c>
      <c r="D23" s="12" t="s">
        <v>168</v>
      </c>
      <c r="E23" s="12" t="s">
        <v>169</v>
      </c>
      <c r="F23" s="12"/>
      <c r="H23" s="57" t="s">
        <v>235</v>
      </c>
      <c r="I23" s="2">
        <f>COUNTIF($C$2:$F$78,"Huggies")</f>
        <v>1</v>
      </c>
      <c r="J23" s="67">
        <f>I23/I51</f>
        <v>6.3291139240506328E-3</v>
      </c>
    </row>
    <row r="24" spans="2:10" x14ac:dyDescent="0.25">
      <c r="B24" s="2">
        <v>23</v>
      </c>
      <c r="C24" s="12" t="s">
        <v>559</v>
      </c>
      <c r="D24" s="12" t="s">
        <v>73</v>
      </c>
      <c r="E24" s="12" t="s">
        <v>93</v>
      </c>
      <c r="F24" s="12"/>
      <c r="H24" s="57" t="s">
        <v>134</v>
      </c>
      <c r="I24" s="2">
        <f>COUNTIF($C$2:$F$78,"Kotex")</f>
        <v>1</v>
      </c>
      <c r="J24" s="67">
        <f>I24/I51</f>
        <v>6.3291139240506328E-3</v>
      </c>
    </row>
    <row r="25" spans="2:10" x14ac:dyDescent="0.25">
      <c r="B25" s="2">
        <v>24</v>
      </c>
      <c r="C25" s="12" t="s">
        <v>121</v>
      </c>
      <c r="D25" s="12" t="s">
        <v>88</v>
      </c>
      <c r="E25" s="12" t="s">
        <v>73</v>
      </c>
      <c r="F25" s="12"/>
      <c r="H25" s="12" t="s">
        <v>312</v>
      </c>
      <c r="I25" s="2">
        <f>COUNTIF($C$2:$F$78,"Leon Marroquin")</f>
        <v>1</v>
      </c>
      <c r="J25" s="67">
        <f>I25/I51</f>
        <v>6.3291139240506328E-3</v>
      </c>
    </row>
    <row r="26" spans="2:10" x14ac:dyDescent="0.25">
      <c r="B26" s="2">
        <v>25</v>
      </c>
      <c r="C26" s="12" t="s">
        <v>121</v>
      </c>
      <c r="D26" s="12" t="s">
        <v>73</v>
      </c>
      <c r="E26" s="12" t="s">
        <v>186</v>
      </c>
      <c r="F26" s="12" t="s">
        <v>187</v>
      </c>
      <c r="H26" s="12" t="s">
        <v>212</v>
      </c>
      <c r="I26" s="2">
        <f>COUNTIF($C$2:$F$78,"Loreal")</f>
        <v>1</v>
      </c>
      <c r="J26" s="67">
        <f>I26/I51</f>
        <v>6.3291139240506328E-3</v>
      </c>
    </row>
    <row r="27" spans="2:10" x14ac:dyDescent="0.25">
      <c r="B27" s="2">
        <v>26</v>
      </c>
      <c r="C27" s="12" t="s">
        <v>187</v>
      </c>
      <c r="D27" s="12" t="s">
        <v>191</v>
      </c>
      <c r="E27" s="12" t="s">
        <v>186</v>
      </c>
      <c r="F27" s="12"/>
      <c r="H27" s="12" t="s">
        <v>216</v>
      </c>
      <c r="I27" s="2">
        <f>COUNTIF($C$2:$F$78,"Margarita")</f>
        <v>2</v>
      </c>
      <c r="J27" s="67">
        <f>I27/I51</f>
        <v>1.2658227848101266E-2</v>
      </c>
    </row>
    <row r="28" spans="2:10" x14ac:dyDescent="0.25">
      <c r="B28" s="2">
        <v>27</v>
      </c>
      <c r="C28" s="12" t="s">
        <v>120</v>
      </c>
      <c r="D28" s="12" t="s">
        <v>94</v>
      </c>
      <c r="E28" s="12" t="s">
        <v>193</v>
      </c>
      <c r="F28" s="12"/>
      <c r="H28" s="12" t="s">
        <v>213</v>
      </c>
      <c r="I28" s="2">
        <f>COUNTIF($C$2:$F$78,"Merci")</f>
        <v>1</v>
      </c>
      <c r="J28" s="67">
        <f>I28/I51</f>
        <v>6.3291139240506328E-3</v>
      </c>
    </row>
    <row r="29" spans="2:10" x14ac:dyDescent="0.25">
      <c r="B29" s="2">
        <v>28</v>
      </c>
      <c r="C29" s="12" t="s">
        <v>199</v>
      </c>
      <c r="D29" s="12" t="s">
        <v>111</v>
      </c>
      <c r="E29" s="12"/>
      <c r="F29" s="12"/>
      <c r="H29" s="12" t="s">
        <v>342</v>
      </c>
      <c r="I29" s="2">
        <f>COUNTIF($C$2:$F$78,"Nacional de Chocolates")</f>
        <v>1</v>
      </c>
      <c r="J29" s="67">
        <f>I29/I51</f>
        <v>6.3291139240506328E-3</v>
      </c>
    </row>
    <row r="30" spans="2:10" x14ac:dyDescent="0.25">
      <c r="B30" s="2">
        <v>29</v>
      </c>
      <c r="C30" s="12" t="s">
        <v>94</v>
      </c>
      <c r="D30" s="12" t="s">
        <v>73</v>
      </c>
      <c r="E30" s="12" t="s">
        <v>93</v>
      </c>
      <c r="F30" s="12"/>
      <c r="H30" s="12" t="s">
        <v>73</v>
      </c>
      <c r="I30" s="2">
        <f>COUNTIF($C$2:$F$78,"Nutresa")</f>
        <v>19</v>
      </c>
      <c r="J30" s="67">
        <f>I30/I51</f>
        <v>0.12025316455696203</v>
      </c>
    </row>
    <row r="31" spans="2:10" x14ac:dyDescent="0.25">
      <c r="B31" s="2">
        <v>30</v>
      </c>
      <c r="C31" s="12"/>
      <c r="D31" s="12"/>
      <c r="E31" s="12"/>
      <c r="F31" s="12"/>
      <c r="H31" s="12" t="s">
        <v>355</v>
      </c>
      <c r="I31" s="2">
        <f>COUNTIF($C$2:$F$78,"Pañales Tennei")</f>
        <v>1</v>
      </c>
      <c r="J31" s="67">
        <f>I31/I51</f>
        <v>6.3291139240506328E-3</v>
      </c>
    </row>
    <row r="32" spans="2:10" x14ac:dyDescent="0.25">
      <c r="B32" s="2">
        <v>31</v>
      </c>
      <c r="C32" s="12" t="s">
        <v>562</v>
      </c>
      <c r="D32" s="12" t="s">
        <v>191</v>
      </c>
      <c r="E32" s="12" t="s">
        <v>213</v>
      </c>
      <c r="F32" s="12"/>
      <c r="H32" s="12" t="s">
        <v>243</v>
      </c>
      <c r="I32" s="2">
        <f>COUNTIF($C$2:$F$78,"Pequeñin")</f>
        <v>2</v>
      </c>
      <c r="J32" s="67">
        <f>I32/I51</f>
        <v>1.2658227848101266E-2</v>
      </c>
    </row>
    <row r="33" spans="2:10" x14ac:dyDescent="0.25">
      <c r="B33" s="2">
        <v>32</v>
      </c>
      <c r="C33" s="12" t="s">
        <v>87</v>
      </c>
      <c r="D33" s="12" t="s">
        <v>191</v>
      </c>
      <c r="E33" s="12" t="s">
        <v>88</v>
      </c>
      <c r="F33" s="12" t="s">
        <v>216</v>
      </c>
      <c r="H33" s="12" t="s">
        <v>256</v>
      </c>
      <c r="I33" s="2">
        <f>COUNTIF(C2:F78,"Polar")</f>
        <v>1</v>
      </c>
      <c r="J33" s="67">
        <f>I33/I51</f>
        <v>6.3291139240506328E-3</v>
      </c>
    </row>
    <row r="34" spans="2:10" x14ac:dyDescent="0.25">
      <c r="B34" s="2">
        <v>33</v>
      </c>
      <c r="C34" s="12"/>
      <c r="D34" s="12"/>
      <c r="E34" s="12"/>
      <c r="F34" s="12"/>
      <c r="H34" s="12" t="s">
        <v>88</v>
      </c>
      <c r="I34" s="2">
        <f>COUNTIF($C$2:$F$78,"Postobon")</f>
        <v>19</v>
      </c>
      <c r="J34" s="67">
        <f>I34/I51</f>
        <v>0.12025316455696203</v>
      </c>
    </row>
    <row r="35" spans="2:10" x14ac:dyDescent="0.25">
      <c r="B35" s="2">
        <v>34</v>
      </c>
      <c r="C35" s="12" t="s">
        <v>73</v>
      </c>
      <c r="D35" s="12" t="s">
        <v>110</v>
      </c>
      <c r="E35" s="12" t="s">
        <v>144</v>
      </c>
      <c r="F35" s="12"/>
      <c r="H35" s="12" t="s">
        <v>193</v>
      </c>
      <c r="I35" s="2">
        <f>COUNTIF($C$2:$F$78,"Provesa")</f>
        <v>1</v>
      </c>
      <c r="J35" s="67">
        <f>I35/I51</f>
        <v>6.3291139240506328E-3</v>
      </c>
    </row>
    <row r="36" spans="2:10" x14ac:dyDescent="0.25">
      <c r="B36" s="2">
        <v>35</v>
      </c>
      <c r="C36" s="12" t="s">
        <v>227</v>
      </c>
      <c r="D36" s="12" t="s">
        <v>228</v>
      </c>
      <c r="E36" s="12"/>
      <c r="F36" s="12"/>
      <c r="H36" s="12" t="s">
        <v>409</v>
      </c>
      <c r="I36" s="2">
        <f>COUNTIF($C$2:$F$78,"Rica")</f>
        <v>1</v>
      </c>
      <c r="J36" s="67">
        <f>I36/I51</f>
        <v>6.3291139240506328E-3</v>
      </c>
    </row>
    <row r="37" spans="2:10" x14ac:dyDescent="0.25">
      <c r="B37" s="2">
        <v>36</v>
      </c>
      <c r="C37" s="12" t="s">
        <v>73</v>
      </c>
      <c r="D37" s="12" t="s">
        <v>235</v>
      </c>
      <c r="E37" s="12"/>
      <c r="F37" s="12"/>
      <c r="H37" s="12" t="s">
        <v>257</v>
      </c>
      <c r="I37" s="2">
        <f>COUNTIF($C$2:$F$78,"Sabor")</f>
        <v>1</v>
      </c>
      <c r="J37" s="67">
        <f>I37/I51</f>
        <v>6.3291139240506328E-3</v>
      </c>
    </row>
    <row r="38" spans="2:10" x14ac:dyDescent="0.25">
      <c r="B38" s="2">
        <v>37</v>
      </c>
      <c r="C38" s="12" t="s">
        <v>227</v>
      </c>
      <c r="D38" s="12" t="s">
        <v>228</v>
      </c>
      <c r="E38" s="12" t="s">
        <v>94</v>
      </c>
      <c r="F38" s="12"/>
      <c r="H38" s="12" t="s">
        <v>244</v>
      </c>
      <c r="I38" s="2">
        <f>COUNTIF($C$2:$F$78,"Scoth")</f>
        <v>1</v>
      </c>
      <c r="J38" s="67">
        <f>I38/I51</f>
        <v>6.3291139240506328E-3</v>
      </c>
    </row>
    <row r="39" spans="2:10" x14ac:dyDescent="0.25">
      <c r="B39" s="2">
        <v>38</v>
      </c>
      <c r="C39" s="12" t="s">
        <v>227</v>
      </c>
      <c r="D39" s="12" t="s">
        <v>243</v>
      </c>
      <c r="E39" s="12" t="s">
        <v>244</v>
      </c>
      <c r="F39" s="12"/>
      <c r="H39" s="12" t="s">
        <v>135</v>
      </c>
      <c r="I39" s="2">
        <f>COUNTIF($C$2:$F$78,"Servioccidente")</f>
        <v>3</v>
      </c>
      <c r="J39" s="67">
        <f>I39/I51</f>
        <v>1.8987341772151899E-2</v>
      </c>
    </row>
    <row r="40" spans="2:10" x14ac:dyDescent="0.25">
      <c r="B40" s="2">
        <v>39</v>
      </c>
      <c r="C40" s="12" t="s">
        <v>248</v>
      </c>
      <c r="D40" s="12"/>
      <c r="E40" s="12"/>
      <c r="F40" s="12" t="s">
        <v>0</v>
      </c>
      <c r="H40" s="12" t="s">
        <v>263</v>
      </c>
      <c r="I40" s="2">
        <f>COUNTIF($C$2:$F$78,"Super Ricas")</f>
        <v>1</v>
      </c>
      <c r="J40" s="67">
        <f>I40/I51</f>
        <v>6.3291139240506328E-3</v>
      </c>
    </row>
    <row r="41" spans="2:10" x14ac:dyDescent="0.25">
      <c r="B41" s="2">
        <v>40</v>
      </c>
      <c r="C41" s="12" t="s">
        <v>561</v>
      </c>
      <c r="D41" s="12" t="s">
        <v>257</v>
      </c>
      <c r="E41" s="12"/>
      <c r="F41" s="12"/>
      <c r="H41" s="12" t="s">
        <v>103</v>
      </c>
      <c r="I41" s="2">
        <f>COUNTIF($C$2:$F$78,"Todo aseo")</f>
        <v>1</v>
      </c>
      <c r="J41" s="67">
        <f>I41/I51</f>
        <v>6.3291139240506328E-3</v>
      </c>
    </row>
    <row r="42" spans="2:10" x14ac:dyDescent="0.25">
      <c r="B42" s="2">
        <v>41</v>
      </c>
      <c r="C42" s="12" t="s">
        <v>262</v>
      </c>
      <c r="D42" s="12" t="s">
        <v>263</v>
      </c>
      <c r="E42" s="12" t="s">
        <v>264</v>
      </c>
      <c r="F42" s="12"/>
      <c r="H42" s="12" t="s">
        <v>168</v>
      </c>
      <c r="I42" s="2">
        <f>COUNTIF($C$2:$F$78,"Todomarcas")</f>
        <v>1</v>
      </c>
      <c r="J42" s="67">
        <f>I42/I51</f>
        <v>6.3291139240506328E-3</v>
      </c>
    </row>
    <row r="43" spans="2:10" x14ac:dyDescent="0.25">
      <c r="B43" s="2">
        <v>42</v>
      </c>
      <c r="C43" s="12" t="s">
        <v>93</v>
      </c>
      <c r="D43" s="12" t="s">
        <v>120</v>
      </c>
      <c r="E43" s="12" t="s">
        <v>88</v>
      </c>
      <c r="F43" s="12" t="s">
        <v>123</v>
      </c>
      <c r="H43" s="12" t="s">
        <v>156</v>
      </c>
      <c r="I43" s="2">
        <f>COUNTIF($C$2:$F$78,"Unimacivo")</f>
        <v>2</v>
      </c>
      <c r="J43" s="67">
        <f>I43/I51</f>
        <v>1.2658227848101266E-2</v>
      </c>
    </row>
    <row r="44" spans="2:10" x14ac:dyDescent="0.25">
      <c r="B44" s="2">
        <v>43</v>
      </c>
      <c r="C44" s="12" t="s">
        <v>88</v>
      </c>
      <c r="D44" s="12" t="s">
        <v>156</v>
      </c>
      <c r="E44" s="12"/>
      <c r="F44" s="12"/>
      <c r="H44" s="12" t="s">
        <v>93</v>
      </c>
      <c r="I44" s="2">
        <f>COUNTIF($C$2:$F$78,"Unimarcas")</f>
        <v>15</v>
      </c>
      <c r="J44" s="67">
        <f>I44/I51</f>
        <v>9.49367088607595E-2</v>
      </c>
    </row>
    <row r="45" spans="2:10" x14ac:dyDescent="0.25">
      <c r="B45" s="2">
        <v>44</v>
      </c>
      <c r="C45" s="12" t="s">
        <v>93</v>
      </c>
      <c r="D45" s="12" t="s">
        <v>169</v>
      </c>
      <c r="E45" s="12"/>
      <c r="F45" s="12"/>
      <c r="H45" s="12" t="s">
        <v>248</v>
      </c>
      <c r="I45" s="2">
        <f>COUNTIF($C$2:$F$78,"Vendedor")</f>
        <v>1</v>
      </c>
      <c r="J45" s="67">
        <f>I45/I51</f>
        <v>6.3291139240506328E-3</v>
      </c>
    </row>
    <row r="46" spans="2:10" x14ac:dyDescent="0.25">
      <c r="B46" s="2">
        <v>45</v>
      </c>
      <c r="C46" s="12" t="s">
        <v>73</v>
      </c>
      <c r="D46" s="12" t="s">
        <v>110</v>
      </c>
      <c r="E46" s="12" t="s">
        <v>88</v>
      </c>
      <c r="F46" s="12" t="s">
        <v>121</v>
      </c>
      <c r="H46" s="12" t="s">
        <v>94</v>
      </c>
      <c r="I46" s="2">
        <f>COUNTIF($C$2:$F$78,"Villetano")</f>
        <v>5</v>
      </c>
      <c r="J46" s="67">
        <f>I46/I51</f>
        <v>3.1645569620253167E-2</v>
      </c>
    </row>
    <row r="47" spans="2:10" x14ac:dyDescent="0.25">
      <c r="B47" s="2">
        <v>46</v>
      </c>
      <c r="C47" s="12" t="s">
        <v>287</v>
      </c>
      <c r="D47" s="12" t="s">
        <v>88</v>
      </c>
      <c r="E47" s="12" t="s">
        <v>288</v>
      </c>
      <c r="F47" s="12" t="s">
        <v>289</v>
      </c>
      <c r="H47" s="12" t="s">
        <v>227</v>
      </c>
      <c r="I47" s="2">
        <f>COUNTIF($C$2:$F$78,"Winner")</f>
        <v>3</v>
      </c>
      <c r="J47" s="67">
        <f>I47/I51</f>
        <v>1.8987341772151899E-2</v>
      </c>
    </row>
    <row r="48" spans="2:10" x14ac:dyDescent="0.25">
      <c r="B48" s="2">
        <v>47</v>
      </c>
      <c r="C48" s="12" t="s">
        <v>294</v>
      </c>
      <c r="D48" s="12"/>
      <c r="E48" s="12"/>
      <c r="F48" s="12"/>
      <c r="H48" s="12" t="s">
        <v>123</v>
      </c>
      <c r="I48" s="2">
        <f>COUNTIF($C$2:$F$78,"Winny")</f>
        <v>3</v>
      </c>
      <c r="J48" s="67">
        <f>I48/I51</f>
        <v>1.8987341772151899E-2</v>
      </c>
    </row>
    <row r="49" spans="2:10" x14ac:dyDescent="0.25">
      <c r="B49" s="2">
        <v>48</v>
      </c>
      <c r="C49" s="12" t="s">
        <v>560</v>
      </c>
      <c r="D49" s="12" t="s">
        <v>88</v>
      </c>
      <c r="E49" s="12"/>
      <c r="F49" s="12" t="s">
        <v>0</v>
      </c>
      <c r="H49" s="12" t="s">
        <v>320</v>
      </c>
      <c r="I49" s="2">
        <f>COUNTIF($C$2:$F$78,"Zenu")</f>
        <v>1</v>
      </c>
      <c r="J49" s="67">
        <f>I49/I51</f>
        <v>6.3291139240506328E-3</v>
      </c>
    </row>
    <row r="50" spans="2:10" x14ac:dyDescent="0.25">
      <c r="B50" s="2">
        <v>49</v>
      </c>
      <c r="C50" s="12"/>
      <c r="D50" s="12"/>
      <c r="E50" s="12"/>
      <c r="F50" s="12"/>
      <c r="H50" s="57" t="s">
        <v>169</v>
      </c>
      <c r="I50" s="2">
        <f>COUNTIF($C$2:$F$78,"Zuluaga")</f>
        <v>5</v>
      </c>
      <c r="J50" s="67">
        <f>I50/I51</f>
        <v>3.1645569620253167E-2</v>
      </c>
    </row>
    <row r="51" spans="2:10" x14ac:dyDescent="0.25">
      <c r="B51" s="2">
        <v>50</v>
      </c>
      <c r="C51" s="12"/>
      <c r="D51" s="12"/>
      <c r="E51" s="12"/>
      <c r="F51" s="12"/>
      <c r="H51" s="104" t="s">
        <v>563</v>
      </c>
      <c r="I51" s="104">
        <f>SUM(I4:I50)</f>
        <v>158</v>
      </c>
      <c r="J51" s="105">
        <f>SUM(J4:J50)</f>
        <v>1</v>
      </c>
    </row>
    <row r="52" spans="2:10" x14ac:dyDescent="0.25">
      <c r="B52" s="2">
        <v>51</v>
      </c>
      <c r="C52" s="12" t="s">
        <v>312</v>
      </c>
      <c r="D52" s="12" t="s">
        <v>313</v>
      </c>
      <c r="E52" s="12" t="s">
        <v>314</v>
      </c>
      <c r="F52" s="12"/>
    </row>
    <row r="53" spans="2:10" x14ac:dyDescent="0.25">
      <c r="B53" s="2">
        <v>52</v>
      </c>
      <c r="C53" s="12"/>
      <c r="D53" s="12"/>
      <c r="E53" s="12"/>
      <c r="F53" s="12"/>
    </row>
    <row r="54" spans="2:10" x14ac:dyDescent="0.25">
      <c r="B54" s="2">
        <v>53</v>
      </c>
      <c r="C54" s="12" t="s">
        <v>114</v>
      </c>
      <c r="D54" s="12" t="s">
        <v>191</v>
      </c>
      <c r="E54" s="12" t="s">
        <v>320</v>
      </c>
      <c r="F54" s="12" t="s">
        <v>0</v>
      </c>
    </row>
    <row r="55" spans="2:10" x14ac:dyDescent="0.25">
      <c r="B55" s="2">
        <v>54</v>
      </c>
      <c r="C55" s="12" t="s">
        <v>111</v>
      </c>
      <c r="D55" s="12" t="s">
        <v>325</v>
      </c>
      <c r="E55" s="12" t="s">
        <v>135</v>
      </c>
      <c r="F55" s="12" t="s">
        <v>0</v>
      </c>
    </row>
    <row r="56" spans="2:10" x14ac:dyDescent="0.25">
      <c r="B56" s="2">
        <v>55</v>
      </c>
      <c r="C56" s="12" t="s">
        <v>169</v>
      </c>
      <c r="D56" s="12" t="s">
        <v>73</v>
      </c>
      <c r="E56" s="12" t="s">
        <v>289</v>
      </c>
      <c r="F56" s="12"/>
    </row>
    <row r="57" spans="2:10" x14ac:dyDescent="0.25">
      <c r="B57" s="2">
        <v>56</v>
      </c>
      <c r="C57" s="12" t="s">
        <v>337</v>
      </c>
      <c r="D57" s="12" t="s">
        <v>87</v>
      </c>
      <c r="E57" s="12"/>
      <c r="F57" s="12"/>
    </row>
    <row r="58" spans="2:10" x14ac:dyDescent="0.25">
      <c r="B58" s="2">
        <v>57</v>
      </c>
      <c r="C58" s="12" t="s">
        <v>342</v>
      </c>
      <c r="D58" s="12" t="s">
        <v>343</v>
      </c>
      <c r="E58" s="12" t="s">
        <v>344</v>
      </c>
      <c r="F58" s="12"/>
    </row>
    <row r="59" spans="2:10" x14ac:dyDescent="0.25">
      <c r="B59" s="2">
        <v>58</v>
      </c>
      <c r="C59" s="12" t="s">
        <v>93</v>
      </c>
      <c r="D59" s="12" t="s">
        <v>73</v>
      </c>
      <c r="E59" s="12" t="s">
        <v>94</v>
      </c>
      <c r="F59" s="12"/>
    </row>
    <row r="60" spans="2:10" x14ac:dyDescent="0.25">
      <c r="B60" s="2">
        <v>59</v>
      </c>
      <c r="C60" s="12" t="s">
        <v>111</v>
      </c>
      <c r="D60" s="12" t="s">
        <v>93</v>
      </c>
      <c r="E60" s="12" t="s">
        <v>88</v>
      </c>
      <c r="F60" s="12"/>
    </row>
    <row r="61" spans="2:10" x14ac:dyDescent="0.25">
      <c r="B61" s="2">
        <v>60</v>
      </c>
      <c r="C61" s="12" t="s">
        <v>73</v>
      </c>
      <c r="D61" s="12" t="s">
        <v>88</v>
      </c>
      <c r="E61" s="12" t="s">
        <v>114</v>
      </c>
      <c r="F61" s="12"/>
    </row>
    <row r="62" spans="2:10" x14ac:dyDescent="0.25">
      <c r="B62" s="2">
        <v>61</v>
      </c>
      <c r="C62" s="12" t="s">
        <v>243</v>
      </c>
      <c r="D62" s="12" t="s">
        <v>88</v>
      </c>
      <c r="E62" s="12" t="s">
        <v>355</v>
      </c>
      <c r="F62" s="12"/>
    </row>
    <row r="63" spans="2:10" x14ac:dyDescent="0.25">
      <c r="B63" s="2">
        <v>62</v>
      </c>
      <c r="C63" s="12"/>
      <c r="D63" s="12"/>
      <c r="E63" s="12"/>
      <c r="F63" s="12"/>
    </row>
    <row r="64" spans="2:10" x14ac:dyDescent="0.25">
      <c r="B64" s="2">
        <v>63</v>
      </c>
      <c r="C64" s="12"/>
      <c r="D64" s="12"/>
      <c r="E64" s="12"/>
      <c r="F64" s="12"/>
    </row>
    <row r="65" spans="2:6" x14ac:dyDescent="0.25">
      <c r="B65" s="2">
        <v>64</v>
      </c>
      <c r="C65" s="12" t="s">
        <v>343</v>
      </c>
      <c r="D65" s="12" t="s">
        <v>364</v>
      </c>
      <c r="E65" s="12"/>
      <c r="F65" s="12"/>
    </row>
    <row r="66" spans="2:6" x14ac:dyDescent="0.25">
      <c r="B66" s="2">
        <v>65</v>
      </c>
      <c r="C66" s="12" t="s">
        <v>343</v>
      </c>
      <c r="D66" s="12" t="s">
        <v>216</v>
      </c>
      <c r="E66" s="12"/>
      <c r="F66" s="12"/>
    </row>
    <row r="67" spans="2:6" x14ac:dyDescent="0.25">
      <c r="B67" s="2">
        <v>66</v>
      </c>
      <c r="C67" s="12" t="s">
        <v>87</v>
      </c>
      <c r="D67" s="12" t="s">
        <v>88</v>
      </c>
      <c r="E67" s="12" t="s">
        <v>121</v>
      </c>
      <c r="F67" s="12" t="s">
        <v>377</v>
      </c>
    </row>
    <row r="68" spans="2:6" x14ac:dyDescent="0.25">
      <c r="B68" s="2">
        <v>67</v>
      </c>
      <c r="C68" s="12"/>
      <c r="D68" s="12"/>
      <c r="E68" s="12"/>
      <c r="F68" s="12"/>
    </row>
    <row r="69" spans="2:6" x14ac:dyDescent="0.25">
      <c r="B69" s="2">
        <v>68</v>
      </c>
      <c r="C69" s="12" t="s">
        <v>86</v>
      </c>
      <c r="D69" s="12" t="s">
        <v>377</v>
      </c>
      <c r="E69" s="12" t="s">
        <v>87</v>
      </c>
      <c r="F69" s="12" t="s">
        <v>88</v>
      </c>
    </row>
    <row r="70" spans="2:6" x14ac:dyDescent="0.25">
      <c r="B70" s="2">
        <v>69</v>
      </c>
      <c r="C70" s="12" t="s">
        <v>73</v>
      </c>
      <c r="D70" s="12" t="s">
        <v>385</v>
      </c>
      <c r="E70" s="12"/>
      <c r="F70" s="12"/>
    </row>
    <row r="71" spans="2:6" x14ac:dyDescent="0.25">
      <c r="B71" s="2">
        <v>70</v>
      </c>
      <c r="C71" s="12"/>
      <c r="D71" s="12"/>
      <c r="E71" s="12"/>
      <c r="F71" s="12"/>
    </row>
    <row r="72" spans="2:6" x14ac:dyDescent="0.25">
      <c r="B72" s="2">
        <v>71</v>
      </c>
      <c r="C72" s="12" t="s">
        <v>86</v>
      </c>
      <c r="D72" s="12" t="s">
        <v>88</v>
      </c>
      <c r="E72" s="12" t="s">
        <v>133</v>
      </c>
      <c r="F72" s="12"/>
    </row>
    <row r="73" spans="2:6" x14ac:dyDescent="0.25">
      <c r="B73" s="2">
        <v>72</v>
      </c>
      <c r="C73" s="12" t="s">
        <v>93</v>
      </c>
      <c r="D73" s="12" t="s">
        <v>73</v>
      </c>
      <c r="E73" s="12" t="s">
        <v>88</v>
      </c>
      <c r="F73" s="12"/>
    </row>
    <row r="74" spans="2:6" x14ac:dyDescent="0.25">
      <c r="B74" s="2">
        <v>73</v>
      </c>
      <c r="C74" s="12" t="s">
        <v>169</v>
      </c>
      <c r="D74" s="12" t="s">
        <v>111</v>
      </c>
      <c r="E74" s="12"/>
      <c r="F74" s="12"/>
    </row>
    <row r="75" spans="2:6" x14ac:dyDescent="0.25">
      <c r="B75" s="2">
        <v>74</v>
      </c>
      <c r="C75" s="12" t="s">
        <v>400</v>
      </c>
      <c r="D75" s="12"/>
      <c r="E75" s="12"/>
      <c r="F75" s="12"/>
    </row>
    <row r="76" spans="2:6" x14ac:dyDescent="0.25">
      <c r="B76" s="2">
        <v>75</v>
      </c>
      <c r="C76" s="12" t="s">
        <v>294</v>
      </c>
      <c r="D76" s="12" t="s">
        <v>169</v>
      </c>
      <c r="E76" s="12"/>
      <c r="F76" s="12"/>
    </row>
    <row r="77" spans="2:6" x14ac:dyDescent="0.25">
      <c r="B77" s="2">
        <v>76</v>
      </c>
      <c r="C77" s="12" t="s">
        <v>405</v>
      </c>
      <c r="D77" s="12"/>
      <c r="E77" s="12"/>
      <c r="F77" s="12"/>
    </row>
    <row r="78" spans="2:6" x14ac:dyDescent="0.25">
      <c r="B78" s="2">
        <v>77</v>
      </c>
      <c r="C78" s="12" t="s">
        <v>409</v>
      </c>
      <c r="D78" s="12"/>
      <c r="E78" s="12"/>
      <c r="F78" s="12"/>
    </row>
    <row r="79" spans="2:6" x14ac:dyDescent="0.25">
      <c r="B79" s="66"/>
    </row>
    <row r="80" spans="2:6" x14ac:dyDescent="0.25">
      <c r="B80" s="66"/>
    </row>
  </sheetData>
  <mergeCells count="1">
    <mergeCell ref="H2:J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79"/>
  <sheetViews>
    <sheetView topLeftCell="G1" workbookViewId="0">
      <selection activeCell="N11" sqref="N11"/>
    </sheetView>
  </sheetViews>
  <sheetFormatPr baseColWidth="10" defaultRowHeight="15" x14ac:dyDescent="0.25"/>
  <cols>
    <col min="2" max="2" width="7.85546875" style="68" customWidth="1"/>
    <col min="3" max="3" width="18.42578125" customWidth="1"/>
    <col min="4" max="4" width="15.7109375" customWidth="1"/>
    <col min="5" max="5" width="15.5703125" customWidth="1"/>
    <col min="6" max="6" width="14.42578125" bestFit="1" customWidth="1"/>
    <col min="8" max="8" width="21.5703125" customWidth="1"/>
  </cols>
  <sheetData>
    <row r="3" spans="2:10" ht="32.1" customHeight="1" x14ac:dyDescent="0.25">
      <c r="B3" s="1">
        <v>1</v>
      </c>
      <c r="C3" s="69" t="s">
        <v>74</v>
      </c>
      <c r="D3" s="69" t="s">
        <v>75</v>
      </c>
      <c r="E3" s="69" t="s">
        <v>76</v>
      </c>
      <c r="F3" s="70"/>
      <c r="H3" s="166" t="s">
        <v>564</v>
      </c>
      <c r="I3" s="166"/>
      <c r="J3" s="166"/>
    </row>
    <row r="4" spans="2:10" ht="32.1" customHeight="1" x14ac:dyDescent="0.25">
      <c r="B4" s="1">
        <v>2</v>
      </c>
      <c r="C4" s="70"/>
      <c r="D4" s="70"/>
      <c r="E4" s="70"/>
      <c r="F4" s="70"/>
      <c r="H4" s="71" t="s">
        <v>1</v>
      </c>
      <c r="I4" s="71" t="s">
        <v>2</v>
      </c>
      <c r="J4" s="71" t="s">
        <v>3</v>
      </c>
    </row>
    <row r="5" spans="2:10" ht="32.1" customHeight="1" x14ac:dyDescent="0.25">
      <c r="B5" s="1">
        <v>3</v>
      </c>
      <c r="C5" s="69" t="s">
        <v>79</v>
      </c>
      <c r="D5" s="69" t="s">
        <v>95</v>
      </c>
      <c r="E5" s="69" t="s">
        <v>96</v>
      </c>
      <c r="F5" s="70"/>
      <c r="H5" s="69" t="s">
        <v>239</v>
      </c>
      <c r="I5" s="1">
        <f>COUNTIF($C$3:$F$79,"Atencion")</f>
        <v>1</v>
      </c>
      <c r="J5" s="4">
        <f>I5/I27</f>
        <v>1.0752688172043012E-2</v>
      </c>
    </row>
    <row r="6" spans="2:10" ht="32.1" customHeight="1" x14ac:dyDescent="0.25">
      <c r="B6" s="1">
        <v>4</v>
      </c>
      <c r="C6" s="70"/>
      <c r="D6" s="70"/>
      <c r="E6" s="70"/>
      <c r="F6" s="70"/>
      <c r="H6" s="69" t="s">
        <v>79</v>
      </c>
      <c r="I6" s="1">
        <f>COUNTIF($C$3:$F$79,"Buen servicio")</f>
        <v>7</v>
      </c>
      <c r="J6" s="4">
        <f>(I6/I27)</f>
        <v>7.5268817204301078E-2</v>
      </c>
    </row>
    <row r="7" spans="2:10" ht="32.1" customHeight="1" x14ac:dyDescent="0.25">
      <c r="B7" s="1">
        <v>5</v>
      </c>
      <c r="C7" s="70"/>
      <c r="D7" s="70"/>
      <c r="E7" s="70"/>
      <c r="F7" s="70"/>
      <c r="H7" s="69" t="s">
        <v>327</v>
      </c>
      <c r="I7" s="1">
        <f>COUNTIF($C$3:$F$79,"Buena calidad")</f>
        <v>2</v>
      </c>
      <c r="J7" s="4">
        <f>I7/I27</f>
        <v>2.1505376344086023E-2</v>
      </c>
    </row>
    <row r="8" spans="2:10" ht="32.1" customHeight="1" x14ac:dyDescent="0.25">
      <c r="B8" s="1">
        <v>6</v>
      </c>
      <c r="C8" s="70"/>
      <c r="D8" s="70"/>
      <c r="E8" s="70"/>
      <c r="F8" s="70"/>
      <c r="H8" s="69" t="s">
        <v>96</v>
      </c>
      <c r="I8" s="1">
        <f>COUNTIF($C$3:$F$79,"Buenos precios")</f>
        <v>13</v>
      </c>
      <c r="J8" s="4">
        <f>I8/I27</f>
        <v>0.13978494623655913</v>
      </c>
    </row>
    <row r="9" spans="2:10" ht="32.1" customHeight="1" x14ac:dyDescent="0.25">
      <c r="B9" s="1">
        <v>7</v>
      </c>
      <c r="C9" s="70"/>
      <c r="D9" s="70"/>
      <c r="E9" s="70"/>
      <c r="F9" s="70"/>
      <c r="H9" s="69" t="s">
        <v>75</v>
      </c>
      <c r="I9" s="1">
        <f>COUNTIF($C$3:$F$79,"Buenos productos")</f>
        <v>1</v>
      </c>
      <c r="J9" s="4">
        <f>I9/I27</f>
        <v>1.0752688172043012E-2</v>
      </c>
    </row>
    <row r="10" spans="2:10" ht="32.1" customHeight="1" x14ac:dyDescent="0.25">
      <c r="B10" s="1">
        <v>8</v>
      </c>
      <c r="C10" s="69" t="s">
        <v>79</v>
      </c>
      <c r="D10" s="69" t="s">
        <v>115</v>
      </c>
      <c r="E10" s="70"/>
      <c r="F10" s="70"/>
      <c r="H10" s="69" t="s">
        <v>125</v>
      </c>
      <c r="I10" s="1">
        <f>COUNTIF($C$3:$F$79,"Calidad")</f>
        <v>27</v>
      </c>
      <c r="J10" s="4">
        <f>I10/I27</f>
        <v>0.29032258064516131</v>
      </c>
    </row>
    <row r="11" spans="2:10" ht="32.1" customHeight="1" x14ac:dyDescent="0.25">
      <c r="B11" s="1">
        <v>9</v>
      </c>
      <c r="C11" s="70"/>
      <c r="D11" s="70"/>
      <c r="E11" s="70"/>
      <c r="F11" s="70"/>
      <c r="H11" s="69" t="s">
        <v>249</v>
      </c>
      <c r="I11" s="1">
        <f>COUNTIF($C$3:$F$79,"Cambio productos por vencimiento")</f>
        <v>6</v>
      </c>
      <c r="J11" s="4">
        <f>I11/I27</f>
        <v>6.4516129032258063E-2</v>
      </c>
    </row>
    <row r="12" spans="2:10" ht="32.1" customHeight="1" x14ac:dyDescent="0.25">
      <c r="B12" s="1">
        <v>10</v>
      </c>
      <c r="C12" s="69" t="s">
        <v>79</v>
      </c>
      <c r="D12" s="69" t="s">
        <v>125</v>
      </c>
      <c r="E12" s="69" t="s">
        <v>124</v>
      </c>
      <c r="F12" s="70"/>
      <c r="H12" s="69" t="s">
        <v>74</v>
      </c>
      <c r="I12" s="1">
        <f>COUNTIF($C$3:$F$79,"Credito")</f>
        <v>2</v>
      </c>
      <c r="J12" s="4">
        <f>I12/I27</f>
        <v>2.1505376344086023E-2</v>
      </c>
    </row>
    <row r="13" spans="2:10" ht="32.1" customHeight="1" x14ac:dyDescent="0.25">
      <c r="B13" s="1">
        <v>11</v>
      </c>
      <c r="C13" s="70"/>
      <c r="D13" s="70"/>
      <c r="E13" s="70"/>
      <c r="F13" s="70"/>
      <c r="H13" s="69" t="s">
        <v>76</v>
      </c>
      <c r="I13" s="1">
        <f>COUNTIF($C$3:$F$79,"Cumplimiento")</f>
        <v>11</v>
      </c>
      <c r="J13" s="4">
        <f>I13/I27</f>
        <v>0.11827956989247312</v>
      </c>
    </row>
    <row r="14" spans="2:10" ht="32.1" customHeight="1" x14ac:dyDescent="0.25">
      <c r="B14" s="1">
        <v>12</v>
      </c>
      <c r="C14" s="70"/>
      <c r="D14" s="70"/>
      <c r="E14" s="70"/>
      <c r="F14" s="70"/>
      <c r="H14" s="69" t="s">
        <v>200</v>
      </c>
      <c r="I14" s="1">
        <f>COUNTIF($C$3:$F$79,"Descuento")</f>
        <v>1</v>
      </c>
      <c r="J14" s="4">
        <f>I14/I27</f>
        <v>1.0752688172043012E-2</v>
      </c>
    </row>
    <row r="15" spans="2:10" ht="32.1" customHeight="1" x14ac:dyDescent="0.25">
      <c r="B15" s="1">
        <v>13</v>
      </c>
      <c r="C15" s="70"/>
      <c r="D15" s="70"/>
      <c r="E15" s="70"/>
      <c r="F15" s="70"/>
      <c r="H15" s="69" t="s">
        <v>326</v>
      </c>
      <c r="I15" s="1">
        <f>COUNTIF($C$3:$F$79,"Entrega de productos a tiempo")</f>
        <v>1</v>
      </c>
      <c r="J15" s="4">
        <f>I15/I27</f>
        <v>1.0752688172043012E-2</v>
      </c>
    </row>
    <row r="16" spans="2:10" ht="32.1" customHeight="1" x14ac:dyDescent="0.25">
      <c r="B16" s="1">
        <v>14</v>
      </c>
      <c r="C16" s="70"/>
      <c r="D16" s="70"/>
      <c r="E16" s="70"/>
      <c r="F16" s="70"/>
      <c r="H16" s="69" t="s">
        <v>115</v>
      </c>
      <c r="I16" s="1">
        <f>COUNTIF($C$3:$F$79,"Entrega puerta a puerta")</f>
        <v>1</v>
      </c>
      <c r="J16" s="4">
        <f>I16/I27</f>
        <v>1.0752688172043012E-2</v>
      </c>
    </row>
    <row r="17" spans="2:10" ht="32.1" customHeight="1" x14ac:dyDescent="0.25">
      <c r="B17" s="1">
        <v>15</v>
      </c>
      <c r="C17" s="70"/>
      <c r="D17" s="70"/>
      <c r="E17" s="70"/>
      <c r="F17" s="70"/>
      <c r="H17" s="69" t="s">
        <v>338</v>
      </c>
      <c r="I17" s="1">
        <f>COUNTIF($C$3:$F$79,"Entrega segura de los productos")</f>
        <v>1</v>
      </c>
      <c r="J17" s="4">
        <f>I17/I27</f>
        <v>1.0752688172043012E-2</v>
      </c>
    </row>
    <row r="18" spans="2:10" ht="32.1" customHeight="1" x14ac:dyDescent="0.25">
      <c r="B18" s="1">
        <v>16</v>
      </c>
      <c r="C18" s="70"/>
      <c r="D18" s="70"/>
      <c r="E18" s="70"/>
      <c r="F18" s="70"/>
      <c r="H18" s="69" t="s">
        <v>410</v>
      </c>
      <c r="I18" s="1">
        <f>COUNTIF($C$3:$F$79,"Frecuencia")</f>
        <v>1</v>
      </c>
      <c r="J18" s="4">
        <f>I18/I27</f>
        <v>1.0752688172043012E-2</v>
      </c>
    </row>
    <row r="19" spans="2:10" ht="32.1" customHeight="1" x14ac:dyDescent="0.25">
      <c r="B19" s="1">
        <v>17</v>
      </c>
      <c r="C19" s="69" t="s">
        <v>125</v>
      </c>
      <c r="D19" s="69" t="s">
        <v>145</v>
      </c>
      <c r="E19" s="69" t="s">
        <v>76</v>
      </c>
      <c r="F19" s="69"/>
      <c r="H19" s="69" t="s">
        <v>276</v>
      </c>
      <c r="I19" s="1">
        <f>COUNTIF($C$3:$F$79,"Garantia")</f>
        <v>2</v>
      </c>
      <c r="J19" s="4">
        <f>I19/I27</f>
        <v>2.1505376344086023E-2</v>
      </c>
    </row>
    <row r="20" spans="2:10" ht="32.1" customHeight="1" x14ac:dyDescent="0.25">
      <c r="B20" s="1">
        <v>18</v>
      </c>
      <c r="C20" s="70"/>
      <c r="D20" s="70"/>
      <c r="E20" s="70"/>
      <c r="F20" s="70"/>
      <c r="H20" s="69" t="s">
        <v>332</v>
      </c>
      <c r="I20" s="1">
        <f>COUNTIF($C$3:$F$79,"Mercancia en buen estado")</f>
        <v>1</v>
      </c>
      <c r="J20" s="4">
        <f>I20/I27</f>
        <v>1.0752688172043012E-2</v>
      </c>
    </row>
    <row r="21" spans="2:10" ht="32.1" customHeight="1" x14ac:dyDescent="0.25">
      <c r="B21" s="1">
        <v>19</v>
      </c>
      <c r="C21" s="70"/>
      <c r="D21" s="70"/>
      <c r="E21" s="70"/>
      <c r="F21" s="70"/>
      <c r="H21" s="69" t="s">
        <v>195</v>
      </c>
      <c r="I21" s="1">
        <f>COUNTIF($C$3:$F$79,"Ofertas")</f>
        <v>1</v>
      </c>
      <c r="J21" s="4">
        <f>I21/I27</f>
        <v>1.0752688172043012E-2</v>
      </c>
    </row>
    <row r="22" spans="2:10" ht="32.1" customHeight="1" x14ac:dyDescent="0.25">
      <c r="B22" s="1">
        <v>20</v>
      </c>
      <c r="C22" s="70"/>
      <c r="D22" s="70"/>
      <c r="E22" s="70"/>
      <c r="F22" s="70"/>
      <c r="H22" s="69" t="s">
        <v>90</v>
      </c>
      <c r="I22" s="1">
        <f>COUNTIF($C$3:$F$79,"Precios bajos")</f>
        <v>1</v>
      </c>
      <c r="J22" s="4">
        <f>I22/I27</f>
        <v>1.0752688172043012E-2</v>
      </c>
    </row>
    <row r="23" spans="2:10" ht="32.1" customHeight="1" x14ac:dyDescent="0.25">
      <c r="B23" s="1">
        <v>21</v>
      </c>
      <c r="C23" s="69" t="s">
        <v>124</v>
      </c>
      <c r="D23" s="69" t="s">
        <v>165</v>
      </c>
      <c r="E23" s="69" t="s">
        <v>96</v>
      </c>
      <c r="F23" s="70"/>
      <c r="H23" s="69" t="s">
        <v>178</v>
      </c>
      <c r="I23" s="1">
        <f>COUNTIF($C$3:$F$79,"Promociones")</f>
        <v>2</v>
      </c>
      <c r="J23" s="4">
        <f>I23/I27</f>
        <v>2.1505376344086023E-2</v>
      </c>
    </row>
    <row r="24" spans="2:10" ht="32.1" customHeight="1" x14ac:dyDescent="0.25">
      <c r="B24" s="1">
        <v>22</v>
      </c>
      <c r="C24" s="70"/>
      <c r="D24" s="70"/>
      <c r="E24" s="70"/>
      <c r="F24" s="70"/>
      <c r="H24" s="69" t="s">
        <v>281</v>
      </c>
      <c r="I24" s="1">
        <f>COUNTIF($C$3:$F$79,"Respaldo")</f>
        <v>1</v>
      </c>
      <c r="J24" s="4">
        <f>I24/I27</f>
        <v>1.0752688172043012E-2</v>
      </c>
    </row>
    <row r="25" spans="2:10" ht="32.1" customHeight="1" x14ac:dyDescent="0.25">
      <c r="B25" s="1">
        <v>23</v>
      </c>
      <c r="C25" s="69" t="s">
        <v>177</v>
      </c>
      <c r="D25" s="69" t="s">
        <v>178</v>
      </c>
      <c r="E25" s="70"/>
      <c r="F25" s="70"/>
      <c r="H25" s="69" t="s">
        <v>229</v>
      </c>
      <c r="I25" s="1">
        <f>COUNTIF($C$3:$F$79,"Responsabilidad")</f>
        <v>2</v>
      </c>
      <c r="J25" s="4">
        <f>I25/I27</f>
        <v>2.1505376344086023E-2</v>
      </c>
    </row>
    <row r="26" spans="2:10" ht="32.1" customHeight="1" x14ac:dyDescent="0.25">
      <c r="B26" s="1">
        <v>24</v>
      </c>
      <c r="C26" s="70"/>
      <c r="D26" s="70"/>
      <c r="E26" s="70"/>
      <c r="F26" s="70"/>
      <c r="H26" s="69" t="s">
        <v>240</v>
      </c>
      <c r="I26" s="1">
        <f>COUNTIF($C$3:$F$79,"Servicio")</f>
        <v>8</v>
      </c>
      <c r="J26" s="4">
        <f>I26/I27</f>
        <v>8.6021505376344093E-2</v>
      </c>
    </row>
    <row r="27" spans="2:10" ht="32.1" customHeight="1" x14ac:dyDescent="0.25">
      <c r="B27" s="1">
        <v>25</v>
      </c>
      <c r="C27" s="70"/>
      <c r="D27" s="70"/>
      <c r="E27" s="70"/>
      <c r="F27" s="70"/>
      <c r="H27" s="72" t="s">
        <v>6</v>
      </c>
      <c r="I27" s="72">
        <f>SUM(I5:I26)</f>
        <v>93</v>
      </c>
      <c r="J27" s="73">
        <f>SUM(J5:J26)</f>
        <v>0.99999999999999978</v>
      </c>
    </row>
    <row r="28" spans="2:10" ht="32.1" customHeight="1" x14ac:dyDescent="0.25">
      <c r="B28" s="1">
        <v>26</v>
      </c>
      <c r="C28" s="70"/>
      <c r="D28" s="70"/>
      <c r="E28" s="70"/>
      <c r="F28" s="70"/>
    </row>
    <row r="29" spans="2:10" ht="32.1" customHeight="1" x14ac:dyDescent="0.25">
      <c r="B29" s="1">
        <v>27</v>
      </c>
      <c r="C29" s="69" t="s">
        <v>194</v>
      </c>
      <c r="D29" s="69" t="s">
        <v>125</v>
      </c>
      <c r="E29" s="69" t="s">
        <v>195</v>
      </c>
      <c r="F29" s="69" t="s">
        <v>96</v>
      </c>
    </row>
    <row r="30" spans="2:10" ht="32.1" customHeight="1" x14ac:dyDescent="0.25">
      <c r="B30" s="1">
        <v>28</v>
      </c>
      <c r="C30" s="69" t="s">
        <v>439</v>
      </c>
      <c r="D30" s="69" t="s">
        <v>125</v>
      </c>
      <c r="E30" s="69" t="s">
        <v>79</v>
      </c>
      <c r="F30" s="69"/>
    </row>
    <row r="31" spans="2:10" ht="32.1" customHeight="1" x14ac:dyDescent="0.25">
      <c r="B31" s="1">
        <v>29</v>
      </c>
      <c r="C31" s="69" t="s">
        <v>203</v>
      </c>
      <c r="D31" s="69" t="s">
        <v>125</v>
      </c>
      <c r="E31" s="69" t="s">
        <v>145</v>
      </c>
      <c r="F31" s="69"/>
    </row>
    <row r="32" spans="2:10" ht="32.1" customHeight="1" x14ac:dyDescent="0.25">
      <c r="B32" s="1">
        <v>30</v>
      </c>
      <c r="C32" s="69"/>
      <c r="D32" s="69"/>
      <c r="E32" s="69"/>
      <c r="F32" s="69"/>
    </row>
    <row r="33" spans="2:6" ht="32.1" customHeight="1" x14ac:dyDescent="0.25">
      <c r="B33" s="1">
        <v>31</v>
      </c>
      <c r="C33" s="69" t="s">
        <v>95</v>
      </c>
      <c r="D33" s="69" t="s">
        <v>125</v>
      </c>
      <c r="E33" s="69" t="s">
        <v>79</v>
      </c>
      <c r="F33" s="69"/>
    </row>
    <row r="34" spans="2:6" ht="32.1" customHeight="1" x14ac:dyDescent="0.25">
      <c r="B34" s="1">
        <v>32</v>
      </c>
      <c r="C34" s="69"/>
      <c r="D34" s="69"/>
      <c r="E34" s="69"/>
      <c r="F34" s="69"/>
    </row>
    <row r="35" spans="2:6" ht="32.1" customHeight="1" x14ac:dyDescent="0.25">
      <c r="B35" s="1">
        <v>33</v>
      </c>
      <c r="C35" s="69" t="s">
        <v>125</v>
      </c>
      <c r="D35" s="69"/>
      <c r="E35" s="69"/>
      <c r="F35" s="69"/>
    </row>
    <row r="36" spans="2:6" ht="32.1" customHeight="1" x14ac:dyDescent="0.25">
      <c r="B36" s="1">
        <v>34</v>
      </c>
      <c r="C36" s="69"/>
      <c r="D36" s="69"/>
      <c r="E36" s="69"/>
      <c r="F36" s="69"/>
    </row>
    <row r="37" spans="2:6" ht="32.1" customHeight="1" x14ac:dyDescent="0.25">
      <c r="B37" s="1">
        <v>35</v>
      </c>
      <c r="C37" s="69" t="s">
        <v>125</v>
      </c>
      <c r="D37" s="69" t="s">
        <v>96</v>
      </c>
      <c r="E37" s="69" t="s">
        <v>229</v>
      </c>
      <c r="F37" s="69"/>
    </row>
    <row r="38" spans="2:6" ht="32.1" customHeight="1" x14ac:dyDescent="0.25">
      <c r="B38" s="1">
        <v>36</v>
      </c>
      <c r="C38" s="69" t="s">
        <v>79</v>
      </c>
      <c r="D38" s="69" t="s">
        <v>76</v>
      </c>
      <c r="E38" s="69" t="s">
        <v>125</v>
      </c>
      <c r="F38" s="69" t="s">
        <v>96</v>
      </c>
    </row>
    <row r="39" spans="2:6" ht="32.1" customHeight="1" x14ac:dyDescent="0.25">
      <c r="B39" s="1">
        <v>37</v>
      </c>
      <c r="C39" s="69" t="s">
        <v>125</v>
      </c>
      <c r="D39" s="69" t="s">
        <v>240</v>
      </c>
      <c r="E39" s="69" t="s">
        <v>565</v>
      </c>
      <c r="F39" s="69"/>
    </row>
    <row r="40" spans="2:6" ht="32.1" customHeight="1" x14ac:dyDescent="0.25">
      <c r="B40" s="1">
        <v>38</v>
      </c>
      <c r="C40" s="69" t="s">
        <v>303</v>
      </c>
      <c r="D40" s="69" t="s">
        <v>76</v>
      </c>
      <c r="E40" s="69" t="s">
        <v>96</v>
      </c>
      <c r="F40" s="69"/>
    </row>
    <row r="41" spans="2:6" ht="32.1" customHeight="1" x14ac:dyDescent="0.25">
      <c r="B41" s="1">
        <v>39</v>
      </c>
      <c r="C41" s="69" t="s">
        <v>249</v>
      </c>
      <c r="D41" s="69" t="s">
        <v>0</v>
      </c>
      <c r="E41" s="69"/>
      <c r="F41" s="69"/>
    </row>
    <row r="42" spans="2:6" ht="32.1" customHeight="1" x14ac:dyDescent="0.25">
      <c r="B42" s="1">
        <v>40</v>
      </c>
      <c r="C42" s="69" t="s">
        <v>125</v>
      </c>
      <c r="D42" s="69" t="s">
        <v>76</v>
      </c>
      <c r="E42" s="69"/>
      <c r="F42" s="69"/>
    </row>
    <row r="43" spans="2:6" ht="32.1" customHeight="1" x14ac:dyDescent="0.25">
      <c r="B43" s="1">
        <v>41</v>
      </c>
      <c r="C43" s="69" t="s">
        <v>96</v>
      </c>
      <c r="D43" s="69" t="s">
        <v>265</v>
      </c>
      <c r="E43" s="69" t="s">
        <v>125</v>
      </c>
      <c r="F43" s="69"/>
    </row>
    <row r="44" spans="2:6" ht="32.1" customHeight="1" x14ac:dyDescent="0.25">
      <c r="B44" s="1">
        <v>42</v>
      </c>
      <c r="C44" s="69" t="s">
        <v>95</v>
      </c>
      <c r="D44" s="69" t="s">
        <v>79</v>
      </c>
      <c r="E44" s="69" t="s">
        <v>90</v>
      </c>
      <c r="F44" s="69" t="s">
        <v>74</v>
      </c>
    </row>
    <row r="45" spans="2:6" ht="32.1" customHeight="1" x14ac:dyDescent="0.25">
      <c r="B45" s="1">
        <v>43</v>
      </c>
      <c r="C45" s="69" t="s">
        <v>95</v>
      </c>
      <c r="D45" s="69" t="s">
        <v>125</v>
      </c>
      <c r="E45" s="69"/>
      <c r="F45" s="69"/>
    </row>
    <row r="46" spans="2:6" ht="32.1" customHeight="1" x14ac:dyDescent="0.25">
      <c r="B46" s="1">
        <v>44</v>
      </c>
      <c r="C46" s="69" t="s">
        <v>125</v>
      </c>
      <c r="D46" s="69" t="s">
        <v>240</v>
      </c>
      <c r="E46" s="69" t="s">
        <v>145</v>
      </c>
      <c r="F46" s="69" t="s">
        <v>276</v>
      </c>
    </row>
    <row r="47" spans="2:6" ht="32.1" customHeight="1" x14ac:dyDescent="0.25">
      <c r="B47" s="1">
        <v>45</v>
      </c>
      <c r="C47" s="69" t="s">
        <v>125</v>
      </c>
      <c r="D47" s="69" t="s">
        <v>281</v>
      </c>
      <c r="E47" s="69"/>
      <c r="F47" s="69"/>
    </row>
    <row r="48" spans="2:6" ht="32.1" customHeight="1" x14ac:dyDescent="0.25">
      <c r="B48" s="1">
        <v>46</v>
      </c>
      <c r="C48" s="69" t="s">
        <v>249</v>
      </c>
      <c r="D48" s="69" t="s">
        <v>0</v>
      </c>
      <c r="E48" s="69"/>
      <c r="F48" s="69"/>
    </row>
    <row r="49" spans="2:6" ht="32.1" customHeight="1" x14ac:dyDescent="0.25">
      <c r="B49" s="1">
        <v>47</v>
      </c>
      <c r="C49" s="69" t="s">
        <v>125</v>
      </c>
      <c r="D49" s="69" t="s">
        <v>124</v>
      </c>
      <c r="E49" s="69"/>
      <c r="F49" s="69"/>
    </row>
    <row r="50" spans="2:6" ht="32.1" customHeight="1" x14ac:dyDescent="0.25">
      <c r="B50" s="1">
        <v>48</v>
      </c>
      <c r="C50" s="69" t="s">
        <v>249</v>
      </c>
      <c r="D50" s="69" t="s">
        <v>0</v>
      </c>
      <c r="E50" s="69"/>
      <c r="F50" s="69"/>
    </row>
    <row r="51" spans="2:6" ht="32.1" customHeight="1" x14ac:dyDescent="0.25">
      <c r="B51" s="1">
        <v>49</v>
      </c>
      <c r="C51" s="69" t="s">
        <v>303</v>
      </c>
      <c r="D51" s="69" t="s">
        <v>194</v>
      </c>
      <c r="E51" s="69" t="s">
        <v>229</v>
      </c>
      <c r="F51" s="69"/>
    </row>
    <row r="52" spans="2:6" ht="32.1" customHeight="1" x14ac:dyDescent="0.25">
      <c r="B52" s="1">
        <v>50</v>
      </c>
      <c r="C52" s="69" t="s">
        <v>165</v>
      </c>
      <c r="D52" s="69" t="s">
        <v>194</v>
      </c>
      <c r="E52" s="69"/>
      <c r="F52" s="69"/>
    </row>
    <row r="53" spans="2:6" ht="32.1" customHeight="1" x14ac:dyDescent="0.25">
      <c r="B53" s="1">
        <v>51</v>
      </c>
      <c r="C53" s="69" t="s">
        <v>145</v>
      </c>
      <c r="D53" s="69" t="s">
        <v>96</v>
      </c>
      <c r="E53" s="69" t="s">
        <v>125</v>
      </c>
      <c r="F53" s="69" t="s">
        <v>76</v>
      </c>
    </row>
    <row r="54" spans="2:6" ht="32.1" customHeight="1" x14ac:dyDescent="0.25">
      <c r="B54" s="1">
        <v>52</v>
      </c>
      <c r="C54" s="69"/>
      <c r="D54" s="69"/>
      <c r="E54" s="69"/>
      <c r="F54" s="69"/>
    </row>
    <row r="55" spans="2:6" ht="32.1" customHeight="1" x14ac:dyDescent="0.25">
      <c r="B55" s="1">
        <v>53</v>
      </c>
      <c r="C55" s="69" t="s">
        <v>249</v>
      </c>
      <c r="D55" s="69" t="s">
        <v>125</v>
      </c>
      <c r="E55" s="69"/>
      <c r="F55" s="69"/>
    </row>
    <row r="56" spans="2:6" ht="32.1" customHeight="1" x14ac:dyDescent="0.25">
      <c r="B56" s="1">
        <v>54</v>
      </c>
      <c r="C56" s="69" t="s">
        <v>566</v>
      </c>
      <c r="D56" s="69" t="s">
        <v>327</v>
      </c>
      <c r="E56" s="69"/>
      <c r="F56" s="69"/>
    </row>
    <row r="57" spans="2:6" ht="32.1" customHeight="1" x14ac:dyDescent="0.25">
      <c r="B57" s="1">
        <v>55</v>
      </c>
      <c r="C57" s="69" t="s">
        <v>96</v>
      </c>
      <c r="D57" s="69" t="s">
        <v>332</v>
      </c>
      <c r="E57" s="69" t="s">
        <v>145</v>
      </c>
      <c r="F57" s="69"/>
    </row>
    <row r="58" spans="2:6" ht="32.1" customHeight="1" x14ac:dyDescent="0.25">
      <c r="B58" s="1">
        <v>56</v>
      </c>
      <c r="C58" s="69" t="s">
        <v>125</v>
      </c>
      <c r="D58" s="69" t="s">
        <v>240</v>
      </c>
      <c r="E58" s="69" t="s">
        <v>338</v>
      </c>
      <c r="F58" s="69"/>
    </row>
    <row r="59" spans="2:6" ht="32.1" customHeight="1" x14ac:dyDescent="0.25">
      <c r="B59" s="1">
        <v>57</v>
      </c>
      <c r="C59" s="69" t="s">
        <v>125</v>
      </c>
      <c r="D59" s="69" t="s">
        <v>96</v>
      </c>
      <c r="E59" s="69"/>
      <c r="F59" s="69"/>
    </row>
    <row r="60" spans="2:6" ht="32.1" customHeight="1" x14ac:dyDescent="0.25">
      <c r="B60" s="1">
        <v>58</v>
      </c>
      <c r="C60" s="69" t="s">
        <v>96</v>
      </c>
      <c r="D60" s="69"/>
      <c r="E60" s="69"/>
      <c r="F60" s="69"/>
    </row>
    <row r="61" spans="2:6" ht="32.1" customHeight="1" x14ac:dyDescent="0.25">
      <c r="B61" s="1">
        <v>59</v>
      </c>
      <c r="C61" s="69" t="s">
        <v>350</v>
      </c>
      <c r="D61" s="69" t="s">
        <v>76</v>
      </c>
      <c r="E61" s="69" t="s">
        <v>327</v>
      </c>
      <c r="F61" s="69"/>
    </row>
    <row r="62" spans="2:6" ht="32.1" customHeight="1" x14ac:dyDescent="0.25">
      <c r="B62" s="1">
        <v>60</v>
      </c>
      <c r="C62" s="69" t="s">
        <v>125</v>
      </c>
      <c r="D62" s="69" t="s">
        <v>76</v>
      </c>
      <c r="E62" s="69" t="s">
        <v>240</v>
      </c>
      <c r="F62" s="69"/>
    </row>
    <row r="63" spans="2:6" ht="32.1" customHeight="1" x14ac:dyDescent="0.25">
      <c r="B63" s="1">
        <v>61</v>
      </c>
      <c r="C63" s="69" t="s">
        <v>95</v>
      </c>
      <c r="D63" s="69" t="s">
        <v>240</v>
      </c>
      <c r="E63" s="69"/>
      <c r="F63" s="69"/>
    </row>
    <row r="64" spans="2:6" ht="32.1" customHeight="1" x14ac:dyDescent="0.25">
      <c r="B64" s="1">
        <v>62</v>
      </c>
      <c r="C64" s="69"/>
      <c r="D64" s="69"/>
      <c r="E64" s="69"/>
      <c r="F64" s="69"/>
    </row>
    <row r="65" spans="2:6" ht="32.1" customHeight="1" x14ac:dyDescent="0.25">
      <c r="B65" s="1">
        <v>63</v>
      </c>
      <c r="C65" s="69"/>
      <c r="D65" s="69"/>
      <c r="E65" s="69"/>
      <c r="F65" s="69"/>
    </row>
    <row r="66" spans="2:6" ht="32.1" customHeight="1" x14ac:dyDescent="0.25">
      <c r="B66" s="1">
        <v>64</v>
      </c>
      <c r="C66" s="69" t="s">
        <v>125</v>
      </c>
      <c r="D66" s="69" t="s">
        <v>240</v>
      </c>
      <c r="E66" s="69"/>
      <c r="F66" s="69"/>
    </row>
    <row r="67" spans="2:6" ht="32.1" customHeight="1" x14ac:dyDescent="0.25">
      <c r="B67" s="1">
        <v>65</v>
      </c>
      <c r="C67" s="69" t="s">
        <v>125</v>
      </c>
      <c r="D67" s="69" t="s">
        <v>291</v>
      </c>
      <c r="E67" s="69"/>
      <c r="F67" s="69"/>
    </row>
    <row r="68" spans="2:6" ht="32.1" customHeight="1" x14ac:dyDescent="0.25">
      <c r="B68" s="1">
        <v>66</v>
      </c>
      <c r="C68" s="69" t="s">
        <v>125</v>
      </c>
      <c r="D68" s="69" t="s">
        <v>96</v>
      </c>
      <c r="E68" s="69"/>
      <c r="F68" s="69"/>
    </row>
    <row r="69" spans="2:6" ht="32.1" customHeight="1" x14ac:dyDescent="0.25">
      <c r="B69" s="1">
        <v>67</v>
      </c>
      <c r="C69" s="69" t="s">
        <v>249</v>
      </c>
      <c r="D69" s="69"/>
      <c r="E69" s="69"/>
      <c r="F69" s="69"/>
    </row>
    <row r="70" spans="2:6" ht="32.1" customHeight="1" x14ac:dyDescent="0.25">
      <c r="B70" s="1">
        <v>68</v>
      </c>
      <c r="C70" s="69" t="s">
        <v>95</v>
      </c>
      <c r="D70" s="69" t="s">
        <v>178</v>
      </c>
      <c r="E70" s="69"/>
      <c r="F70" s="69"/>
    </row>
    <row r="71" spans="2:6" ht="32.1" customHeight="1" x14ac:dyDescent="0.25">
      <c r="B71" s="1">
        <v>69</v>
      </c>
      <c r="C71" s="69" t="s">
        <v>249</v>
      </c>
      <c r="D71" s="69" t="s">
        <v>145</v>
      </c>
      <c r="E71" s="69"/>
      <c r="F71" s="69"/>
    </row>
    <row r="72" spans="2:6" ht="32.1" customHeight="1" x14ac:dyDescent="0.25">
      <c r="B72" s="1">
        <v>70</v>
      </c>
      <c r="C72" s="69"/>
      <c r="D72" s="69"/>
      <c r="E72" s="69"/>
      <c r="F72" s="69"/>
    </row>
    <row r="73" spans="2:6" ht="32.1" customHeight="1" x14ac:dyDescent="0.25">
      <c r="B73" s="1">
        <v>71</v>
      </c>
      <c r="C73" s="69"/>
      <c r="D73" s="69"/>
      <c r="E73" s="69"/>
      <c r="F73" s="69"/>
    </row>
    <row r="74" spans="2:6" ht="32.1" customHeight="1" x14ac:dyDescent="0.25">
      <c r="B74" s="1">
        <v>72</v>
      </c>
      <c r="C74" s="69" t="s">
        <v>276</v>
      </c>
      <c r="D74" s="69" t="s">
        <v>76</v>
      </c>
      <c r="E74" s="69" t="s">
        <v>125</v>
      </c>
      <c r="F74" s="69"/>
    </row>
    <row r="75" spans="2:6" ht="32.1" customHeight="1" x14ac:dyDescent="0.25">
      <c r="B75" s="1">
        <v>73</v>
      </c>
      <c r="C75" s="69"/>
      <c r="D75" s="69" t="s">
        <v>76</v>
      </c>
      <c r="E75" s="69" t="s">
        <v>240</v>
      </c>
      <c r="F75" s="69"/>
    </row>
    <row r="76" spans="2:6" ht="32.1" customHeight="1" x14ac:dyDescent="0.25">
      <c r="B76" s="1">
        <v>74</v>
      </c>
      <c r="C76" s="69" t="s">
        <v>125</v>
      </c>
      <c r="D76" s="69" t="s">
        <v>96</v>
      </c>
      <c r="E76" s="69"/>
      <c r="F76" s="69"/>
    </row>
    <row r="77" spans="2:6" ht="32.1" customHeight="1" x14ac:dyDescent="0.25">
      <c r="B77" s="1">
        <v>75</v>
      </c>
      <c r="C77" s="69" t="s">
        <v>76</v>
      </c>
      <c r="D77" s="69" t="s">
        <v>350</v>
      </c>
      <c r="E77" s="69"/>
      <c r="F77" s="69"/>
    </row>
    <row r="78" spans="2:6" ht="32.1" customHeight="1" x14ac:dyDescent="0.25">
      <c r="B78" s="1">
        <v>76</v>
      </c>
      <c r="C78" s="69" t="s">
        <v>125</v>
      </c>
      <c r="D78" s="69" t="s">
        <v>350</v>
      </c>
      <c r="E78" s="69"/>
      <c r="F78" s="69"/>
    </row>
    <row r="79" spans="2:6" ht="32.1" customHeight="1" x14ac:dyDescent="0.25">
      <c r="B79" s="1">
        <v>77</v>
      </c>
      <c r="C79" s="69" t="s">
        <v>240</v>
      </c>
      <c r="D79" s="69" t="s">
        <v>410</v>
      </c>
      <c r="E79" s="69"/>
      <c r="F79" s="69"/>
    </row>
  </sheetData>
  <sortState ref="H5:J27">
    <sortCondition ref="H27"/>
  </sortState>
  <mergeCells count="1">
    <mergeCell ref="H3:J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05"/>
  <sheetViews>
    <sheetView workbookViewId="0">
      <selection activeCell="F3" sqref="F3"/>
    </sheetView>
  </sheetViews>
  <sheetFormatPr baseColWidth="10" defaultRowHeight="15" x14ac:dyDescent="0.25"/>
  <cols>
    <col min="3" max="3" width="33.140625" customWidth="1"/>
    <col min="4" max="4" width="33.7109375" customWidth="1"/>
    <col min="5" max="5" width="32.7109375" customWidth="1"/>
    <col min="8" max="8" width="17.5703125" customWidth="1"/>
  </cols>
  <sheetData>
    <row r="1" spans="2:6" ht="15.75" thickBot="1" x14ac:dyDescent="0.3"/>
    <row r="2" spans="2:6" ht="24.75" customHeight="1" x14ac:dyDescent="0.25">
      <c r="B2" s="10"/>
      <c r="C2" s="89" t="s">
        <v>20</v>
      </c>
      <c r="D2" s="89" t="s">
        <v>17</v>
      </c>
      <c r="E2" s="106" t="s">
        <v>537</v>
      </c>
      <c r="F2" s="106" t="s">
        <v>563</v>
      </c>
    </row>
    <row r="3" spans="2:6" x14ac:dyDescent="0.25">
      <c r="C3" s="90" t="s">
        <v>433</v>
      </c>
      <c r="D3" s="90" t="s">
        <v>436</v>
      </c>
      <c r="E3" s="97" t="str">
        <f>+CONCATENATE(C3,"-",D3)</f>
        <v>Droguería-Semanal</v>
      </c>
      <c r="F3" s="2">
        <f>+COUNTIF(Tabulación!AB5:AB307,'P_16A&amp;B'!E3)</f>
        <v>21</v>
      </c>
    </row>
    <row r="4" spans="2:6" x14ac:dyDescent="0.25">
      <c r="C4" s="91" t="s">
        <v>434</v>
      </c>
      <c r="D4" s="91" t="s">
        <v>437</v>
      </c>
      <c r="E4" s="97" t="str">
        <f>+CONCATENATE(C4,"-",D4)</f>
        <v>Aseo Personal-Diario</v>
      </c>
      <c r="F4" s="2">
        <f>+COUNTIF(Tabulación!AB5:AB307,'P_16A&amp;B'!E4)</f>
        <v>41</v>
      </c>
    </row>
    <row r="5" spans="2:6" x14ac:dyDescent="0.25">
      <c r="C5" s="91" t="s">
        <v>77</v>
      </c>
      <c r="D5" s="91" t="s">
        <v>437</v>
      </c>
      <c r="E5" s="97" t="str">
        <f>+CONCATENATE(C5,"-",D5)</f>
        <v>Limpieza-Diario</v>
      </c>
      <c r="F5" s="2">
        <f>+COUNTIF(Tabulación!AB6:AB308,'P_16A&amp;B'!E5)</f>
        <v>38</v>
      </c>
    </row>
    <row r="6" spans="2:6" x14ac:dyDescent="0.25">
      <c r="C6" s="92" t="s">
        <v>435</v>
      </c>
      <c r="D6" s="92" t="s">
        <v>437</v>
      </c>
      <c r="E6" s="97" t="str">
        <f>+CONCATENATE(C6,"-",D6)</f>
        <v>Dulces y Paquetes-Diario</v>
      </c>
      <c r="F6" s="2">
        <f>+COUNTIF(Tabulación!AB7:AB309,'P_16A&amp;B'!E6)</f>
        <v>37</v>
      </c>
    </row>
    <row r="7" spans="2:6" x14ac:dyDescent="0.25">
      <c r="C7" s="90" t="s">
        <v>433</v>
      </c>
      <c r="D7" s="90"/>
      <c r="E7" s="97"/>
      <c r="F7" s="2"/>
    </row>
    <row r="8" spans="2:6" x14ac:dyDescent="0.25">
      <c r="C8" s="91" t="s">
        <v>434</v>
      </c>
      <c r="D8" s="91" t="s">
        <v>442</v>
      </c>
      <c r="E8" s="97" t="str">
        <f>+CONCATENATE(C8,"-",D8)</f>
        <v>Aseo Personal-Mensual</v>
      </c>
      <c r="F8" s="2">
        <f>+COUNTIF(Tabulación!AB5:AB307,'P_16A&amp;B'!E8)</f>
        <v>1</v>
      </c>
    </row>
    <row r="9" spans="2:6" x14ac:dyDescent="0.25">
      <c r="C9" s="91" t="s">
        <v>77</v>
      </c>
      <c r="D9" s="91" t="s">
        <v>437</v>
      </c>
      <c r="E9" s="97"/>
      <c r="F9" s="2"/>
    </row>
    <row r="10" spans="2:6" x14ac:dyDescent="0.25">
      <c r="C10" s="92" t="s">
        <v>435</v>
      </c>
      <c r="D10" s="92" t="s">
        <v>509</v>
      </c>
      <c r="E10" s="97" t="str">
        <f>+CONCATENATE(C10,"-",D10)</f>
        <v>Dulces y Paquetes-Quincenal</v>
      </c>
      <c r="F10" s="2">
        <f>+COUNTIF(Tabulación!AB5:AB307,'P_16A&amp;B'!E10)</f>
        <v>6</v>
      </c>
    </row>
    <row r="11" spans="2:6" x14ac:dyDescent="0.25">
      <c r="C11" s="90" t="s">
        <v>434</v>
      </c>
      <c r="D11" s="90" t="s">
        <v>436</v>
      </c>
      <c r="E11" s="97" t="str">
        <f>+CONCATENATE(C11,"-",D11)</f>
        <v>Aseo Personal-Semanal</v>
      </c>
      <c r="F11" s="2">
        <f>COUNTIF(Tabulación!AB5:AB307,'P_16A&amp;B'!E11)</f>
        <v>9</v>
      </c>
    </row>
    <row r="12" spans="2:6" x14ac:dyDescent="0.25">
      <c r="C12" s="91" t="s">
        <v>435</v>
      </c>
      <c r="D12" s="91" t="s">
        <v>509</v>
      </c>
    </row>
    <row r="13" spans="2:6" x14ac:dyDescent="0.25">
      <c r="C13" s="92"/>
      <c r="D13" s="92" t="s">
        <v>509</v>
      </c>
    </row>
    <row r="14" spans="2:6" x14ac:dyDescent="0.25">
      <c r="C14" s="90" t="s">
        <v>433</v>
      </c>
      <c r="D14" s="90" t="s">
        <v>436</v>
      </c>
    </row>
    <row r="15" spans="2:6" x14ac:dyDescent="0.25">
      <c r="C15" s="91" t="s">
        <v>434</v>
      </c>
      <c r="D15" s="91" t="s">
        <v>436</v>
      </c>
    </row>
    <row r="16" spans="2:6" x14ac:dyDescent="0.25">
      <c r="C16" s="92" t="s">
        <v>77</v>
      </c>
      <c r="D16" s="92" t="s">
        <v>436</v>
      </c>
    </row>
    <row r="17" spans="3:6" x14ac:dyDescent="0.25">
      <c r="C17" s="90" t="s">
        <v>434</v>
      </c>
      <c r="D17" s="90" t="s">
        <v>509</v>
      </c>
    </row>
    <row r="18" spans="3:6" x14ac:dyDescent="0.25">
      <c r="C18" s="91" t="s">
        <v>433</v>
      </c>
      <c r="D18" s="91" t="s">
        <v>442</v>
      </c>
    </row>
    <row r="19" spans="3:6" x14ac:dyDescent="0.25">
      <c r="C19" s="91" t="s">
        <v>77</v>
      </c>
      <c r="D19" s="91" t="s">
        <v>442</v>
      </c>
    </row>
    <row r="20" spans="3:6" x14ac:dyDescent="0.25">
      <c r="C20" s="92" t="s">
        <v>435</v>
      </c>
      <c r="D20" s="95" t="s">
        <v>437</v>
      </c>
      <c r="E20" s="97" t="s">
        <v>433</v>
      </c>
      <c r="F20" s="6">
        <f>+COUNTIF(Tabulación!Z5:Z307,'P_16A&amp;B'!E20)</f>
        <v>52</v>
      </c>
    </row>
    <row r="21" spans="3:6" x14ac:dyDescent="0.25">
      <c r="C21" s="90" t="s">
        <v>433</v>
      </c>
      <c r="D21" s="93" t="s">
        <v>509</v>
      </c>
      <c r="E21" s="97" t="s">
        <v>434</v>
      </c>
      <c r="F21" s="6">
        <f>+COUNTIF(Tabulación!Z6:Z308,'P_16A&amp;B'!E21)</f>
        <v>70</v>
      </c>
    </row>
    <row r="22" spans="3:6" x14ac:dyDescent="0.25">
      <c r="C22" s="91" t="s">
        <v>434</v>
      </c>
      <c r="D22" s="94" t="s">
        <v>442</v>
      </c>
      <c r="E22" s="97" t="s">
        <v>77</v>
      </c>
      <c r="F22" s="6">
        <f>+COUNTIF(Tabulación!Z7:Z309,'P_16A&amp;B'!E22)</f>
        <v>59</v>
      </c>
    </row>
    <row r="23" spans="3:6" x14ac:dyDescent="0.25">
      <c r="C23" s="91" t="s">
        <v>77</v>
      </c>
      <c r="E23" s="97" t="s">
        <v>435</v>
      </c>
      <c r="F23" s="6">
        <f>+COUNTIF(Tabulación!Z8:Z310,'P_16A&amp;B'!E23)</f>
        <v>63</v>
      </c>
    </row>
    <row r="24" spans="3:6" x14ac:dyDescent="0.25">
      <c r="C24" s="92" t="s">
        <v>435</v>
      </c>
      <c r="E24" s="97" t="s">
        <v>551</v>
      </c>
      <c r="F24" s="6">
        <f>+COUNTIF(Tabulación!Z9:Z311,'P_16A&amp;B'!E24)</f>
        <v>5</v>
      </c>
    </row>
    <row r="25" spans="3:6" x14ac:dyDescent="0.25">
      <c r="C25" s="90" t="s">
        <v>433</v>
      </c>
    </row>
    <row r="26" spans="3:6" x14ac:dyDescent="0.25">
      <c r="C26" s="91" t="s">
        <v>434</v>
      </c>
    </row>
    <row r="27" spans="3:6" x14ac:dyDescent="0.25">
      <c r="C27" s="91" t="s">
        <v>77</v>
      </c>
    </row>
    <row r="28" spans="3:6" x14ac:dyDescent="0.25">
      <c r="C28" s="92" t="s">
        <v>435</v>
      </c>
    </row>
    <row r="29" spans="3:6" x14ac:dyDescent="0.25">
      <c r="C29" s="90" t="s">
        <v>433</v>
      </c>
    </row>
    <row r="30" spans="3:6" x14ac:dyDescent="0.25">
      <c r="C30" s="91" t="s">
        <v>434</v>
      </c>
    </row>
    <row r="31" spans="3:6" x14ac:dyDescent="0.25">
      <c r="C31" s="91" t="s">
        <v>435</v>
      </c>
    </row>
    <row r="32" spans="3:6" x14ac:dyDescent="0.25">
      <c r="C32" s="92"/>
    </row>
    <row r="33" spans="3:3" x14ac:dyDescent="0.25">
      <c r="C33" s="90" t="s">
        <v>433</v>
      </c>
    </row>
    <row r="34" spans="3:3" x14ac:dyDescent="0.25">
      <c r="C34" s="91" t="s">
        <v>434</v>
      </c>
    </row>
    <row r="35" spans="3:3" x14ac:dyDescent="0.25">
      <c r="C35" s="91" t="s">
        <v>77</v>
      </c>
    </row>
    <row r="36" spans="3:3" x14ac:dyDescent="0.25">
      <c r="C36" s="92" t="s">
        <v>435</v>
      </c>
    </row>
    <row r="37" spans="3:3" x14ac:dyDescent="0.25">
      <c r="C37" s="90" t="s">
        <v>433</v>
      </c>
    </row>
    <row r="38" spans="3:3" x14ac:dyDescent="0.25">
      <c r="C38" s="91" t="s">
        <v>434</v>
      </c>
    </row>
    <row r="39" spans="3:3" x14ac:dyDescent="0.25">
      <c r="C39" s="91" t="s">
        <v>77</v>
      </c>
    </row>
    <row r="40" spans="3:3" x14ac:dyDescent="0.25">
      <c r="C40" s="92" t="s">
        <v>435</v>
      </c>
    </row>
    <row r="41" spans="3:3" x14ac:dyDescent="0.25">
      <c r="C41" s="90" t="s">
        <v>77</v>
      </c>
    </row>
    <row r="42" spans="3:3" x14ac:dyDescent="0.25">
      <c r="C42" s="91"/>
    </row>
    <row r="43" spans="3:3" x14ac:dyDescent="0.25">
      <c r="C43" s="92"/>
    </row>
    <row r="44" spans="3:3" x14ac:dyDescent="0.25">
      <c r="C44" s="90" t="s">
        <v>433</v>
      </c>
    </row>
    <row r="45" spans="3:3" x14ac:dyDescent="0.25">
      <c r="C45" s="91" t="s">
        <v>434</v>
      </c>
    </row>
    <row r="46" spans="3:3" x14ac:dyDescent="0.25">
      <c r="C46" s="91" t="s">
        <v>77</v>
      </c>
    </row>
    <row r="47" spans="3:3" x14ac:dyDescent="0.25">
      <c r="C47" s="92" t="s">
        <v>435</v>
      </c>
    </row>
    <row r="48" spans="3:3" x14ac:dyDescent="0.25">
      <c r="C48" s="90" t="s">
        <v>433</v>
      </c>
    </row>
    <row r="49" spans="3:3" x14ac:dyDescent="0.25">
      <c r="C49" s="91" t="s">
        <v>434</v>
      </c>
    </row>
    <row r="50" spans="3:3" x14ac:dyDescent="0.25">
      <c r="C50" s="91" t="s">
        <v>77</v>
      </c>
    </row>
    <row r="51" spans="3:3" x14ac:dyDescent="0.25">
      <c r="C51" s="92" t="s">
        <v>435</v>
      </c>
    </row>
    <row r="52" spans="3:3" x14ac:dyDescent="0.25">
      <c r="C52" s="90" t="s">
        <v>433</v>
      </c>
    </row>
    <row r="53" spans="3:3" x14ac:dyDescent="0.25">
      <c r="C53" s="91" t="s">
        <v>434</v>
      </c>
    </row>
    <row r="54" spans="3:3" x14ac:dyDescent="0.25">
      <c r="C54" s="91" t="s">
        <v>77</v>
      </c>
    </row>
    <row r="55" spans="3:3" x14ac:dyDescent="0.25">
      <c r="C55" s="92" t="s">
        <v>435</v>
      </c>
    </row>
    <row r="56" spans="3:3" x14ac:dyDescent="0.25">
      <c r="C56" s="90" t="s">
        <v>433</v>
      </c>
    </row>
    <row r="57" spans="3:3" x14ac:dyDescent="0.25">
      <c r="C57" s="91" t="s">
        <v>434</v>
      </c>
    </row>
    <row r="58" spans="3:3" x14ac:dyDescent="0.25">
      <c r="C58" s="91" t="s">
        <v>77</v>
      </c>
    </row>
    <row r="59" spans="3:3" x14ac:dyDescent="0.25">
      <c r="C59" s="92" t="s">
        <v>435</v>
      </c>
    </row>
    <row r="60" spans="3:3" x14ac:dyDescent="0.25">
      <c r="C60" s="90" t="s">
        <v>433</v>
      </c>
    </row>
    <row r="61" spans="3:3" x14ac:dyDescent="0.25">
      <c r="C61" s="91" t="s">
        <v>434</v>
      </c>
    </row>
    <row r="62" spans="3:3" x14ac:dyDescent="0.25">
      <c r="C62" s="91" t="s">
        <v>77</v>
      </c>
    </row>
    <row r="63" spans="3:3" x14ac:dyDescent="0.25">
      <c r="C63" s="92" t="s">
        <v>435</v>
      </c>
    </row>
    <row r="64" spans="3:3" x14ac:dyDescent="0.25">
      <c r="C64" s="90" t="s">
        <v>433</v>
      </c>
    </row>
    <row r="65" spans="3:3" x14ac:dyDescent="0.25">
      <c r="C65" s="91" t="s">
        <v>434</v>
      </c>
    </row>
    <row r="66" spans="3:3" x14ac:dyDescent="0.25">
      <c r="C66" s="91" t="s">
        <v>77</v>
      </c>
    </row>
    <row r="67" spans="3:3" x14ac:dyDescent="0.25">
      <c r="C67" s="91" t="s">
        <v>435</v>
      </c>
    </row>
    <row r="68" spans="3:3" x14ac:dyDescent="0.25">
      <c r="C68" s="91"/>
    </row>
    <row r="69" spans="3:3" x14ac:dyDescent="0.25">
      <c r="C69" s="92"/>
    </row>
    <row r="70" spans="3:3" x14ac:dyDescent="0.25">
      <c r="C70" s="90" t="s">
        <v>434</v>
      </c>
    </row>
    <row r="71" spans="3:3" x14ac:dyDescent="0.25">
      <c r="C71" s="91" t="s">
        <v>77</v>
      </c>
    </row>
    <row r="72" spans="3:3" x14ac:dyDescent="0.25">
      <c r="C72" s="92" t="s">
        <v>435</v>
      </c>
    </row>
    <row r="73" spans="3:3" x14ac:dyDescent="0.25">
      <c r="C73" s="90" t="s">
        <v>551</v>
      </c>
    </row>
    <row r="74" spans="3:3" x14ac:dyDescent="0.25">
      <c r="C74" s="91" t="s">
        <v>434</v>
      </c>
    </row>
    <row r="75" spans="3:3" x14ac:dyDescent="0.25">
      <c r="C75" s="91"/>
    </row>
    <row r="76" spans="3:3" x14ac:dyDescent="0.25">
      <c r="C76" s="92"/>
    </row>
    <row r="77" spans="3:3" x14ac:dyDescent="0.25">
      <c r="C77" s="90" t="s">
        <v>433</v>
      </c>
    </row>
    <row r="78" spans="3:3" x14ac:dyDescent="0.25">
      <c r="C78" s="91" t="s">
        <v>434</v>
      </c>
    </row>
    <row r="79" spans="3:3" x14ac:dyDescent="0.25">
      <c r="C79" s="91" t="s">
        <v>77</v>
      </c>
    </row>
    <row r="80" spans="3:3" x14ac:dyDescent="0.25">
      <c r="C80" s="92" t="s">
        <v>435</v>
      </c>
    </row>
    <row r="81" spans="3:3" x14ac:dyDescent="0.25">
      <c r="C81" s="90" t="s">
        <v>433</v>
      </c>
    </row>
    <row r="82" spans="3:3" x14ac:dyDescent="0.25">
      <c r="C82" s="91" t="s">
        <v>434</v>
      </c>
    </row>
    <row r="83" spans="3:3" x14ac:dyDescent="0.25">
      <c r="C83" s="91" t="s">
        <v>77</v>
      </c>
    </row>
    <row r="84" spans="3:3" x14ac:dyDescent="0.25">
      <c r="C84" s="92"/>
    </row>
    <row r="85" spans="3:3" x14ac:dyDescent="0.25">
      <c r="C85" s="90" t="s">
        <v>433</v>
      </c>
    </row>
    <row r="86" spans="3:3" x14ac:dyDescent="0.25">
      <c r="C86" s="91" t="s">
        <v>434</v>
      </c>
    </row>
    <row r="87" spans="3:3" x14ac:dyDescent="0.25">
      <c r="C87" s="91" t="s">
        <v>77</v>
      </c>
    </row>
    <row r="88" spans="3:3" x14ac:dyDescent="0.25">
      <c r="C88" s="92" t="s">
        <v>435</v>
      </c>
    </row>
    <row r="89" spans="3:3" x14ac:dyDescent="0.25">
      <c r="C89" s="90" t="s">
        <v>434</v>
      </c>
    </row>
    <row r="90" spans="3:3" x14ac:dyDescent="0.25">
      <c r="C90" s="91" t="s">
        <v>77</v>
      </c>
    </row>
    <row r="91" spans="3:3" x14ac:dyDescent="0.25">
      <c r="C91" s="91" t="s">
        <v>435</v>
      </c>
    </row>
    <row r="92" spans="3:3" x14ac:dyDescent="0.25">
      <c r="C92" s="92"/>
    </row>
    <row r="93" spans="3:3" x14ac:dyDescent="0.25">
      <c r="C93" s="90" t="s">
        <v>433</v>
      </c>
    </row>
    <row r="94" spans="3:3" x14ac:dyDescent="0.25">
      <c r="C94" s="91" t="s">
        <v>434</v>
      </c>
    </row>
    <row r="95" spans="3:3" x14ac:dyDescent="0.25">
      <c r="C95" s="91" t="s">
        <v>77</v>
      </c>
    </row>
    <row r="96" spans="3:3" x14ac:dyDescent="0.25">
      <c r="C96" s="92" t="s">
        <v>435</v>
      </c>
    </row>
    <row r="97" spans="3:3" x14ac:dyDescent="0.25">
      <c r="C97" s="90" t="s">
        <v>434</v>
      </c>
    </row>
    <row r="98" spans="3:3" x14ac:dyDescent="0.25">
      <c r="C98" s="91" t="s">
        <v>77</v>
      </c>
    </row>
    <row r="99" spans="3:3" x14ac:dyDescent="0.25">
      <c r="C99" s="92" t="s">
        <v>435</v>
      </c>
    </row>
    <row r="100" spans="3:3" x14ac:dyDescent="0.25">
      <c r="C100" s="90" t="s">
        <v>433</v>
      </c>
    </row>
    <row r="101" spans="3:3" x14ac:dyDescent="0.25">
      <c r="C101" s="91" t="s">
        <v>434</v>
      </c>
    </row>
    <row r="102" spans="3:3" x14ac:dyDescent="0.25">
      <c r="C102" s="91" t="s">
        <v>77</v>
      </c>
    </row>
    <row r="103" spans="3:3" x14ac:dyDescent="0.25">
      <c r="C103" s="92" t="s">
        <v>435</v>
      </c>
    </row>
    <row r="104" spans="3:3" x14ac:dyDescent="0.25">
      <c r="C104" s="90" t="s">
        <v>433</v>
      </c>
    </row>
    <row r="105" spans="3:3" x14ac:dyDescent="0.25">
      <c r="C105" s="91" t="s">
        <v>434</v>
      </c>
    </row>
    <row r="106" spans="3:3" x14ac:dyDescent="0.25">
      <c r="C106" s="91" t="s">
        <v>77</v>
      </c>
    </row>
    <row r="107" spans="3:3" x14ac:dyDescent="0.25">
      <c r="C107" s="92" t="s">
        <v>435</v>
      </c>
    </row>
    <row r="108" spans="3:3" x14ac:dyDescent="0.25">
      <c r="C108" s="90" t="s">
        <v>433</v>
      </c>
    </row>
    <row r="109" spans="3:3" x14ac:dyDescent="0.25">
      <c r="C109" s="91" t="s">
        <v>434</v>
      </c>
    </row>
    <row r="110" spans="3:3" x14ac:dyDescent="0.25">
      <c r="C110" s="91" t="s">
        <v>77</v>
      </c>
    </row>
    <row r="111" spans="3:3" x14ac:dyDescent="0.25">
      <c r="C111" s="92" t="s">
        <v>435</v>
      </c>
    </row>
    <row r="112" spans="3:3" x14ac:dyDescent="0.25">
      <c r="C112" s="90" t="s">
        <v>433</v>
      </c>
    </row>
    <row r="113" spans="3:3" x14ac:dyDescent="0.25">
      <c r="C113" s="91" t="s">
        <v>434</v>
      </c>
    </row>
    <row r="114" spans="3:3" x14ac:dyDescent="0.25">
      <c r="C114" s="91" t="s">
        <v>77</v>
      </c>
    </row>
    <row r="115" spans="3:3" x14ac:dyDescent="0.25">
      <c r="C115" s="92" t="s">
        <v>435</v>
      </c>
    </row>
    <row r="116" spans="3:3" x14ac:dyDescent="0.25">
      <c r="C116" s="90" t="s">
        <v>433</v>
      </c>
    </row>
    <row r="117" spans="3:3" x14ac:dyDescent="0.25">
      <c r="C117" s="91" t="s">
        <v>434</v>
      </c>
    </row>
    <row r="118" spans="3:3" x14ac:dyDescent="0.25">
      <c r="C118" s="91" t="s">
        <v>77</v>
      </c>
    </row>
    <row r="119" spans="3:3" x14ac:dyDescent="0.25">
      <c r="C119" s="92" t="s">
        <v>435</v>
      </c>
    </row>
    <row r="120" spans="3:3" x14ac:dyDescent="0.25">
      <c r="C120" s="90" t="s">
        <v>433</v>
      </c>
    </row>
    <row r="121" spans="3:3" x14ac:dyDescent="0.25">
      <c r="C121" s="91" t="s">
        <v>434</v>
      </c>
    </row>
    <row r="122" spans="3:3" x14ac:dyDescent="0.25">
      <c r="C122" s="91" t="s">
        <v>77</v>
      </c>
    </row>
    <row r="123" spans="3:3" x14ac:dyDescent="0.25">
      <c r="C123" s="92" t="s">
        <v>435</v>
      </c>
    </row>
    <row r="124" spans="3:3" x14ac:dyDescent="0.25">
      <c r="C124" s="90" t="s">
        <v>551</v>
      </c>
    </row>
    <row r="125" spans="3:3" x14ac:dyDescent="0.25">
      <c r="C125" s="91" t="s">
        <v>433</v>
      </c>
    </row>
    <row r="126" spans="3:3" x14ac:dyDescent="0.25">
      <c r="C126" s="91" t="s">
        <v>434</v>
      </c>
    </row>
    <row r="127" spans="3:3" x14ac:dyDescent="0.25">
      <c r="C127" s="91" t="s">
        <v>435</v>
      </c>
    </row>
    <row r="128" spans="3:3" x14ac:dyDescent="0.25">
      <c r="C128" s="92" t="s">
        <v>77</v>
      </c>
    </row>
    <row r="129" spans="3:3" x14ac:dyDescent="0.25">
      <c r="C129" s="90" t="s">
        <v>433</v>
      </c>
    </row>
    <row r="130" spans="3:3" x14ac:dyDescent="0.25">
      <c r="C130" s="91" t="s">
        <v>434</v>
      </c>
    </row>
    <row r="131" spans="3:3" x14ac:dyDescent="0.25">
      <c r="C131" s="91" t="s">
        <v>77</v>
      </c>
    </row>
    <row r="132" spans="3:3" x14ac:dyDescent="0.25">
      <c r="C132" s="92" t="s">
        <v>435</v>
      </c>
    </row>
    <row r="133" spans="3:3" x14ac:dyDescent="0.25">
      <c r="C133" s="90" t="s">
        <v>435</v>
      </c>
    </row>
    <row r="134" spans="3:3" x14ac:dyDescent="0.25">
      <c r="C134" s="91"/>
    </row>
    <row r="135" spans="3:3" x14ac:dyDescent="0.25">
      <c r="C135" s="92"/>
    </row>
    <row r="136" spans="3:3" x14ac:dyDescent="0.25">
      <c r="C136" s="90" t="s">
        <v>433</v>
      </c>
    </row>
    <row r="137" spans="3:3" x14ac:dyDescent="0.25">
      <c r="C137" s="91" t="s">
        <v>434</v>
      </c>
    </row>
    <row r="138" spans="3:3" x14ac:dyDescent="0.25">
      <c r="C138" s="91" t="s">
        <v>77</v>
      </c>
    </row>
    <row r="139" spans="3:3" x14ac:dyDescent="0.25">
      <c r="C139" s="92" t="s">
        <v>435</v>
      </c>
    </row>
    <row r="140" spans="3:3" x14ac:dyDescent="0.25">
      <c r="C140" s="90" t="s">
        <v>433</v>
      </c>
    </row>
    <row r="141" spans="3:3" x14ac:dyDescent="0.25">
      <c r="C141" s="91" t="s">
        <v>434</v>
      </c>
    </row>
    <row r="142" spans="3:3" x14ac:dyDescent="0.25">
      <c r="C142" s="91" t="s">
        <v>77</v>
      </c>
    </row>
    <row r="143" spans="3:3" x14ac:dyDescent="0.25">
      <c r="C143" s="92" t="s">
        <v>435</v>
      </c>
    </row>
    <row r="144" spans="3:3" x14ac:dyDescent="0.25">
      <c r="C144" s="90" t="s">
        <v>433</v>
      </c>
    </row>
    <row r="145" spans="3:3" x14ac:dyDescent="0.25">
      <c r="C145" s="91" t="s">
        <v>434</v>
      </c>
    </row>
    <row r="146" spans="3:3" x14ac:dyDescent="0.25">
      <c r="C146" s="91" t="s">
        <v>77</v>
      </c>
    </row>
    <row r="147" spans="3:3" x14ac:dyDescent="0.25">
      <c r="C147" s="92" t="s">
        <v>435</v>
      </c>
    </row>
    <row r="148" spans="3:3" x14ac:dyDescent="0.25">
      <c r="C148" s="90" t="s">
        <v>433</v>
      </c>
    </row>
    <row r="149" spans="3:3" x14ac:dyDescent="0.25">
      <c r="C149" s="91" t="s">
        <v>434</v>
      </c>
    </row>
    <row r="150" spans="3:3" x14ac:dyDescent="0.25">
      <c r="C150" s="91" t="s">
        <v>77</v>
      </c>
    </row>
    <row r="151" spans="3:3" x14ac:dyDescent="0.25">
      <c r="C151" s="92" t="s">
        <v>435</v>
      </c>
    </row>
    <row r="152" spans="3:3" x14ac:dyDescent="0.25">
      <c r="C152" s="90" t="s">
        <v>434</v>
      </c>
    </row>
    <row r="153" spans="3:3" x14ac:dyDescent="0.25">
      <c r="C153" s="91"/>
    </row>
    <row r="154" spans="3:3" x14ac:dyDescent="0.25">
      <c r="C154" s="91"/>
    </row>
    <row r="155" spans="3:3" x14ac:dyDescent="0.25">
      <c r="C155" s="91"/>
    </row>
    <row r="156" spans="3:3" x14ac:dyDescent="0.25">
      <c r="C156" s="92"/>
    </row>
    <row r="157" spans="3:3" x14ac:dyDescent="0.25">
      <c r="C157" s="90" t="s">
        <v>433</v>
      </c>
    </row>
    <row r="158" spans="3:3" x14ac:dyDescent="0.25">
      <c r="C158" s="91" t="s">
        <v>434</v>
      </c>
    </row>
    <row r="159" spans="3:3" x14ac:dyDescent="0.25">
      <c r="C159" s="91" t="s">
        <v>77</v>
      </c>
    </row>
    <row r="160" spans="3:3" x14ac:dyDescent="0.25">
      <c r="C160" s="92" t="s">
        <v>435</v>
      </c>
    </row>
    <row r="161" spans="3:3" x14ac:dyDescent="0.25">
      <c r="C161" s="90" t="s">
        <v>433</v>
      </c>
    </row>
    <row r="162" spans="3:3" x14ac:dyDescent="0.25">
      <c r="C162" s="91" t="s">
        <v>434</v>
      </c>
    </row>
    <row r="163" spans="3:3" x14ac:dyDescent="0.25">
      <c r="C163" s="91" t="s">
        <v>77</v>
      </c>
    </row>
    <row r="164" spans="3:3" x14ac:dyDescent="0.25">
      <c r="C164" s="92" t="s">
        <v>435</v>
      </c>
    </row>
    <row r="165" spans="3:3" x14ac:dyDescent="0.25">
      <c r="C165" s="90" t="s">
        <v>434</v>
      </c>
    </row>
    <row r="166" spans="3:3" x14ac:dyDescent="0.25">
      <c r="C166" s="91" t="s">
        <v>77</v>
      </c>
    </row>
    <row r="167" spans="3:3" x14ac:dyDescent="0.25">
      <c r="C167" s="91" t="s">
        <v>435</v>
      </c>
    </row>
    <row r="168" spans="3:3" x14ac:dyDescent="0.25">
      <c r="C168" s="92"/>
    </row>
    <row r="169" spans="3:3" x14ac:dyDescent="0.25">
      <c r="C169" s="90" t="s">
        <v>433</v>
      </c>
    </row>
    <row r="170" spans="3:3" x14ac:dyDescent="0.25">
      <c r="C170" s="91" t="s">
        <v>434</v>
      </c>
    </row>
    <row r="171" spans="3:3" x14ac:dyDescent="0.25">
      <c r="C171" s="91" t="s">
        <v>77</v>
      </c>
    </row>
    <row r="172" spans="3:3" x14ac:dyDescent="0.25">
      <c r="C172" s="92" t="s">
        <v>435</v>
      </c>
    </row>
    <row r="173" spans="3:3" x14ac:dyDescent="0.25">
      <c r="C173" s="90" t="s">
        <v>433</v>
      </c>
    </row>
    <row r="174" spans="3:3" x14ac:dyDescent="0.25">
      <c r="C174" s="91" t="s">
        <v>434</v>
      </c>
    </row>
    <row r="175" spans="3:3" x14ac:dyDescent="0.25">
      <c r="C175" s="91" t="s">
        <v>77</v>
      </c>
    </row>
    <row r="176" spans="3:3" x14ac:dyDescent="0.25">
      <c r="C176" s="92" t="s">
        <v>435</v>
      </c>
    </row>
    <row r="177" spans="3:3" x14ac:dyDescent="0.25">
      <c r="C177" s="90" t="s">
        <v>434</v>
      </c>
    </row>
    <row r="178" spans="3:3" x14ac:dyDescent="0.25">
      <c r="C178" s="91" t="s">
        <v>77</v>
      </c>
    </row>
    <row r="179" spans="3:3" x14ac:dyDescent="0.25">
      <c r="C179" s="91" t="s">
        <v>435</v>
      </c>
    </row>
    <row r="180" spans="3:3" x14ac:dyDescent="0.25">
      <c r="C180" s="91"/>
    </row>
    <row r="181" spans="3:3" x14ac:dyDescent="0.25">
      <c r="C181" s="92"/>
    </row>
    <row r="182" spans="3:3" x14ac:dyDescent="0.25">
      <c r="C182" s="90" t="s">
        <v>434</v>
      </c>
    </row>
    <row r="183" spans="3:3" x14ac:dyDescent="0.25">
      <c r="C183" s="91" t="s">
        <v>77</v>
      </c>
    </row>
    <row r="184" spans="3:3" x14ac:dyDescent="0.25">
      <c r="C184" s="91" t="s">
        <v>435</v>
      </c>
    </row>
    <row r="185" spans="3:3" x14ac:dyDescent="0.25">
      <c r="C185" s="91"/>
    </row>
    <row r="186" spans="3:3" x14ac:dyDescent="0.25">
      <c r="C186" s="91"/>
    </row>
    <row r="187" spans="3:3" x14ac:dyDescent="0.25">
      <c r="C187" s="92"/>
    </row>
    <row r="188" spans="3:3" x14ac:dyDescent="0.25">
      <c r="C188" s="91" t="s">
        <v>435</v>
      </c>
    </row>
    <row r="189" spans="3:3" x14ac:dyDescent="0.25">
      <c r="C189" s="91"/>
    </row>
    <row r="190" spans="3:3" x14ac:dyDescent="0.25">
      <c r="C190" s="90" t="s">
        <v>435</v>
      </c>
    </row>
    <row r="191" spans="3:3" x14ac:dyDescent="0.25">
      <c r="C191" s="91"/>
    </row>
    <row r="192" spans="3:3" x14ac:dyDescent="0.25">
      <c r="C192" s="92"/>
    </row>
    <row r="193" spans="3:3" x14ac:dyDescent="0.25">
      <c r="C193" s="90" t="s">
        <v>435</v>
      </c>
    </row>
    <row r="194" spans="3:3" x14ac:dyDescent="0.25">
      <c r="C194" s="92"/>
    </row>
    <row r="195" spans="3:3" x14ac:dyDescent="0.25">
      <c r="C195" s="90" t="s">
        <v>433</v>
      </c>
    </row>
    <row r="196" spans="3:3" x14ac:dyDescent="0.25">
      <c r="C196" s="91" t="s">
        <v>434</v>
      </c>
    </row>
    <row r="197" spans="3:3" x14ac:dyDescent="0.25">
      <c r="C197" s="91" t="s">
        <v>435</v>
      </c>
    </row>
    <row r="198" spans="3:3" x14ac:dyDescent="0.25">
      <c r="C198" s="92"/>
    </row>
    <row r="199" spans="3:3" x14ac:dyDescent="0.25">
      <c r="C199" s="90" t="s">
        <v>434</v>
      </c>
    </row>
    <row r="200" spans="3:3" x14ac:dyDescent="0.25">
      <c r="C200" s="91" t="s">
        <v>77</v>
      </c>
    </row>
    <row r="201" spans="3:3" x14ac:dyDescent="0.25">
      <c r="C201" s="91" t="s">
        <v>435</v>
      </c>
    </row>
    <row r="202" spans="3:3" x14ac:dyDescent="0.25">
      <c r="C202" s="92"/>
    </row>
    <row r="203" spans="3:3" x14ac:dyDescent="0.25">
      <c r="C203" s="90" t="s">
        <v>433</v>
      </c>
    </row>
    <row r="204" spans="3:3" x14ac:dyDescent="0.25">
      <c r="C204" s="91" t="s">
        <v>434</v>
      </c>
    </row>
    <row r="205" spans="3:3" x14ac:dyDescent="0.25">
      <c r="C205" s="91" t="s">
        <v>77</v>
      </c>
    </row>
    <row r="206" spans="3:3" x14ac:dyDescent="0.25">
      <c r="C206" s="92" t="s">
        <v>435</v>
      </c>
    </row>
    <row r="207" spans="3:3" x14ac:dyDescent="0.25">
      <c r="C207" s="90" t="s">
        <v>434</v>
      </c>
    </row>
    <row r="208" spans="3:3" x14ac:dyDescent="0.25">
      <c r="C208" s="92"/>
    </row>
    <row r="209" spans="3:3" x14ac:dyDescent="0.25">
      <c r="C209" s="90" t="s">
        <v>434</v>
      </c>
    </row>
    <row r="210" spans="3:3" x14ac:dyDescent="0.25">
      <c r="C210" s="91" t="s">
        <v>77</v>
      </c>
    </row>
    <row r="211" spans="3:3" x14ac:dyDescent="0.25">
      <c r="C211" s="91" t="s">
        <v>435</v>
      </c>
    </row>
    <row r="212" spans="3:3" x14ac:dyDescent="0.25">
      <c r="C212" s="91"/>
    </row>
    <row r="213" spans="3:3" x14ac:dyDescent="0.25">
      <c r="C213" s="92"/>
    </row>
    <row r="214" spans="3:3" x14ac:dyDescent="0.25">
      <c r="C214" s="90" t="s">
        <v>433</v>
      </c>
    </row>
    <row r="215" spans="3:3" x14ac:dyDescent="0.25">
      <c r="C215" s="91" t="s">
        <v>434</v>
      </c>
    </row>
    <row r="216" spans="3:3" x14ac:dyDescent="0.25">
      <c r="C216" s="92"/>
    </row>
    <row r="217" spans="3:3" x14ac:dyDescent="0.25">
      <c r="C217" s="90" t="s">
        <v>433</v>
      </c>
    </row>
    <row r="218" spans="3:3" x14ac:dyDescent="0.25">
      <c r="C218" s="91" t="s">
        <v>434</v>
      </c>
    </row>
    <row r="219" spans="3:3" x14ac:dyDescent="0.25">
      <c r="C219" s="91" t="s">
        <v>77</v>
      </c>
    </row>
    <row r="220" spans="3:3" x14ac:dyDescent="0.25">
      <c r="C220" s="92" t="s">
        <v>435</v>
      </c>
    </row>
    <row r="221" spans="3:3" x14ac:dyDescent="0.25">
      <c r="C221" s="90" t="s">
        <v>433</v>
      </c>
    </row>
    <row r="222" spans="3:3" x14ac:dyDescent="0.25">
      <c r="C222" s="91" t="s">
        <v>434</v>
      </c>
    </row>
    <row r="223" spans="3:3" x14ac:dyDescent="0.25">
      <c r="C223" s="91" t="s">
        <v>77</v>
      </c>
    </row>
    <row r="224" spans="3:3" x14ac:dyDescent="0.25">
      <c r="C224" s="92" t="s">
        <v>435</v>
      </c>
    </row>
    <row r="225" spans="3:3" x14ac:dyDescent="0.25">
      <c r="C225" s="90" t="s">
        <v>433</v>
      </c>
    </row>
    <row r="226" spans="3:3" x14ac:dyDescent="0.25">
      <c r="C226" s="91" t="s">
        <v>434</v>
      </c>
    </row>
    <row r="227" spans="3:3" x14ac:dyDescent="0.25">
      <c r="C227" s="91" t="s">
        <v>77</v>
      </c>
    </row>
    <row r="228" spans="3:3" x14ac:dyDescent="0.25">
      <c r="C228" s="92" t="s">
        <v>435</v>
      </c>
    </row>
    <row r="229" spans="3:3" x14ac:dyDescent="0.25">
      <c r="C229" s="90" t="s">
        <v>433</v>
      </c>
    </row>
    <row r="230" spans="3:3" x14ac:dyDescent="0.25">
      <c r="C230" s="91" t="s">
        <v>434</v>
      </c>
    </row>
    <row r="231" spans="3:3" x14ac:dyDescent="0.25">
      <c r="C231" s="91" t="s">
        <v>435</v>
      </c>
    </row>
    <row r="232" spans="3:3" x14ac:dyDescent="0.25">
      <c r="C232" s="92" t="s">
        <v>551</v>
      </c>
    </row>
    <row r="233" spans="3:3" x14ac:dyDescent="0.25">
      <c r="C233" s="90" t="s">
        <v>433</v>
      </c>
    </row>
    <row r="234" spans="3:3" x14ac:dyDescent="0.25">
      <c r="C234" s="91" t="s">
        <v>434</v>
      </c>
    </row>
    <row r="235" spans="3:3" x14ac:dyDescent="0.25">
      <c r="C235" s="91" t="s">
        <v>435</v>
      </c>
    </row>
    <row r="236" spans="3:3" x14ac:dyDescent="0.25">
      <c r="C236" s="92"/>
    </row>
    <row r="237" spans="3:3" x14ac:dyDescent="0.25">
      <c r="C237" s="90" t="s">
        <v>433</v>
      </c>
    </row>
    <row r="238" spans="3:3" x14ac:dyDescent="0.25">
      <c r="C238" s="91" t="s">
        <v>434</v>
      </c>
    </row>
    <row r="239" spans="3:3" x14ac:dyDescent="0.25">
      <c r="C239" s="91" t="s">
        <v>77</v>
      </c>
    </row>
    <row r="240" spans="3:3" x14ac:dyDescent="0.25">
      <c r="C240" s="92" t="s">
        <v>435</v>
      </c>
    </row>
    <row r="241" spans="3:3" x14ac:dyDescent="0.25">
      <c r="C241" s="90" t="s">
        <v>434</v>
      </c>
    </row>
    <row r="242" spans="3:3" x14ac:dyDescent="0.25">
      <c r="C242" s="91" t="s">
        <v>77</v>
      </c>
    </row>
    <row r="243" spans="3:3" x14ac:dyDescent="0.25">
      <c r="C243" s="91"/>
    </row>
    <row r="244" spans="3:3" x14ac:dyDescent="0.25">
      <c r="C244" s="92"/>
    </row>
    <row r="245" spans="3:3" x14ac:dyDescent="0.25">
      <c r="C245" s="90" t="s">
        <v>434</v>
      </c>
    </row>
    <row r="246" spans="3:3" x14ac:dyDescent="0.25">
      <c r="C246" s="91"/>
    </row>
    <row r="247" spans="3:3" x14ac:dyDescent="0.25">
      <c r="C247" s="91"/>
    </row>
    <row r="248" spans="3:3" x14ac:dyDescent="0.25">
      <c r="C248" s="91"/>
    </row>
    <row r="249" spans="3:3" x14ac:dyDescent="0.25">
      <c r="C249" s="91"/>
    </row>
    <row r="250" spans="3:3" x14ac:dyDescent="0.25">
      <c r="C250" s="92"/>
    </row>
    <row r="251" spans="3:3" x14ac:dyDescent="0.25">
      <c r="C251" s="90" t="s">
        <v>433</v>
      </c>
    </row>
    <row r="252" spans="3:3" x14ac:dyDescent="0.25">
      <c r="C252" s="91" t="s">
        <v>434</v>
      </c>
    </row>
    <row r="253" spans="3:3" x14ac:dyDescent="0.25">
      <c r="C253" s="91" t="s">
        <v>77</v>
      </c>
    </row>
    <row r="254" spans="3:3" x14ac:dyDescent="0.25">
      <c r="C254" s="92" t="s">
        <v>435</v>
      </c>
    </row>
    <row r="255" spans="3:3" x14ac:dyDescent="0.25">
      <c r="C255" s="90" t="s">
        <v>433</v>
      </c>
    </row>
    <row r="256" spans="3:3" x14ac:dyDescent="0.25">
      <c r="C256" s="91" t="s">
        <v>434</v>
      </c>
    </row>
    <row r="257" spans="3:3" x14ac:dyDescent="0.25">
      <c r="C257" s="91" t="s">
        <v>77</v>
      </c>
    </row>
    <row r="258" spans="3:3" x14ac:dyDescent="0.25">
      <c r="C258" s="92" t="s">
        <v>435</v>
      </c>
    </row>
    <row r="259" spans="3:3" x14ac:dyDescent="0.25">
      <c r="C259" s="90" t="s">
        <v>433</v>
      </c>
    </row>
    <row r="260" spans="3:3" x14ac:dyDescent="0.25">
      <c r="C260" s="91" t="s">
        <v>434</v>
      </c>
    </row>
    <row r="261" spans="3:3" x14ac:dyDescent="0.25">
      <c r="C261" s="91" t="s">
        <v>77</v>
      </c>
    </row>
    <row r="262" spans="3:3" x14ac:dyDescent="0.25">
      <c r="C262" s="92" t="s">
        <v>435</v>
      </c>
    </row>
    <row r="263" spans="3:3" x14ac:dyDescent="0.25">
      <c r="C263" s="90" t="s">
        <v>433</v>
      </c>
    </row>
    <row r="264" spans="3:3" x14ac:dyDescent="0.25">
      <c r="C264" s="91" t="s">
        <v>434</v>
      </c>
    </row>
    <row r="265" spans="3:3" x14ac:dyDescent="0.25">
      <c r="C265" s="91"/>
    </row>
    <row r="266" spans="3:3" x14ac:dyDescent="0.25">
      <c r="C266" s="91"/>
    </row>
    <row r="267" spans="3:3" x14ac:dyDescent="0.25">
      <c r="C267" s="91"/>
    </row>
    <row r="268" spans="3:3" x14ac:dyDescent="0.25">
      <c r="C268" s="92"/>
    </row>
    <row r="269" spans="3:3" x14ac:dyDescent="0.25">
      <c r="C269" s="90" t="s">
        <v>551</v>
      </c>
    </row>
    <row r="270" spans="3:3" x14ac:dyDescent="0.25">
      <c r="C270" s="91" t="s">
        <v>434</v>
      </c>
    </row>
    <row r="271" spans="3:3" x14ac:dyDescent="0.25">
      <c r="C271" s="91" t="s">
        <v>188</v>
      </c>
    </row>
    <row r="272" spans="3:3" x14ac:dyDescent="0.25">
      <c r="C272" s="91"/>
    </row>
    <row r="273" spans="3:3" x14ac:dyDescent="0.25">
      <c r="C273" s="92"/>
    </row>
    <row r="274" spans="3:3" x14ac:dyDescent="0.25">
      <c r="C274" s="90" t="s">
        <v>551</v>
      </c>
    </row>
    <row r="275" spans="3:3" x14ac:dyDescent="0.25">
      <c r="C275" s="91" t="s">
        <v>433</v>
      </c>
    </row>
    <row r="276" spans="3:3" x14ac:dyDescent="0.25">
      <c r="C276" s="91" t="s">
        <v>434</v>
      </c>
    </row>
    <row r="277" spans="3:3" x14ac:dyDescent="0.25">
      <c r="C277" s="92" t="s">
        <v>188</v>
      </c>
    </row>
    <row r="278" spans="3:3" x14ac:dyDescent="0.25">
      <c r="C278" s="90" t="s">
        <v>433</v>
      </c>
    </row>
    <row r="279" spans="3:3" x14ac:dyDescent="0.25">
      <c r="C279" s="91" t="s">
        <v>434</v>
      </c>
    </row>
    <row r="280" spans="3:3" x14ac:dyDescent="0.25">
      <c r="C280" s="96" t="s">
        <v>77</v>
      </c>
    </row>
    <row r="281" spans="3:3" x14ac:dyDescent="0.25">
      <c r="C281" s="91" t="s">
        <v>188</v>
      </c>
    </row>
    <row r="282" spans="3:3" x14ac:dyDescent="0.25">
      <c r="C282" s="91"/>
    </row>
    <row r="283" spans="3:3" x14ac:dyDescent="0.25">
      <c r="C283" s="92"/>
    </row>
    <row r="284" spans="3:3" x14ac:dyDescent="0.25">
      <c r="C284" s="90" t="s">
        <v>434</v>
      </c>
    </row>
    <row r="285" spans="3:3" x14ac:dyDescent="0.25">
      <c r="C285" s="96" t="s">
        <v>77</v>
      </c>
    </row>
    <row r="286" spans="3:3" x14ac:dyDescent="0.25">
      <c r="C286" s="91" t="s">
        <v>188</v>
      </c>
    </row>
    <row r="287" spans="3:3" x14ac:dyDescent="0.25">
      <c r="C287" s="91"/>
    </row>
    <row r="288" spans="3:3" x14ac:dyDescent="0.25">
      <c r="C288" s="92"/>
    </row>
    <row r="289" spans="3:3" x14ac:dyDescent="0.25">
      <c r="C289" s="90" t="s">
        <v>433</v>
      </c>
    </row>
    <row r="290" spans="3:3" x14ac:dyDescent="0.25">
      <c r="C290" s="91" t="s">
        <v>434</v>
      </c>
    </row>
    <row r="291" spans="3:3" x14ac:dyDescent="0.25">
      <c r="C291" s="96" t="s">
        <v>77</v>
      </c>
    </row>
    <row r="292" spans="3:3" x14ac:dyDescent="0.25">
      <c r="C292" s="92" t="s">
        <v>188</v>
      </c>
    </row>
    <row r="293" spans="3:3" x14ac:dyDescent="0.25">
      <c r="C293" s="90" t="s">
        <v>433</v>
      </c>
    </row>
    <row r="294" spans="3:3" x14ac:dyDescent="0.25">
      <c r="C294" s="91" t="s">
        <v>434</v>
      </c>
    </row>
    <row r="295" spans="3:3" x14ac:dyDescent="0.25">
      <c r="C295" s="91" t="s">
        <v>188</v>
      </c>
    </row>
    <row r="296" spans="3:3" x14ac:dyDescent="0.25">
      <c r="C296" s="92"/>
    </row>
    <row r="297" spans="3:3" x14ac:dyDescent="0.25">
      <c r="C297" s="97" t="s">
        <v>77</v>
      </c>
    </row>
    <row r="298" spans="3:3" x14ac:dyDescent="0.25">
      <c r="C298" s="90" t="s">
        <v>434</v>
      </c>
    </row>
    <row r="299" spans="3:3" x14ac:dyDescent="0.25">
      <c r="C299" s="92" t="s">
        <v>77</v>
      </c>
    </row>
    <row r="300" spans="3:3" x14ac:dyDescent="0.25">
      <c r="C300" s="90" t="s">
        <v>434</v>
      </c>
    </row>
    <row r="301" spans="3:3" x14ac:dyDescent="0.25">
      <c r="C301" s="91" t="s">
        <v>77</v>
      </c>
    </row>
    <row r="302" spans="3:3" x14ac:dyDescent="0.25">
      <c r="C302" s="91"/>
    </row>
    <row r="303" spans="3:3" x14ac:dyDescent="0.25">
      <c r="C303" s="92"/>
    </row>
    <row r="304" spans="3:3" x14ac:dyDescent="0.25">
      <c r="C304" s="98" t="s">
        <v>77</v>
      </c>
    </row>
    <row r="305" spans="3:3" x14ac:dyDescent="0.25">
      <c r="C305" s="100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80"/>
  <sheetViews>
    <sheetView tabSelected="1" topLeftCell="D1" workbookViewId="0">
      <selection activeCell="N33" sqref="N33"/>
    </sheetView>
  </sheetViews>
  <sheetFormatPr baseColWidth="10" defaultRowHeight="15" x14ac:dyDescent="0.25"/>
  <cols>
    <col min="2" max="2" width="8.5703125" style="68" customWidth="1"/>
    <col min="3" max="3" width="28.85546875" bestFit="1" customWidth="1"/>
    <col min="5" max="5" width="28.85546875" bestFit="1" customWidth="1"/>
  </cols>
  <sheetData>
    <row r="2" spans="2:7" x14ac:dyDescent="0.25">
      <c r="B2" s="1">
        <v>1</v>
      </c>
      <c r="C2" s="2" t="s">
        <v>77</v>
      </c>
      <c r="E2" s="165" t="s">
        <v>567</v>
      </c>
      <c r="F2" s="165"/>
      <c r="G2" s="165"/>
    </row>
    <row r="3" spans="2:7" x14ac:dyDescent="0.25">
      <c r="B3" s="1">
        <v>2</v>
      </c>
      <c r="C3" s="2" t="s">
        <v>89</v>
      </c>
      <c r="E3" s="31" t="s">
        <v>1</v>
      </c>
      <c r="F3" s="31" t="s">
        <v>2</v>
      </c>
      <c r="G3" s="31" t="s">
        <v>3</v>
      </c>
    </row>
    <row r="4" spans="2:7" x14ac:dyDescent="0.25">
      <c r="B4" s="1">
        <v>3</v>
      </c>
      <c r="C4" s="2" t="s">
        <v>97</v>
      </c>
      <c r="E4" s="1" t="s">
        <v>98</v>
      </c>
      <c r="F4" s="1">
        <f>COUNTIF($C$2:$C$78,"Arroz")</f>
        <v>1</v>
      </c>
      <c r="G4" s="4">
        <f>F4/F27</f>
        <v>1.3888888888888888E-2</v>
      </c>
    </row>
    <row r="5" spans="2:7" x14ac:dyDescent="0.25">
      <c r="B5" s="1">
        <v>4</v>
      </c>
      <c r="C5" s="2" t="s">
        <v>77</v>
      </c>
      <c r="E5" s="1" t="s">
        <v>89</v>
      </c>
      <c r="F5" s="1">
        <f>COUNTIF($C$2:$C$78,"Aseo personal")</f>
        <v>13</v>
      </c>
      <c r="G5" s="4">
        <f>F5/F27</f>
        <v>0.18055555555555555</v>
      </c>
    </row>
    <row r="6" spans="2:7" x14ac:dyDescent="0.25">
      <c r="B6" s="1">
        <v>5</v>
      </c>
      <c r="C6" s="2" t="s">
        <v>89</v>
      </c>
      <c r="E6" s="1" t="s">
        <v>315</v>
      </c>
      <c r="F6" s="1">
        <f>COUNTIF($C$2:$C$78,"Aseo personal y pañales")</f>
        <v>2</v>
      </c>
      <c r="G6" s="4">
        <f>F6/F27</f>
        <v>2.7777777777777776E-2</v>
      </c>
    </row>
    <row r="7" spans="2:7" x14ac:dyDescent="0.25">
      <c r="B7" s="1">
        <v>6</v>
      </c>
      <c r="C7" s="2" t="s">
        <v>97</v>
      </c>
      <c r="E7" s="1" t="s">
        <v>170</v>
      </c>
      <c r="F7" s="1">
        <f>COUNTIF($C$2:$C$78,"Aseo personal,pañales, viveres")</f>
        <v>1</v>
      </c>
      <c r="G7" s="4">
        <f>F7/F27</f>
        <v>1.3888888888888888E-2</v>
      </c>
    </row>
    <row r="8" spans="2:7" x14ac:dyDescent="0.25">
      <c r="B8" s="1">
        <v>7</v>
      </c>
      <c r="C8" s="2" t="s">
        <v>89</v>
      </c>
      <c r="E8" s="1" t="s">
        <v>277</v>
      </c>
      <c r="F8" s="1">
        <f>COUNTIF($C$2:$C$78,"Aseo y canasta familiar")</f>
        <v>1</v>
      </c>
      <c r="G8" s="4">
        <f>F8/F27</f>
        <v>1.3888888888888888E-2</v>
      </c>
    </row>
    <row r="9" spans="2:7" x14ac:dyDescent="0.25">
      <c r="B9" s="1">
        <v>8</v>
      </c>
      <c r="C9" s="2" t="s">
        <v>77</v>
      </c>
      <c r="E9" s="1" t="s">
        <v>267</v>
      </c>
      <c r="F9" s="1">
        <f>COUNTIF($C$2:$C$78,"Cerveza")</f>
        <v>1</v>
      </c>
      <c r="G9" s="4">
        <f>F9/F27</f>
        <v>1.3888888888888888E-2</v>
      </c>
    </row>
    <row r="10" spans="2:7" x14ac:dyDescent="0.25">
      <c r="B10" s="1">
        <v>9</v>
      </c>
      <c r="C10" s="2" t="s">
        <v>77</v>
      </c>
      <c r="E10" s="1" t="s">
        <v>568</v>
      </c>
      <c r="F10" s="1">
        <f>COUNTIF($C$2:$C$78,"Cigarrillos y limpieza")</f>
        <v>1</v>
      </c>
      <c r="G10" s="4">
        <f>F10/F27</f>
        <v>1.3888888888888888E-2</v>
      </c>
    </row>
    <row r="11" spans="2:7" x14ac:dyDescent="0.25">
      <c r="B11" s="1">
        <v>10</v>
      </c>
      <c r="C11" s="2" t="s">
        <v>126</v>
      </c>
      <c r="E11" s="1" t="s">
        <v>97</v>
      </c>
      <c r="F11" s="1">
        <f>COUNTIF($C$2:$C$78,"Dulces")</f>
        <v>2</v>
      </c>
      <c r="G11" s="4">
        <f>F11/F27</f>
        <v>2.7777777777777776E-2</v>
      </c>
    </row>
    <row r="12" spans="2:7" x14ac:dyDescent="0.25">
      <c r="B12" s="1">
        <v>11</v>
      </c>
      <c r="C12" s="2" t="s">
        <v>77</v>
      </c>
      <c r="E12" s="1" t="s">
        <v>308</v>
      </c>
      <c r="F12" s="1">
        <f>COUNTIF($C$2:$C$78,"Dulces y aseo personal")</f>
        <v>1</v>
      </c>
      <c r="G12" s="4">
        <f>F12/F27</f>
        <v>1.3888888888888888E-2</v>
      </c>
    </row>
    <row r="13" spans="2:7" x14ac:dyDescent="0.25">
      <c r="B13" s="1">
        <v>12</v>
      </c>
      <c r="C13" s="2" t="s">
        <v>188</v>
      </c>
      <c r="E13" s="1" t="s">
        <v>188</v>
      </c>
      <c r="F13" s="1">
        <f>COUNTIF($C$2:$C$78,"Dulces y paquetes")</f>
        <v>13</v>
      </c>
      <c r="G13" s="4">
        <f>F13/F27</f>
        <v>0.18055555555555555</v>
      </c>
    </row>
    <row r="14" spans="2:7" x14ac:dyDescent="0.25">
      <c r="B14" s="1">
        <v>13</v>
      </c>
      <c r="C14" s="2" t="s">
        <v>77</v>
      </c>
      <c r="E14" s="1" t="s">
        <v>299</v>
      </c>
      <c r="F14" s="1">
        <f>COUNTIF($C$2:$C$78,"Frutas")</f>
        <v>1</v>
      </c>
      <c r="G14" s="4">
        <f>F14/F27</f>
        <v>1.3888888888888888E-2</v>
      </c>
    </row>
    <row r="15" spans="2:7" x14ac:dyDescent="0.25">
      <c r="B15" s="1">
        <v>14</v>
      </c>
      <c r="C15" s="2" t="s">
        <v>188</v>
      </c>
      <c r="E15" s="1" t="s">
        <v>146</v>
      </c>
      <c r="F15" s="1">
        <f>COUNTIF($C$2:$C$78,"Jabon y Clorox")</f>
        <v>1</v>
      </c>
      <c r="G15" s="4">
        <f>F15/F27</f>
        <v>1.3888888888888888E-2</v>
      </c>
    </row>
    <row r="16" spans="2:7" x14ac:dyDescent="0.25">
      <c r="B16" s="1">
        <v>15</v>
      </c>
      <c r="C16" s="2" t="s">
        <v>89</v>
      </c>
      <c r="E16" s="1" t="s">
        <v>321</v>
      </c>
      <c r="F16" s="1">
        <f>COUNTIF($C$2:$C$78,"Lacteos")</f>
        <v>1</v>
      </c>
      <c r="G16" s="4">
        <f>F16/F27</f>
        <v>1.3888888888888888E-2</v>
      </c>
    </row>
    <row r="17" spans="2:7" x14ac:dyDescent="0.25">
      <c r="B17" s="1">
        <v>16</v>
      </c>
      <c r="C17" s="2" t="s">
        <v>89</v>
      </c>
      <c r="E17" s="1" t="s">
        <v>126</v>
      </c>
      <c r="F17" s="1">
        <f>COUNTIF($C$2:$C$78,"Leche, pan, huevos, pañales")</f>
        <v>1</v>
      </c>
      <c r="G17" s="4">
        <f>F17/F27</f>
        <v>1.3888888888888888E-2</v>
      </c>
    </row>
    <row r="18" spans="2:7" x14ac:dyDescent="0.25">
      <c r="B18" s="1">
        <v>17</v>
      </c>
      <c r="C18" s="2" t="s">
        <v>146</v>
      </c>
      <c r="E18" s="1" t="s">
        <v>77</v>
      </c>
      <c r="F18" s="1">
        <f>COUNTIF($C$2:$C$78,"Limpieza")</f>
        <v>16</v>
      </c>
      <c r="G18" s="4">
        <f>F18/F27</f>
        <v>0.22222222222222221</v>
      </c>
    </row>
    <row r="19" spans="2:7" x14ac:dyDescent="0.25">
      <c r="B19" s="1">
        <v>18</v>
      </c>
      <c r="C19" s="2" t="s">
        <v>188</v>
      </c>
      <c r="E19" s="1" t="s">
        <v>333</v>
      </c>
      <c r="F19" s="1">
        <f>COUNTIF($C$2:$C$78,"Maiz y panela")</f>
        <v>1</v>
      </c>
      <c r="G19" s="4">
        <f>F19/F27</f>
        <v>1.3888888888888888E-2</v>
      </c>
    </row>
    <row r="20" spans="2:7" x14ac:dyDescent="0.25">
      <c r="B20" s="1">
        <v>19</v>
      </c>
      <c r="C20" s="2" t="s">
        <v>157</v>
      </c>
      <c r="E20" s="1" t="s">
        <v>157</v>
      </c>
      <c r="F20" s="1">
        <f>COUNTIF($C$2:$C$78,"Medicamentos")</f>
        <v>5</v>
      </c>
      <c r="G20" s="4">
        <f>F20/F27</f>
        <v>6.9444444444444448E-2</v>
      </c>
    </row>
    <row r="21" spans="2:7" x14ac:dyDescent="0.25">
      <c r="B21" s="1">
        <v>20</v>
      </c>
      <c r="C21" s="2" t="s">
        <v>160</v>
      </c>
      <c r="E21" s="1" t="s">
        <v>359</v>
      </c>
      <c r="F21" s="1">
        <f>COUNTIF($C$2:$C$78,"Pañales")</f>
        <v>1</v>
      </c>
      <c r="G21" s="4">
        <f>F21/F27</f>
        <v>1.3888888888888888E-2</v>
      </c>
    </row>
    <row r="22" spans="2:7" x14ac:dyDescent="0.25">
      <c r="B22" s="1">
        <v>21</v>
      </c>
      <c r="C22" s="2" t="s">
        <v>157</v>
      </c>
      <c r="E22" s="1" t="s">
        <v>274</v>
      </c>
      <c r="F22" s="1">
        <f>COUNTIF($C$2:$C$78,"Paquetes y carnicos")</f>
        <v>1</v>
      </c>
      <c r="G22" s="4">
        <f>F22/F27</f>
        <v>1.3888888888888888E-2</v>
      </c>
    </row>
    <row r="23" spans="2:7" x14ac:dyDescent="0.25">
      <c r="B23" s="1">
        <v>22</v>
      </c>
      <c r="C23" s="2" t="s">
        <v>170</v>
      </c>
      <c r="E23" s="1" t="s">
        <v>217</v>
      </c>
      <c r="F23" s="1">
        <f>COUNTIF($C$2:$C$78,"Pedialyte")</f>
        <v>1</v>
      </c>
      <c r="G23" s="4">
        <f>F23/F27</f>
        <v>1.3888888888888888E-2</v>
      </c>
    </row>
    <row r="24" spans="2:7" x14ac:dyDescent="0.25">
      <c r="B24" s="1">
        <v>23</v>
      </c>
      <c r="C24" s="2" t="s">
        <v>160</v>
      </c>
      <c r="E24" s="1" t="s">
        <v>160</v>
      </c>
      <c r="F24" s="1">
        <f>COUNTIF($C$2:$C$78,"Viveres")</f>
        <v>3</v>
      </c>
      <c r="G24" s="4">
        <f>F24/F27</f>
        <v>4.1666666666666664E-2</v>
      </c>
    </row>
    <row r="25" spans="2:7" x14ac:dyDescent="0.25">
      <c r="B25" s="1">
        <v>24</v>
      </c>
      <c r="C25" s="2" t="s">
        <v>89</v>
      </c>
      <c r="E25" s="1" t="s">
        <v>266</v>
      </c>
      <c r="F25" s="1">
        <f>COUNTIF($C$2:$C$78,"Viveres  y pañales")</f>
        <v>1</v>
      </c>
      <c r="G25" s="4">
        <f>F25/F27</f>
        <v>1.3888888888888888E-2</v>
      </c>
    </row>
    <row r="26" spans="2:7" x14ac:dyDescent="0.25">
      <c r="B26" s="1">
        <v>25</v>
      </c>
      <c r="C26" s="2" t="s">
        <v>188</v>
      </c>
      <c r="E26" s="1" t="s">
        <v>230</v>
      </c>
      <c r="F26" s="1">
        <f>COUNTIF($C$2:$C$78,"Viveres y aseo")</f>
        <v>3</v>
      </c>
      <c r="G26" s="4">
        <f>F26/F27</f>
        <v>4.1666666666666664E-2</v>
      </c>
    </row>
    <row r="27" spans="2:7" x14ac:dyDescent="0.25">
      <c r="B27" s="1">
        <v>26</v>
      </c>
      <c r="C27" s="2" t="s">
        <v>77</v>
      </c>
      <c r="E27" s="72" t="s">
        <v>6</v>
      </c>
      <c r="F27" s="72">
        <f>SUM(F4:F26)</f>
        <v>72</v>
      </c>
      <c r="G27" s="73">
        <f>SUM(G4:G26)</f>
        <v>0.99999999999999944</v>
      </c>
    </row>
    <row r="28" spans="2:7" x14ac:dyDescent="0.25">
      <c r="B28" s="1">
        <v>27</v>
      </c>
      <c r="C28" s="2" t="s">
        <v>89</v>
      </c>
    </row>
    <row r="29" spans="2:7" x14ac:dyDescent="0.25">
      <c r="B29" s="1">
        <v>28</v>
      </c>
      <c r="C29" s="2"/>
    </row>
    <row r="30" spans="2:7" x14ac:dyDescent="0.25">
      <c r="B30" s="1">
        <v>29</v>
      </c>
      <c r="C30" s="2" t="s">
        <v>160</v>
      </c>
      <c r="E30" s="16"/>
    </row>
    <row r="31" spans="2:7" x14ac:dyDescent="0.25">
      <c r="B31" s="1">
        <v>30</v>
      </c>
      <c r="C31" s="2" t="s">
        <v>188</v>
      </c>
      <c r="E31" s="16"/>
    </row>
    <row r="32" spans="2:7" x14ac:dyDescent="0.25">
      <c r="B32" s="1">
        <v>31</v>
      </c>
      <c r="C32" s="2" t="s">
        <v>188</v>
      </c>
      <c r="E32" s="16"/>
    </row>
    <row r="33" spans="2:5" x14ac:dyDescent="0.25">
      <c r="B33" s="1">
        <v>32</v>
      </c>
      <c r="C33" s="2" t="s">
        <v>217</v>
      </c>
      <c r="E33" s="16"/>
    </row>
    <row r="34" spans="2:5" x14ac:dyDescent="0.25">
      <c r="B34" s="1">
        <v>33</v>
      </c>
      <c r="C34" s="2" t="s">
        <v>219</v>
      </c>
      <c r="E34" s="16"/>
    </row>
    <row r="35" spans="2:5" x14ac:dyDescent="0.25">
      <c r="B35" s="1">
        <v>34</v>
      </c>
      <c r="C35" s="2" t="s">
        <v>188</v>
      </c>
      <c r="E35" s="16"/>
    </row>
    <row r="36" spans="2:5" x14ac:dyDescent="0.25">
      <c r="B36" s="1">
        <v>35</v>
      </c>
      <c r="C36" s="2" t="s">
        <v>230</v>
      </c>
      <c r="E36" s="16"/>
    </row>
    <row r="37" spans="2:5" x14ac:dyDescent="0.25">
      <c r="B37" s="1">
        <v>36</v>
      </c>
      <c r="C37" s="2" t="s">
        <v>230</v>
      </c>
      <c r="E37" s="16"/>
    </row>
    <row r="38" spans="2:5" x14ac:dyDescent="0.25">
      <c r="B38" s="1">
        <v>37</v>
      </c>
      <c r="C38" s="2" t="s">
        <v>77</v>
      </c>
      <c r="E38" s="16"/>
    </row>
    <row r="39" spans="2:5" x14ac:dyDescent="0.25">
      <c r="B39" s="1">
        <v>38</v>
      </c>
      <c r="C39" s="2" t="s">
        <v>89</v>
      </c>
      <c r="E39" s="16"/>
    </row>
    <row r="40" spans="2:5" x14ac:dyDescent="0.25">
      <c r="B40" s="1">
        <v>39</v>
      </c>
      <c r="C40" s="2" t="s">
        <v>250</v>
      </c>
      <c r="E40" s="16"/>
    </row>
    <row r="41" spans="2:5" x14ac:dyDescent="0.25">
      <c r="B41" s="1">
        <v>40</v>
      </c>
      <c r="C41" s="2" t="s">
        <v>230</v>
      </c>
    </row>
    <row r="42" spans="2:5" x14ac:dyDescent="0.25">
      <c r="B42" s="1">
        <v>41</v>
      </c>
      <c r="C42" s="2" t="s">
        <v>266</v>
      </c>
    </row>
    <row r="43" spans="2:5" x14ac:dyDescent="0.25">
      <c r="B43" s="1">
        <v>42</v>
      </c>
      <c r="C43" s="2" t="s">
        <v>568</v>
      </c>
    </row>
    <row r="44" spans="2:5" x14ac:dyDescent="0.25">
      <c r="B44" s="1">
        <v>43</v>
      </c>
      <c r="C44" s="2" t="s">
        <v>274</v>
      </c>
    </row>
    <row r="45" spans="2:5" x14ac:dyDescent="0.25">
      <c r="B45" s="1">
        <v>44</v>
      </c>
      <c r="C45" s="2" t="s">
        <v>277</v>
      </c>
    </row>
    <row r="46" spans="2:5" x14ac:dyDescent="0.25">
      <c r="B46" s="1">
        <v>45</v>
      </c>
      <c r="C46" s="2" t="s">
        <v>77</v>
      </c>
    </row>
    <row r="47" spans="2:5" x14ac:dyDescent="0.25">
      <c r="B47" s="1">
        <v>46</v>
      </c>
      <c r="C47" s="2" t="s">
        <v>77</v>
      </c>
      <c r="E47" s="16"/>
    </row>
    <row r="48" spans="2:5" x14ac:dyDescent="0.25">
      <c r="B48" s="1">
        <v>47</v>
      </c>
      <c r="C48" s="2" t="s">
        <v>267</v>
      </c>
      <c r="E48" s="16"/>
    </row>
    <row r="49" spans="2:5" x14ac:dyDescent="0.25">
      <c r="B49" s="1">
        <v>48</v>
      </c>
      <c r="C49" s="2" t="s">
        <v>299</v>
      </c>
      <c r="E49" s="16"/>
    </row>
    <row r="50" spans="2:5" x14ac:dyDescent="0.25">
      <c r="B50" s="1">
        <v>49</v>
      </c>
      <c r="C50" s="2" t="s">
        <v>188</v>
      </c>
      <c r="E50" s="16"/>
    </row>
    <row r="51" spans="2:5" x14ac:dyDescent="0.25">
      <c r="B51" s="1">
        <v>50</v>
      </c>
      <c r="C51" s="2" t="s">
        <v>308</v>
      </c>
      <c r="E51" s="16"/>
    </row>
    <row r="52" spans="2:5" x14ac:dyDescent="0.25">
      <c r="B52" s="1">
        <v>51</v>
      </c>
      <c r="C52" s="2" t="s">
        <v>315</v>
      </c>
      <c r="E52" s="16"/>
    </row>
    <row r="53" spans="2:5" x14ac:dyDescent="0.25">
      <c r="B53" s="1">
        <v>52</v>
      </c>
      <c r="C53" s="2"/>
      <c r="E53" s="16"/>
    </row>
    <row r="54" spans="2:5" x14ac:dyDescent="0.25">
      <c r="B54" s="1">
        <v>53</v>
      </c>
      <c r="C54" s="2" t="s">
        <v>321</v>
      </c>
      <c r="E54" s="16"/>
    </row>
    <row r="55" spans="2:5" x14ac:dyDescent="0.25">
      <c r="B55" s="1">
        <v>54</v>
      </c>
      <c r="C55" s="2" t="s">
        <v>89</v>
      </c>
      <c r="E55" s="16"/>
    </row>
    <row r="56" spans="2:5" x14ac:dyDescent="0.25">
      <c r="B56" s="1">
        <v>55</v>
      </c>
      <c r="C56" s="2" t="s">
        <v>333</v>
      </c>
      <c r="E56" s="16"/>
    </row>
    <row r="57" spans="2:5" x14ac:dyDescent="0.25">
      <c r="B57" s="1">
        <v>56</v>
      </c>
      <c r="C57" s="2" t="s">
        <v>77</v>
      </c>
      <c r="E57" s="16"/>
    </row>
    <row r="58" spans="2:5" x14ac:dyDescent="0.25">
      <c r="B58" s="1">
        <v>57</v>
      </c>
      <c r="C58" s="2" t="s">
        <v>188</v>
      </c>
      <c r="E58" s="16"/>
    </row>
    <row r="59" spans="2:5" x14ac:dyDescent="0.25">
      <c r="B59" s="1">
        <v>58</v>
      </c>
      <c r="C59" s="2" t="s">
        <v>315</v>
      </c>
      <c r="E59" s="16"/>
    </row>
    <row r="60" spans="2:5" x14ac:dyDescent="0.25">
      <c r="B60" s="1">
        <v>59</v>
      </c>
      <c r="C60" s="2" t="s">
        <v>157</v>
      </c>
      <c r="E60" s="16"/>
    </row>
    <row r="61" spans="2:5" x14ac:dyDescent="0.25">
      <c r="B61" s="1">
        <v>60</v>
      </c>
      <c r="C61" s="2" t="s">
        <v>89</v>
      </c>
      <c r="E61" s="16"/>
    </row>
    <row r="62" spans="2:5" x14ac:dyDescent="0.25">
      <c r="B62" s="1">
        <v>61</v>
      </c>
      <c r="C62" s="2" t="s">
        <v>89</v>
      </c>
      <c r="E62" s="10"/>
    </row>
    <row r="63" spans="2:5" x14ac:dyDescent="0.25">
      <c r="B63" s="1">
        <v>62</v>
      </c>
      <c r="C63" s="2" t="s">
        <v>359</v>
      </c>
      <c r="E63" s="10"/>
    </row>
    <row r="64" spans="2:5" x14ac:dyDescent="0.25">
      <c r="B64" s="1">
        <v>63</v>
      </c>
      <c r="C64" s="2" t="s">
        <v>89</v>
      </c>
      <c r="E64" s="16"/>
    </row>
    <row r="65" spans="2:5" x14ac:dyDescent="0.25">
      <c r="B65" s="1">
        <v>64</v>
      </c>
      <c r="C65" s="2" t="s">
        <v>188</v>
      </c>
      <c r="E65" s="16"/>
    </row>
    <row r="66" spans="2:5" x14ac:dyDescent="0.25">
      <c r="B66" s="1">
        <v>65</v>
      </c>
      <c r="C66" s="2" t="s">
        <v>77</v>
      </c>
      <c r="E66" s="16"/>
    </row>
    <row r="67" spans="2:5" x14ac:dyDescent="0.25">
      <c r="B67" s="1">
        <v>66</v>
      </c>
      <c r="C67" s="2" t="s">
        <v>157</v>
      </c>
      <c r="E67" s="16"/>
    </row>
    <row r="68" spans="2:5" x14ac:dyDescent="0.25">
      <c r="B68" s="1">
        <v>67</v>
      </c>
      <c r="C68" s="2" t="s">
        <v>89</v>
      </c>
      <c r="E68" s="10"/>
    </row>
    <row r="69" spans="2:5" x14ac:dyDescent="0.25">
      <c r="B69" s="1">
        <v>68</v>
      </c>
      <c r="C69" s="2" t="s">
        <v>157</v>
      </c>
      <c r="E69" s="10"/>
    </row>
    <row r="70" spans="2:5" x14ac:dyDescent="0.25">
      <c r="B70" s="1">
        <v>69</v>
      </c>
      <c r="C70" s="2" t="s">
        <v>98</v>
      </c>
      <c r="E70" s="10"/>
    </row>
    <row r="71" spans="2:5" x14ac:dyDescent="0.25">
      <c r="B71" s="1">
        <v>70</v>
      </c>
      <c r="C71" s="2" t="s">
        <v>188</v>
      </c>
      <c r="E71" s="10"/>
    </row>
    <row r="72" spans="2:5" x14ac:dyDescent="0.25">
      <c r="B72" s="1">
        <v>71</v>
      </c>
      <c r="C72" s="2"/>
      <c r="E72" s="16"/>
    </row>
    <row r="73" spans="2:5" x14ac:dyDescent="0.25">
      <c r="B73" s="1">
        <v>72</v>
      </c>
      <c r="C73" s="2" t="s">
        <v>188</v>
      </c>
      <c r="E73" s="16"/>
    </row>
    <row r="74" spans="2:5" x14ac:dyDescent="0.25">
      <c r="B74" s="1">
        <v>73</v>
      </c>
      <c r="C74" s="2" t="s">
        <v>77</v>
      </c>
      <c r="E74" s="10"/>
    </row>
    <row r="75" spans="2:5" x14ac:dyDescent="0.25">
      <c r="B75" s="1">
        <v>74</v>
      </c>
      <c r="C75" s="2" t="s">
        <v>77</v>
      </c>
      <c r="E75" s="10"/>
    </row>
    <row r="76" spans="2:5" x14ac:dyDescent="0.25">
      <c r="B76" s="1">
        <v>75</v>
      </c>
      <c r="C76" s="2" t="s">
        <v>77</v>
      </c>
      <c r="E76" s="16"/>
    </row>
    <row r="77" spans="2:5" x14ac:dyDescent="0.25">
      <c r="B77" s="1">
        <v>76</v>
      </c>
      <c r="C77" s="2" t="s">
        <v>77</v>
      </c>
      <c r="E77" s="16"/>
    </row>
    <row r="78" spans="2:5" x14ac:dyDescent="0.25">
      <c r="B78" s="1">
        <v>77</v>
      </c>
      <c r="C78" s="2" t="s">
        <v>188</v>
      </c>
      <c r="E78" s="16"/>
    </row>
    <row r="79" spans="2:5" x14ac:dyDescent="0.25">
      <c r="E79" s="16"/>
    </row>
    <row r="80" spans="2:5" x14ac:dyDescent="0.25">
      <c r="E80" s="16"/>
    </row>
  </sheetData>
  <sortState ref="E4:G80">
    <sortCondition ref="E4:E80"/>
  </sortState>
  <mergeCells count="1">
    <mergeCell ref="E2:G2"/>
  </mergeCells>
  <pageMargins left="0.7" right="0.7" top="0.75" bottom="0.75" header="0.3" footer="0.3"/>
  <pageSetup paperSize="41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81"/>
  <sheetViews>
    <sheetView workbookViewId="0">
      <selection activeCell="J20" sqref="J20"/>
    </sheetView>
  </sheetViews>
  <sheetFormatPr baseColWidth="10" defaultRowHeight="15" x14ac:dyDescent="0.25"/>
  <cols>
    <col min="3" max="3" width="16.140625" bestFit="1" customWidth="1"/>
    <col min="5" max="5" width="16.140625" bestFit="1" customWidth="1"/>
  </cols>
  <sheetData>
    <row r="2" spans="2:7" x14ac:dyDescent="0.25">
      <c r="B2" s="1">
        <v>1</v>
      </c>
      <c r="C2" s="38" t="s">
        <v>78</v>
      </c>
      <c r="E2" s="167" t="s">
        <v>569</v>
      </c>
      <c r="F2" s="167"/>
      <c r="G2" s="167"/>
    </row>
    <row r="3" spans="2:7" x14ac:dyDescent="0.25">
      <c r="B3" s="1">
        <v>2</v>
      </c>
      <c r="C3" s="38" t="s">
        <v>401</v>
      </c>
      <c r="E3" s="31" t="s">
        <v>1</v>
      </c>
      <c r="F3" s="31" t="s">
        <v>2</v>
      </c>
      <c r="G3" s="31" t="s">
        <v>3</v>
      </c>
    </row>
    <row r="4" spans="2:7" x14ac:dyDescent="0.25">
      <c r="B4" s="1">
        <v>3</v>
      </c>
      <c r="C4" s="38" t="s">
        <v>98</v>
      </c>
      <c r="E4" s="74" t="s">
        <v>98</v>
      </c>
      <c r="F4" s="1">
        <f>COUNTIF($C$2:$C$78,"Arroz")</f>
        <v>1</v>
      </c>
      <c r="G4" s="4">
        <f>F4/F22</f>
        <v>1.4084507042253521E-2</v>
      </c>
    </row>
    <row r="5" spans="2:7" x14ac:dyDescent="0.25">
      <c r="B5" s="1">
        <v>4</v>
      </c>
      <c r="C5" s="38" t="s">
        <v>78</v>
      </c>
      <c r="E5" s="74" t="s">
        <v>245</v>
      </c>
      <c r="F5" s="1">
        <f>COUNTIF($C$2:$C$78,"Arroz y cerveza")</f>
        <v>1</v>
      </c>
      <c r="G5" s="4">
        <f>F5/F22</f>
        <v>1.4084507042253521E-2</v>
      </c>
    </row>
    <row r="6" spans="2:7" x14ac:dyDescent="0.25">
      <c r="B6" s="1">
        <v>5</v>
      </c>
      <c r="C6" s="38" t="s">
        <v>78</v>
      </c>
      <c r="E6" s="74" t="s">
        <v>89</v>
      </c>
      <c r="F6" s="1">
        <f>COUNTIF($C$2:$C$78,"Aseo personal")</f>
        <v>2</v>
      </c>
      <c r="G6" s="4">
        <f>F6/F22</f>
        <v>2.8169014084507043E-2</v>
      </c>
    </row>
    <row r="7" spans="2:7" x14ac:dyDescent="0.25">
      <c r="B7" s="1">
        <v>6</v>
      </c>
      <c r="C7" s="38" t="s">
        <v>78</v>
      </c>
      <c r="E7" s="108" t="s">
        <v>401</v>
      </c>
      <c r="F7" s="1">
        <f>COUNTIF($C$2:$C$78,"Canasta familiar")</f>
        <v>4</v>
      </c>
      <c r="G7" s="4">
        <f>F7/F22</f>
        <v>5.6338028169014086E-2</v>
      </c>
    </row>
    <row r="8" spans="2:7" x14ac:dyDescent="0.25">
      <c r="B8" s="1">
        <v>7</v>
      </c>
      <c r="C8" s="38" t="s">
        <v>78</v>
      </c>
      <c r="E8" s="74" t="s">
        <v>236</v>
      </c>
      <c r="F8" s="1">
        <f>COUNTIF($C$2:$C$78,"Carnicos")</f>
        <v>4</v>
      </c>
      <c r="G8" s="4">
        <f>F8/F22</f>
        <v>5.6338028169014086E-2</v>
      </c>
    </row>
    <row r="9" spans="2:7" x14ac:dyDescent="0.25">
      <c r="B9" s="1">
        <v>8</v>
      </c>
      <c r="C9" s="38" t="s">
        <v>78</v>
      </c>
      <c r="E9" s="74" t="s">
        <v>237</v>
      </c>
      <c r="F9" s="1">
        <f>COUNTIF($C$2:$C$78,"Carnicos y frutas")</f>
        <v>1</v>
      </c>
      <c r="G9" s="4">
        <f>F9/F22</f>
        <v>1.4084507042253521E-2</v>
      </c>
    </row>
    <row r="10" spans="2:7" x14ac:dyDescent="0.25">
      <c r="B10" s="1">
        <v>9</v>
      </c>
      <c r="C10" s="38" t="s">
        <v>78</v>
      </c>
      <c r="E10" s="74" t="s">
        <v>267</v>
      </c>
      <c r="F10" s="1">
        <f>COUNTIF($C$2:$C$78,"Cerveza")</f>
        <v>1</v>
      </c>
      <c r="G10" s="4">
        <f>F10/F22</f>
        <v>1.4084507042253521E-2</v>
      </c>
    </row>
    <row r="11" spans="2:7" x14ac:dyDescent="0.25">
      <c r="B11" s="1">
        <v>10</v>
      </c>
      <c r="C11" s="38" t="s">
        <v>237</v>
      </c>
      <c r="E11" s="74" t="s">
        <v>97</v>
      </c>
      <c r="F11" s="1">
        <f>COUNTIF($C$2:$C$78,"Dulces")</f>
        <v>2</v>
      </c>
      <c r="G11" s="4">
        <f>F11/F22</f>
        <v>2.8169014084507043E-2</v>
      </c>
    </row>
    <row r="12" spans="2:7" x14ac:dyDescent="0.25">
      <c r="B12" s="1">
        <v>11</v>
      </c>
      <c r="C12" s="38" t="s">
        <v>401</v>
      </c>
      <c r="E12" s="75" t="s">
        <v>231</v>
      </c>
      <c r="F12" s="1">
        <f>COUNTIF($C$2:$C$78,"Embutidos")</f>
        <v>4</v>
      </c>
      <c r="G12" s="4">
        <f>F12/F22</f>
        <v>5.6338028169014086E-2</v>
      </c>
    </row>
    <row r="13" spans="2:7" x14ac:dyDescent="0.25">
      <c r="B13" s="1">
        <v>12</v>
      </c>
      <c r="C13" s="38" t="s">
        <v>78</v>
      </c>
      <c r="E13" s="74" t="s">
        <v>299</v>
      </c>
      <c r="F13" s="1">
        <f>COUNTIF($C$2:$C$78,"Frutas")</f>
        <v>1</v>
      </c>
      <c r="G13" s="4">
        <f>F13/F22</f>
        <v>1.4084507042253521E-2</v>
      </c>
    </row>
    <row r="14" spans="2:7" x14ac:dyDescent="0.25">
      <c r="B14" s="1">
        <v>13</v>
      </c>
      <c r="C14" s="38" t="s">
        <v>97</v>
      </c>
      <c r="E14" s="74" t="s">
        <v>147</v>
      </c>
      <c r="F14" s="1">
        <f>COUNTIF($C$2:$C$78,"Frutas y verduras")</f>
        <v>2</v>
      </c>
      <c r="G14" s="4">
        <f>F14/F22</f>
        <v>2.8169014084507043E-2</v>
      </c>
    </row>
    <row r="15" spans="2:7" x14ac:dyDescent="0.25">
      <c r="B15" s="1">
        <v>14</v>
      </c>
      <c r="C15" s="38" t="s">
        <v>78</v>
      </c>
      <c r="E15" s="74" t="s">
        <v>328</v>
      </c>
      <c r="F15" s="1">
        <f>COUNTIF($C$2:$C$78,"Granos")</f>
        <v>5</v>
      </c>
      <c r="G15" s="4">
        <f>F15/F22</f>
        <v>7.0422535211267609E-2</v>
      </c>
    </row>
    <row r="16" spans="2:7" x14ac:dyDescent="0.25">
      <c r="B16" s="1">
        <v>15</v>
      </c>
      <c r="C16" s="38" t="s">
        <v>78</v>
      </c>
      <c r="E16" s="75" t="s">
        <v>209</v>
      </c>
      <c r="F16" s="1">
        <f>COUNTIF($C$2:$C$78,"Helados")</f>
        <v>2</v>
      </c>
      <c r="G16" s="4">
        <f>F16/F22</f>
        <v>2.8169014084507043E-2</v>
      </c>
    </row>
    <row r="17" spans="2:7" x14ac:dyDescent="0.25">
      <c r="B17" s="1">
        <v>16</v>
      </c>
      <c r="C17" s="2"/>
      <c r="E17" s="75" t="s">
        <v>321</v>
      </c>
      <c r="F17" s="1">
        <f>COUNTIF($C$2:$C$78,"Lacteos")</f>
        <v>1</v>
      </c>
      <c r="G17" s="4">
        <f>F17/F22</f>
        <v>1.4084507042253521E-2</v>
      </c>
    </row>
    <row r="18" spans="2:7" x14ac:dyDescent="0.25">
      <c r="B18" s="1">
        <v>17</v>
      </c>
      <c r="C18" s="38" t="s">
        <v>147</v>
      </c>
      <c r="E18" s="75" t="s">
        <v>179</v>
      </c>
      <c r="F18" s="1">
        <f>COUNTIF($C$2:$C$78,"Maiz")</f>
        <v>1</v>
      </c>
      <c r="G18" s="4">
        <f>F18/F22</f>
        <v>1.4084507042253521E-2</v>
      </c>
    </row>
    <row r="19" spans="2:7" x14ac:dyDescent="0.25">
      <c r="B19" s="1">
        <v>18</v>
      </c>
      <c r="C19" s="38" t="s">
        <v>78</v>
      </c>
      <c r="E19" s="75" t="s">
        <v>78</v>
      </c>
      <c r="F19" s="1">
        <f>COUNTIF($C$2:$C$78,"Ninguno")</f>
        <v>35</v>
      </c>
      <c r="G19" s="4">
        <f>F19/F22</f>
        <v>0.49295774647887325</v>
      </c>
    </row>
    <row r="20" spans="2:7" x14ac:dyDescent="0.25">
      <c r="B20" s="1">
        <v>19</v>
      </c>
      <c r="C20" s="38" t="s">
        <v>78</v>
      </c>
      <c r="E20" s="75" t="s">
        <v>309</v>
      </c>
      <c r="F20" s="1">
        <f>COUNTIF($C$2:$C$78,"Servilletas")</f>
        <v>1</v>
      </c>
      <c r="G20" s="4">
        <f>F20/F22</f>
        <v>1.4084507042253521E-2</v>
      </c>
    </row>
    <row r="21" spans="2:7" x14ac:dyDescent="0.25">
      <c r="B21" s="1">
        <v>20</v>
      </c>
      <c r="C21" s="38" t="s">
        <v>78</v>
      </c>
      <c r="E21" s="75" t="s">
        <v>241</v>
      </c>
      <c r="F21" s="1">
        <f>COUNTIF($C$2:$C$78,"Verduras")</f>
        <v>3</v>
      </c>
      <c r="G21" s="4">
        <f>F21/F22</f>
        <v>4.2253521126760563E-2</v>
      </c>
    </row>
    <row r="22" spans="2:7" x14ac:dyDescent="0.25">
      <c r="B22" s="1">
        <v>21</v>
      </c>
      <c r="C22" s="38" t="s">
        <v>78</v>
      </c>
      <c r="E22" s="72" t="s">
        <v>6</v>
      </c>
      <c r="F22" s="72">
        <f>SUM(F4:F21)</f>
        <v>71</v>
      </c>
      <c r="G22" s="73">
        <f>SUM(G4:G21)</f>
        <v>1</v>
      </c>
    </row>
    <row r="23" spans="2:7" x14ac:dyDescent="0.25">
      <c r="B23" s="1">
        <v>22</v>
      </c>
      <c r="C23" s="38" t="s">
        <v>78</v>
      </c>
      <c r="E23" s="16"/>
    </row>
    <row r="24" spans="2:7" x14ac:dyDescent="0.25">
      <c r="B24" s="1">
        <v>23</v>
      </c>
      <c r="C24" s="38" t="s">
        <v>179</v>
      </c>
      <c r="E24" s="10"/>
    </row>
    <row r="25" spans="2:7" x14ac:dyDescent="0.25">
      <c r="B25" s="1">
        <v>24</v>
      </c>
      <c r="C25" s="38" t="s">
        <v>78</v>
      </c>
      <c r="E25" s="16"/>
    </row>
    <row r="26" spans="2:7" x14ac:dyDescent="0.25">
      <c r="B26" s="1">
        <v>25</v>
      </c>
      <c r="C26" s="38" t="s">
        <v>78</v>
      </c>
      <c r="E26" s="16"/>
    </row>
    <row r="27" spans="2:7" x14ac:dyDescent="0.25">
      <c r="B27" s="1">
        <v>26</v>
      </c>
      <c r="C27" s="2" t="s">
        <v>78</v>
      </c>
      <c r="E27" s="16"/>
    </row>
    <row r="28" spans="2:7" x14ac:dyDescent="0.25">
      <c r="B28" s="1">
        <v>27</v>
      </c>
      <c r="C28" s="2" t="s">
        <v>78</v>
      </c>
      <c r="E28" s="16"/>
    </row>
    <row r="29" spans="2:7" x14ac:dyDescent="0.25">
      <c r="B29" s="1">
        <v>28</v>
      </c>
      <c r="C29" s="2" t="s">
        <v>78</v>
      </c>
      <c r="E29" s="10"/>
    </row>
    <row r="30" spans="2:7" x14ac:dyDescent="0.25">
      <c r="B30" s="1">
        <v>29</v>
      </c>
      <c r="C30" s="2" t="s">
        <v>236</v>
      </c>
      <c r="E30" s="16"/>
    </row>
    <row r="31" spans="2:7" x14ac:dyDescent="0.25">
      <c r="B31" s="1">
        <v>30</v>
      </c>
      <c r="C31" s="2" t="s">
        <v>209</v>
      </c>
      <c r="E31" s="10"/>
    </row>
    <row r="32" spans="2:7" x14ac:dyDescent="0.25">
      <c r="B32" s="1">
        <v>31</v>
      </c>
      <c r="C32" s="2" t="s">
        <v>78</v>
      </c>
      <c r="E32" s="16"/>
    </row>
    <row r="33" spans="2:5" x14ac:dyDescent="0.25">
      <c r="B33" s="1">
        <v>32</v>
      </c>
      <c r="C33" s="2" t="s">
        <v>78</v>
      </c>
      <c r="E33" s="10"/>
    </row>
    <row r="34" spans="2:5" x14ac:dyDescent="0.25">
      <c r="B34" s="1">
        <v>33</v>
      </c>
      <c r="C34" s="2" t="s">
        <v>78</v>
      </c>
      <c r="E34" s="10"/>
    </row>
    <row r="35" spans="2:5" x14ac:dyDescent="0.25">
      <c r="B35" s="1">
        <v>34</v>
      </c>
      <c r="C35" s="2" t="s">
        <v>89</v>
      </c>
      <c r="E35" s="10"/>
    </row>
    <row r="36" spans="2:5" x14ac:dyDescent="0.25">
      <c r="B36" s="1">
        <v>35</v>
      </c>
      <c r="C36" s="2" t="s">
        <v>231</v>
      </c>
      <c r="E36" s="16"/>
    </row>
    <row r="37" spans="2:5" x14ac:dyDescent="0.25">
      <c r="B37" s="1">
        <v>36</v>
      </c>
      <c r="C37" s="2" t="s">
        <v>236</v>
      </c>
      <c r="E37" s="16"/>
    </row>
    <row r="38" spans="2:5" x14ac:dyDescent="0.25">
      <c r="B38" s="1">
        <v>37</v>
      </c>
      <c r="C38" s="2" t="s">
        <v>241</v>
      </c>
      <c r="E38" s="16"/>
    </row>
    <row r="39" spans="2:5" x14ac:dyDescent="0.25">
      <c r="B39" s="1">
        <v>38</v>
      </c>
      <c r="C39" s="2" t="s">
        <v>245</v>
      </c>
      <c r="E39" s="16"/>
    </row>
    <row r="40" spans="2:5" x14ac:dyDescent="0.25">
      <c r="B40" s="1">
        <v>39</v>
      </c>
      <c r="C40" s="2" t="s">
        <v>236</v>
      </c>
      <c r="E40" s="16"/>
    </row>
    <row r="41" spans="2:5" x14ac:dyDescent="0.25">
      <c r="B41" s="1">
        <v>40</v>
      </c>
      <c r="C41" s="2" t="s">
        <v>78</v>
      </c>
      <c r="E41" s="16"/>
    </row>
    <row r="42" spans="2:5" x14ac:dyDescent="0.25">
      <c r="B42" s="1">
        <v>41</v>
      </c>
      <c r="C42" s="2" t="s">
        <v>267</v>
      </c>
      <c r="E42" s="16"/>
    </row>
    <row r="43" spans="2:5" x14ac:dyDescent="0.25">
      <c r="B43" s="1">
        <v>42</v>
      </c>
      <c r="C43" s="2" t="s">
        <v>78</v>
      </c>
      <c r="E43" s="16"/>
    </row>
    <row r="44" spans="2:5" x14ac:dyDescent="0.25">
      <c r="B44" s="1">
        <v>43</v>
      </c>
      <c r="C44" s="2" t="s">
        <v>78</v>
      </c>
      <c r="E44" s="16"/>
    </row>
    <row r="45" spans="2:5" x14ac:dyDescent="0.25">
      <c r="B45" s="1">
        <v>44</v>
      </c>
      <c r="C45" s="2" t="s">
        <v>241</v>
      </c>
      <c r="E45" s="16"/>
    </row>
    <row r="46" spans="2:5" x14ac:dyDescent="0.25">
      <c r="B46" s="1">
        <v>45</v>
      </c>
      <c r="C46" s="2" t="s">
        <v>78</v>
      </c>
      <c r="E46" s="16"/>
    </row>
    <row r="47" spans="2:5" x14ac:dyDescent="0.25">
      <c r="B47" s="1">
        <v>46</v>
      </c>
      <c r="C47" s="2" t="s">
        <v>147</v>
      </c>
      <c r="E47" s="16"/>
    </row>
    <row r="48" spans="2:5" x14ac:dyDescent="0.25">
      <c r="B48" s="1">
        <v>47</v>
      </c>
      <c r="C48" s="2" t="s">
        <v>401</v>
      </c>
      <c r="E48" s="16"/>
    </row>
    <row r="49" spans="2:5" x14ac:dyDescent="0.25">
      <c r="B49" s="1">
        <v>48</v>
      </c>
      <c r="C49" s="2"/>
      <c r="E49" s="16"/>
    </row>
    <row r="50" spans="2:5" x14ac:dyDescent="0.25">
      <c r="B50" s="1">
        <v>49</v>
      </c>
      <c r="C50" s="2" t="s">
        <v>231</v>
      </c>
      <c r="E50" s="16"/>
    </row>
    <row r="51" spans="2:5" x14ac:dyDescent="0.25">
      <c r="B51" s="1">
        <v>50</v>
      </c>
      <c r="C51" s="2" t="s">
        <v>309</v>
      </c>
      <c r="E51" s="16"/>
    </row>
    <row r="52" spans="2:5" x14ac:dyDescent="0.25">
      <c r="B52" s="1">
        <v>51</v>
      </c>
      <c r="C52" s="2" t="s">
        <v>219</v>
      </c>
      <c r="E52" s="16"/>
    </row>
    <row r="53" spans="2:5" x14ac:dyDescent="0.25">
      <c r="B53" s="1">
        <v>52</v>
      </c>
      <c r="C53" s="2"/>
      <c r="E53" s="16"/>
    </row>
    <row r="54" spans="2:5" x14ac:dyDescent="0.25">
      <c r="B54" s="1">
        <v>53</v>
      </c>
      <c r="C54" s="2" t="s">
        <v>241</v>
      </c>
      <c r="E54" s="16"/>
    </row>
    <row r="55" spans="2:5" x14ac:dyDescent="0.25">
      <c r="B55" s="1">
        <v>54</v>
      </c>
      <c r="C55" s="2" t="s">
        <v>328</v>
      </c>
      <c r="E55" s="16"/>
    </row>
    <row r="56" spans="2:5" x14ac:dyDescent="0.25">
      <c r="B56" s="1">
        <v>55</v>
      </c>
      <c r="C56" s="2" t="s">
        <v>231</v>
      </c>
      <c r="E56" s="16"/>
    </row>
    <row r="57" spans="2:5" x14ac:dyDescent="0.25">
      <c r="B57" s="1">
        <v>56</v>
      </c>
      <c r="C57" s="2" t="s">
        <v>231</v>
      </c>
      <c r="E57" s="16"/>
    </row>
    <row r="58" spans="2:5" x14ac:dyDescent="0.25">
      <c r="B58" s="1">
        <v>57</v>
      </c>
      <c r="C58" s="2" t="s">
        <v>328</v>
      </c>
      <c r="E58" s="16"/>
    </row>
    <row r="59" spans="2:5" x14ac:dyDescent="0.25">
      <c r="B59" s="1">
        <v>58</v>
      </c>
      <c r="C59" s="2"/>
      <c r="E59" s="16"/>
    </row>
    <row r="60" spans="2:5" x14ac:dyDescent="0.25">
      <c r="B60" s="1">
        <v>59</v>
      </c>
      <c r="C60" s="2" t="s">
        <v>78</v>
      </c>
      <c r="E60" s="16"/>
    </row>
    <row r="61" spans="2:5" x14ac:dyDescent="0.25">
      <c r="B61" s="1">
        <v>60</v>
      </c>
      <c r="C61" s="2" t="s">
        <v>78</v>
      </c>
      <c r="E61" s="16"/>
    </row>
    <row r="62" spans="2:5" x14ac:dyDescent="0.25">
      <c r="B62" s="1">
        <v>61</v>
      </c>
      <c r="C62" s="2" t="s">
        <v>78</v>
      </c>
      <c r="E62" s="16"/>
    </row>
    <row r="63" spans="2:5" x14ac:dyDescent="0.25">
      <c r="B63" s="1">
        <v>62</v>
      </c>
      <c r="C63" s="2"/>
      <c r="E63" s="16"/>
    </row>
    <row r="64" spans="2:5" x14ac:dyDescent="0.25">
      <c r="B64" s="1">
        <v>63</v>
      </c>
      <c r="C64" s="2" t="s">
        <v>328</v>
      </c>
      <c r="E64" s="16"/>
    </row>
    <row r="65" spans="2:5" x14ac:dyDescent="0.25">
      <c r="B65" s="1">
        <v>64</v>
      </c>
      <c r="C65" s="2" t="s">
        <v>236</v>
      </c>
      <c r="E65" s="16"/>
    </row>
    <row r="66" spans="2:5" x14ac:dyDescent="0.25">
      <c r="B66" s="1">
        <v>65</v>
      </c>
      <c r="C66" s="2" t="s">
        <v>328</v>
      </c>
      <c r="E66" s="16"/>
    </row>
    <row r="67" spans="2:5" x14ac:dyDescent="0.25">
      <c r="B67" s="1">
        <v>66</v>
      </c>
      <c r="C67" s="2" t="s">
        <v>97</v>
      </c>
      <c r="E67" s="16"/>
    </row>
    <row r="68" spans="2:5" x14ac:dyDescent="0.25">
      <c r="B68" s="1">
        <v>67</v>
      </c>
      <c r="C68" s="2" t="s">
        <v>328</v>
      </c>
      <c r="E68" s="16"/>
    </row>
    <row r="69" spans="2:5" x14ac:dyDescent="0.25">
      <c r="B69" s="1">
        <v>68</v>
      </c>
      <c r="C69" s="2" t="s">
        <v>209</v>
      </c>
      <c r="E69" s="16"/>
    </row>
    <row r="70" spans="2:5" x14ac:dyDescent="0.25">
      <c r="B70" s="1">
        <v>69</v>
      </c>
      <c r="C70" s="2" t="s">
        <v>78</v>
      </c>
      <c r="E70" s="10"/>
    </row>
    <row r="71" spans="2:5" x14ac:dyDescent="0.25">
      <c r="B71" s="1">
        <v>70</v>
      </c>
      <c r="C71" s="2" t="s">
        <v>299</v>
      </c>
      <c r="E71" s="10"/>
    </row>
    <row r="72" spans="2:5" x14ac:dyDescent="0.25">
      <c r="B72" s="1">
        <v>71</v>
      </c>
      <c r="C72" s="2" t="s">
        <v>78</v>
      </c>
      <c r="E72" s="16"/>
    </row>
    <row r="73" spans="2:5" x14ac:dyDescent="0.25">
      <c r="B73" s="1">
        <v>72</v>
      </c>
      <c r="C73" s="2" t="s">
        <v>78</v>
      </c>
      <c r="E73" s="16"/>
    </row>
    <row r="74" spans="2:5" x14ac:dyDescent="0.25">
      <c r="B74" s="1">
        <v>73</v>
      </c>
      <c r="C74" s="2" t="s">
        <v>78</v>
      </c>
      <c r="E74" s="16"/>
    </row>
    <row r="75" spans="2:5" x14ac:dyDescent="0.25">
      <c r="B75" s="1">
        <v>74</v>
      </c>
      <c r="C75" s="2" t="s">
        <v>401</v>
      </c>
      <c r="E75" s="16"/>
    </row>
    <row r="76" spans="2:5" x14ac:dyDescent="0.25">
      <c r="B76" s="1">
        <v>75</v>
      </c>
      <c r="C76" s="2" t="s">
        <v>78</v>
      </c>
      <c r="E76" s="16"/>
    </row>
    <row r="77" spans="2:5" x14ac:dyDescent="0.25">
      <c r="B77" s="1">
        <v>76</v>
      </c>
      <c r="C77" s="2" t="s">
        <v>89</v>
      </c>
      <c r="E77" s="16"/>
    </row>
    <row r="78" spans="2:5" x14ac:dyDescent="0.25">
      <c r="B78" s="1">
        <v>77</v>
      </c>
      <c r="C78" s="2" t="s">
        <v>321</v>
      </c>
      <c r="E78" s="16"/>
    </row>
    <row r="79" spans="2:5" x14ac:dyDescent="0.25">
      <c r="E79" s="10"/>
    </row>
    <row r="80" spans="2:5" x14ac:dyDescent="0.25">
      <c r="E80" s="10"/>
    </row>
    <row r="81" spans="5:5" x14ac:dyDescent="0.25">
      <c r="E81" s="10"/>
    </row>
  </sheetData>
  <sortState ref="E4:G78">
    <sortCondition ref="E4:E78"/>
  </sortState>
  <mergeCells count="1">
    <mergeCell ref="E2:G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208"/>
  <sheetViews>
    <sheetView topLeftCell="Q1" workbookViewId="0">
      <selection activeCell="N11" sqref="N11"/>
    </sheetView>
  </sheetViews>
  <sheetFormatPr baseColWidth="10" defaultRowHeight="15" x14ac:dyDescent="0.25"/>
  <cols>
    <col min="2" max="2" width="11.42578125" style="68"/>
    <col min="3" max="3" width="20.42578125" customWidth="1"/>
    <col min="4" max="4" width="19.28515625" customWidth="1"/>
    <col min="5" max="5" width="30" customWidth="1"/>
    <col min="6" max="6" width="26.5703125" bestFit="1" customWidth="1"/>
    <col min="7" max="7" width="60.28515625" bestFit="1" customWidth="1"/>
    <col min="9" max="9" width="18" bestFit="1" customWidth="1"/>
    <col min="15" max="15" width="26.5703125" bestFit="1" customWidth="1"/>
    <col min="24" max="24" width="39.140625" bestFit="1" customWidth="1"/>
  </cols>
  <sheetData>
    <row r="2" spans="2:24" ht="15.75" thickBot="1" x14ac:dyDescent="0.3"/>
    <row r="3" spans="2:24" x14ac:dyDescent="0.25">
      <c r="C3" s="89" t="s">
        <v>438</v>
      </c>
      <c r="D3" s="89" t="s">
        <v>69</v>
      </c>
      <c r="E3" s="89" t="s">
        <v>68</v>
      </c>
      <c r="F3" s="89"/>
      <c r="G3" s="89" t="s">
        <v>609</v>
      </c>
      <c r="I3" s="120" t="s">
        <v>642</v>
      </c>
      <c r="J3" s="120" t="s">
        <v>410</v>
      </c>
      <c r="K3" s="121"/>
      <c r="L3" s="121"/>
      <c r="M3" s="121"/>
      <c r="O3" s="121" t="s">
        <v>643</v>
      </c>
      <c r="P3" s="121" t="s">
        <v>410</v>
      </c>
      <c r="Q3" s="121"/>
      <c r="R3" s="121"/>
      <c r="S3" s="121"/>
      <c r="T3" s="121"/>
      <c r="U3" s="121"/>
      <c r="V3" s="121"/>
    </row>
    <row r="4" spans="2:24" x14ac:dyDescent="0.25">
      <c r="B4" s="168">
        <v>1</v>
      </c>
      <c r="C4" s="99" t="s">
        <v>439</v>
      </c>
      <c r="D4" s="90" t="s">
        <v>442</v>
      </c>
      <c r="E4" s="93" t="s">
        <v>443</v>
      </c>
      <c r="F4" s="90" t="str">
        <f>CONCATENATE(C4,"-",D4)</f>
        <v>Descuento-Mensual</v>
      </c>
      <c r="G4" s="114" t="str">
        <f>CONCATENATE(C4,"-",D4,"-",E4)</f>
        <v>Descuento-Mensual-Tengo una distibución</v>
      </c>
      <c r="I4" t="s">
        <v>195</v>
      </c>
      <c r="J4">
        <f>+COUNTIF(Tabulación!$AE$5:$AE$307,P_19_Cual!I4)</f>
        <v>19</v>
      </c>
      <c r="O4" t="s">
        <v>636</v>
      </c>
      <c r="P4">
        <f>+COUNTIF(Tabulación!$AG$5:$AG$307,P_19_Cual!O4)</f>
        <v>1</v>
      </c>
      <c r="X4" t="s">
        <v>545</v>
      </c>
    </row>
    <row r="5" spans="2:24" x14ac:dyDescent="0.25">
      <c r="B5" s="168"/>
      <c r="C5" s="115" t="s">
        <v>195</v>
      </c>
      <c r="D5" s="91" t="s">
        <v>437</v>
      </c>
      <c r="E5" s="94" t="s">
        <v>444</v>
      </c>
      <c r="F5" s="91" t="str">
        <f t="shared" ref="F5:F68" si="0">CONCATENATE(C5,"-",D5)</f>
        <v>Ofertas-Diario</v>
      </c>
      <c r="G5" s="114" t="str">
        <f t="shared" ref="G5:G68" si="1">CONCATENATE(C5,"-",D5,"-",E5)</f>
        <v>Ofertas-Diario-Dos por Uno</v>
      </c>
      <c r="I5" t="s">
        <v>439</v>
      </c>
      <c r="J5">
        <f>+COUNTIF(Tabulación!$AE$5:$AE$307,P_19_Cual!I5)</f>
        <v>23</v>
      </c>
      <c r="O5" t="s">
        <v>635</v>
      </c>
      <c r="P5">
        <f>+COUNTIF(Tabulación!$AG$5:$AG$307,P_19_Cual!O5)</f>
        <v>1</v>
      </c>
      <c r="X5" t="s">
        <v>548</v>
      </c>
    </row>
    <row r="6" spans="2:24" x14ac:dyDescent="0.25">
      <c r="B6" s="168"/>
      <c r="C6" s="115" t="s">
        <v>440</v>
      </c>
      <c r="D6" s="91" t="s">
        <v>437</v>
      </c>
      <c r="E6" s="94" t="s">
        <v>445</v>
      </c>
      <c r="F6" s="91" t="str">
        <f t="shared" si="0"/>
        <v>Domicilios-Diario</v>
      </c>
      <c r="G6" s="114" t="str">
        <f t="shared" si="1"/>
        <v>Domicilios-Diario-Puenta a Puerta</v>
      </c>
      <c r="I6" t="s">
        <v>448</v>
      </c>
      <c r="J6">
        <f>+COUNTIF(Tabulación!$AE$5:$AE$307,P_19_Cual!I6)</f>
        <v>24</v>
      </c>
      <c r="O6" t="s">
        <v>629</v>
      </c>
      <c r="P6">
        <f>+COUNTIF(Tabulación!$AG$5:$AG$307,P_19_Cual!O6)</f>
        <v>1</v>
      </c>
      <c r="X6" t="s">
        <v>578</v>
      </c>
    </row>
    <row r="7" spans="2:24" x14ac:dyDescent="0.25">
      <c r="B7" s="168"/>
      <c r="C7" s="101" t="s">
        <v>441</v>
      </c>
      <c r="D7" s="92" t="s">
        <v>437</v>
      </c>
      <c r="E7" s="95" t="s">
        <v>446</v>
      </c>
      <c r="F7" s="92" t="str">
        <f t="shared" si="0"/>
        <v>Atención al Cliente-Diario</v>
      </c>
      <c r="G7" s="114" t="str">
        <f t="shared" si="1"/>
        <v>Atención al Cliente-Diario-Atención en el Establecimiento</v>
      </c>
      <c r="I7" t="s">
        <v>178</v>
      </c>
      <c r="J7">
        <f>+COUNTIF(Tabulación!$AE$5:$AE$307,P_19_Cual!I7)</f>
        <v>24</v>
      </c>
      <c r="O7" t="s">
        <v>630</v>
      </c>
      <c r="P7">
        <f>+COUNTIF(Tabulación!$AG$5:$AG$307,P_19_Cual!O7)</f>
        <v>1</v>
      </c>
      <c r="X7" t="s">
        <v>586</v>
      </c>
    </row>
    <row r="8" spans="2:24" x14ac:dyDescent="0.25">
      <c r="B8" s="168">
        <v>2</v>
      </c>
      <c r="C8" s="99" t="s">
        <v>448</v>
      </c>
      <c r="D8" s="90" t="s">
        <v>437</v>
      </c>
      <c r="E8" s="93"/>
      <c r="F8" s="90" t="str">
        <f t="shared" si="0"/>
        <v>Asesoramiento-Diario</v>
      </c>
      <c r="G8" s="114" t="str">
        <f t="shared" si="1"/>
        <v>Asesoramiento-Diario-</v>
      </c>
      <c r="I8" t="s">
        <v>440</v>
      </c>
      <c r="J8">
        <f>+COUNTIF(Tabulación!$AE$5:$AE$307,P_19_Cual!I8)</f>
        <v>43</v>
      </c>
      <c r="O8" t="s">
        <v>621</v>
      </c>
      <c r="P8">
        <f>+COUNTIF(Tabulación!$AG$5:$AG$307,P_19_Cual!O8)</f>
        <v>1</v>
      </c>
      <c r="X8" t="s">
        <v>541</v>
      </c>
    </row>
    <row r="9" spans="2:24" x14ac:dyDescent="0.25">
      <c r="B9" s="168"/>
      <c r="C9" s="115" t="s">
        <v>440</v>
      </c>
      <c r="D9" s="91" t="s">
        <v>437</v>
      </c>
      <c r="E9" s="94"/>
      <c r="F9" s="91" t="str">
        <f t="shared" si="0"/>
        <v>Domicilios-Diario</v>
      </c>
      <c r="G9" s="114" t="str">
        <f t="shared" si="1"/>
        <v>Domicilios-Diario-</v>
      </c>
      <c r="I9" t="s">
        <v>441</v>
      </c>
      <c r="J9">
        <f>+COUNTIF(Tabulación!$AE$5:$AE$307,P_19_Cual!I9)</f>
        <v>67</v>
      </c>
      <c r="O9" t="s">
        <v>641</v>
      </c>
      <c r="P9">
        <f>+COUNTIF(Tabulación!$AG$5:$AG$307,P_19_Cual!O9)</f>
        <v>1</v>
      </c>
      <c r="X9" t="s">
        <v>555</v>
      </c>
    </row>
    <row r="10" spans="2:24" x14ac:dyDescent="0.25">
      <c r="B10" s="168"/>
      <c r="C10" s="115" t="s">
        <v>441</v>
      </c>
      <c r="D10" s="91" t="s">
        <v>437</v>
      </c>
      <c r="E10" s="94"/>
      <c r="F10" s="91" t="str">
        <f t="shared" si="0"/>
        <v>Atención al Cliente-Diario</v>
      </c>
      <c r="G10" s="114" t="str">
        <f t="shared" si="1"/>
        <v>Atención al Cliente-Diario-</v>
      </c>
      <c r="O10" t="s">
        <v>634</v>
      </c>
      <c r="P10">
        <f>+COUNTIF(Tabulación!$AG$5:$AG$307,P_19_Cual!O10)</f>
        <v>2</v>
      </c>
      <c r="X10" t="s">
        <v>542</v>
      </c>
    </row>
    <row r="11" spans="2:24" x14ac:dyDescent="0.25">
      <c r="B11" s="168">
        <v>3</v>
      </c>
      <c r="C11" s="99" t="s">
        <v>178</v>
      </c>
      <c r="D11" s="90" t="s">
        <v>436</v>
      </c>
      <c r="E11" s="93" t="s">
        <v>538</v>
      </c>
      <c r="F11" s="90" t="str">
        <f t="shared" si="0"/>
        <v>Promociones-Semanal</v>
      </c>
      <c r="G11" s="114" t="str">
        <f t="shared" si="1"/>
        <v>Promociones-Semanal-Promocionando los productos</v>
      </c>
      <c r="O11" t="s">
        <v>623</v>
      </c>
      <c r="P11">
        <f>+COUNTIF(Tabulación!$AG$5:$AG$307,P_19_Cual!O11)</f>
        <v>2</v>
      </c>
      <c r="X11" t="s">
        <v>446</v>
      </c>
    </row>
    <row r="12" spans="2:24" x14ac:dyDescent="0.25">
      <c r="B12" s="168"/>
      <c r="C12" s="115" t="s">
        <v>439</v>
      </c>
      <c r="D12" s="91" t="s">
        <v>509</v>
      </c>
      <c r="E12" s="94" t="s">
        <v>539</v>
      </c>
      <c r="F12" s="91" t="str">
        <f t="shared" si="0"/>
        <v>Descuento-Quincenal</v>
      </c>
      <c r="G12" s="114" t="str">
        <f t="shared" si="1"/>
        <v>Descuento-Quincenal-Depende la calidad</v>
      </c>
      <c r="O12" t="s">
        <v>640</v>
      </c>
      <c r="P12">
        <f>+COUNTIF(Tabulación!$AG$5:$AG$307,P_19_Cual!O12)</f>
        <v>2</v>
      </c>
      <c r="X12" t="s">
        <v>575</v>
      </c>
    </row>
    <row r="13" spans="2:24" x14ac:dyDescent="0.25">
      <c r="B13" s="168"/>
      <c r="C13" s="101" t="s">
        <v>195</v>
      </c>
      <c r="D13" s="92" t="s">
        <v>442</v>
      </c>
      <c r="E13" s="95" t="s">
        <v>540</v>
      </c>
      <c r="F13" s="92" t="str">
        <f t="shared" si="0"/>
        <v>Ofertas-Mensual</v>
      </c>
      <c r="G13" s="114" t="str">
        <f t="shared" si="1"/>
        <v>Ofertas-Mensual-Dependiendo el provedor</v>
      </c>
      <c r="O13" t="s">
        <v>624</v>
      </c>
      <c r="P13">
        <f>+COUNTIF(Tabulación!$AG$5:$AG$307,P_19_Cual!O13)</f>
        <v>2</v>
      </c>
      <c r="X13" t="s">
        <v>601</v>
      </c>
    </row>
    <row r="14" spans="2:24" x14ac:dyDescent="0.25">
      <c r="B14" s="1">
        <v>4</v>
      </c>
      <c r="C14" s="99" t="s">
        <v>441</v>
      </c>
      <c r="D14" s="90" t="s">
        <v>437</v>
      </c>
      <c r="E14" s="93"/>
      <c r="F14" s="90" t="str">
        <f t="shared" si="0"/>
        <v>Atención al Cliente-Diario</v>
      </c>
      <c r="G14" s="114" t="str">
        <f t="shared" si="1"/>
        <v>Atención al Cliente-Diario-</v>
      </c>
      <c r="O14" t="s">
        <v>628</v>
      </c>
      <c r="P14">
        <f>+COUNTIF(Tabulación!$AG$5:$AG$307,P_19_Cual!O14)</f>
        <v>2</v>
      </c>
      <c r="X14" t="s">
        <v>544</v>
      </c>
    </row>
    <row r="15" spans="2:24" x14ac:dyDescent="0.25">
      <c r="B15" s="168">
        <v>5</v>
      </c>
      <c r="C15" s="115" t="s">
        <v>439</v>
      </c>
      <c r="D15" s="91" t="s">
        <v>442</v>
      </c>
      <c r="E15" s="94" t="s">
        <v>541</v>
      </c>
      <c r="F15" s="91" t="str">
        <f t="shared" si="0"/>
        <v>Descuento-Mensual</v>
      </c>
      <c r="G15" s="114" t="str">
        <f t="shared" si="1"/>
        <v>Descuento-Mensual-Al final del mes</v>
      </c>
      <c r="O15" t="s">
        <v>626</v>
      </c>
      <c r="P15">
        <f>+COUNTIF(Tabulación!$AG$5:$AG$307,P_19_Cual!O15)</f>
        <v>2</v>
      </c>
      <c r="X15" t="s">
        <v>574</v>
      </c>
    </row>
    <row r="16" spans="2:24" x14ac:dyDescent="0.25">
      <c r="B16" s="168"/>
      <c r="C16" s="115" t="s">
        <v>440</v>
      </c>
      <c r="D16" s="91" t="s">
        <v>437</v>
      </c>
      <c r="E16" s="94" t="s">
        <v>445</v>
      </c>
      <c r="F16" s="91" t="str">
        <f t="shared" si="0"/>
        <v>Domicilios-Diario</v>
      </c>
      <c r="G16" s="114" t="str">
        <f t="shared" si="1"/>
        <v>Domicilios-Diario-Puenta a Puerta</v>
      </c>
      <c r="O16" t="s">
        <v>633</v>
      </c>
      <c r="P16">
        <f>+COUNTIF(Tabulación!$AG$5:$AG$307,P_19_Cual!O16)</f>
        <v>2</v>
      </c>
      <c r="X16" t="s">
        <v>589</v>
      </c>
    </row>
    <row r="17" spans="2:24" x14ac:dyDescent="0.25">
      <c r="B17" s="168"/>
      <c r="C17" s="101" t="s">
        <v>441</v>
      </c>
      <c r="D17" s="92" t="s">
        <v>437</v>
      </c>
      <c r="E17" s="95" t="s">
        <v>542</v>
      </c>
      <c r="F17" s="92" t="str">
        <f t="shared" si="0"/>
        <v>Atención al Cliente-Diario</v>
      </c>
      <c r="G17" s="114" t="str">
        <f t="shared" si="1"/>
        <v>Atención al Cliente-Diario-Atención del local</v>
      </c>
      <c r="O17" t="s">
        <v>631</v>
      </c>
      <c r="P17">
        <f>+COUNTIF(Tabulación!$AG$5:$AG$307,P_19_Cual!O17)</f>
        <v>2</v>
      </c>
      <c r="X17" t="s">
        <v>580</v>
      </c>
    </row>
    <row r="18" spans="2:24" x14ac:dyDescent="0.25">
      <c r="B18" s="1">
        <v>6</v>
      </c>
      <c r="C18" s="99" t="s">
        <v>441</v>
      </c>
      <c r="D18" s="90" t="s">
        <v>437</v>
      </c>
      <c r="E18" s="93"/>
      <c r="F18" s="90" t="str">
        <f t="shared" si="0"/>
        <v>Atención al Cliente-Diario</v>
      </c>
      <c r="G18" s="114" t="str">
        <f t="shared" si="1"/>
        <v>Atención al Cliente-Diario-</v>
      </c>
      <c r="O18" t="s">
        <v>625</v>
      </c>
      <c r="P18">
        <f>+COUNTIF(Tabulación!$AG$5:$AG$307,P_19_Cual!O18)</f>
        <v>3</v>
      </c>
      <c r="X18" t="s">
        <v>549</v>
      </c>
    </row>
    <row r="19" spans="2:24" x14ac:dyDescent="0.25">
      <c r="B19" s="168">
        <v>7</v>
      </c>
      <c r="C19" s="99" t="s">
        <v>448</v>
      </c>
      <c r="D19" s="90" t="s">
        <v>437</v>
      </c>
      <c r="E19" s="93"/>
      <c r="F19" s="90" t="str">
        <f t="shared" si="0"/>
        <v>Asesoramiento-Diario</v>
      </c>
      <c r="G19" s="114" t="str">
        <f t="shared" si="1"/>
        <v>Asesoramiento-Diario-</v>
      </c>
      <c r="O19" t="s">
        <v>627</v>
      </c>
      <c r="P19">
        <f>+COUNTIF(Tabulación!$AG$5:$AG$307,P_19_Cual!O19)</f>
        <v>3</v>
      </c>
      <c r="X19" t="s">
        <v>552</v>
      </c>
    </row>
    <row r="20" spans="2:24" x14ac:dyDescent="0.25">
      <c r="B20" s="168"/>
      <c r="C20" s="115" t="s">
        <v>440</v>
      </c>
      <c r="D20" s="91" t="s">
        <v>437</v>
      </c>
      <c r="E20" s="94"/>
      <c r="F20" s="91" t="str">
        <f t="shared" si="0"/>
        <v>Domicilios-Diario</v>
      </c>
      <c r="G20" s="114" t="str">
        <f t="shared" si="1"/>
        <v>Domicilios-Diario-</v>
      </c>
      <c r="O20" t="s">
        <v>617</v>
      </c>
      <c r="P20">
        <f>+COUNTIF(Tabulación!$AG$5:$AG$307,P_19_Cual!O20)</f>
        <v>3</v>
      </c>
      <c r="X20" t="s">
        <v>556</v>
      </c>
    </row>
    <row r="21" spans="2:24" x14ac:dyDescent="0.25">
      <c r="B21" s="168"/>
      <c r="C21" s="115" t="s">
        <v>441</v>
      </c>
      <c r="D21" s="91" t="s">
        <v>437</v>
      </c>
      <c r="E21" s="94"/>
      <c r="F21" s="91" t="str">
        <f t="shared" si="0"/>
        <v>Atención al Cliente-Diario</v>
      </c>
      <c r="G21" s="114" t="str">
        <f t="shared" si="1"/>
        <v>Atención al Cliente-Diario-</v>
      </c>
      <c r="O21" t="s">
        <v>638</v>
      </c>
      <c r="P21">
        <f>+COUNTIF(Tabulación!$AG$5:$AG$307,P_19_Cual!O21)</f>
        <v>3</v>
      </c>
      <c r="X21" t="s">
        <v>539</v>
      </c>
    </row>
    <row r="22" spans="2:24" x14ac:dyDescent="0.25">
      <c r="B22" s="1">
        <v>8</v>
      </c>
      <c r="C22" s="99"/>
      <c r="D22" s="90"/>
      <c r="E22" s="93"/>
      <c r="F22" s="90" t="str">
        <f t="shared" si="0"/>
        <v>-</v>
      </c>
      <c r="G22" s="114" t="str">
        <f t="shared" si="1"/>
        <v>--</v>
      </c>
      <c r="O22" t="s">
        <v>616</v>
      </c>
      <c r="P22">
        <f>+COUNTIF(Tabulación!$AG$5:$AG$307,P_19_Cual!O22)</f>
        <v>3</v>
      </c>
      <c r="X22" t="s">
        <v>540</v>
      </c>
    </row>
    <row r="23" spans="2:24" x14ac:dyDescent="0.25">
      <c r="B23" s="1">
        <v>9</v>
      </c>
      <c r="C23" s="99" t="s">
        <v>441</v>
      </c>
      <c r="D23" s="90" t="s">
        <v>437</v>
      </c>
      <c r="E23" s="93"/>
      <c r="F23" s="90" t="str">
        <f t="shared" si="0"/>
        <v>Atención al Cliente-Diario</v>
      </c>
      <c r="G23" s="114" t="str">
        <f t="shared" si="1"/>
        <v>Atención al Cliente-Diario-</v>
      </c>
      <c r="O23" t="s">
        <v>632</v>
      </c>
      <c r="P23">
        <f>+COUNTIF(Tabulación!$AG$5:$AG$307,P_19_Cual!O23)</f>
        <v>3</v>
      </c>
      <c r="X23" t="s">
        <v>603</v>
      </c>
    </row>
    <row r="24" spans="2:24" x14ac:dyDescent="0.25">
      <c r="B24" s="168">
        <v>10</v>
      </c>
      <c r="C24" s="99" t="s">
        <v>195</v>
      </c>
      <c r="D24" s="90" t="s">
        <v>442</v>
      </c>
      <c r="E24" s="93" t="s">
        <v>544</v>
      </c>
      <c r="F24" s="90" t="str">
        <f t="shared" si="0"/>
        <v>Ofertas-Mensual</v>
      </c>
      <c r="G24" s="114" t="str">
        <f t="shared" si="1"/>
        <v>Ofertas-Mensual-Clientes frecuentes</v>
      </c>
      <c r="O24" t="s">
        <v>622</v>
      </c>
      <c r="P24">
        <f>+COUNTIF(Tabulación!$AG$5:$AG$307,P_19_Cual!O24)</f>
        <v>4</v>
      </c>
      <c r="X24" t="s">
        <v>437</v>
      </c>
    </row>
    <row r="25" spans="2:24" x14ac:dyDescent="0.25">
      <c r="B25" s="168"/>
      <c r="C25" s="115" t="s">
        <v>440</v>
      </c>
      <c r="D25" s="91" t="s">
        <v>436</v>
      </c>
      <c r="E25" s="94" t="s">
        <v>545</v>
      </c>
      <c r="F25" s="91" t="str">
        <f t="shared" si="0"/>
        <v>Domicilios-Semanal</v>
      </c>
      <c r="G25" s="114" t="str">
        <f t="shared" si="1"/>
        <v>Domicilios-Semanal-A clientes seleccionados</v>
      </c>
      <c r="O25" t="s">
        <v>639</v>
      </c>
      <c r="P25">
        <f>+COUNTIF(Tabulación!$AG$5:$AG$307,P_19_Cual!O25)</f>
        <v>5</v>
      </c>
      <c r="X25" t="s">
        <v>444</v>
      </c>
    </row>
    <row r="26" spans="2:24" x14ac:dyDescent="0.25">
      <c r="B26" s="168"/>
      <c r="C26" s="115" t="s">
        <v>441</v>
      </c>
      <c r="D26" s="91" t="s">
        <v>437</v>
      </c>
      <c r="E26" s="94" t="s">
        <v>546</v>
      </c>
      <c r="F26" s="91" t="str">
        <f t="shared" si="0"/>
        <v>Atención al Cliente-Diario</v>
      </c>
      <c r="G26" s="114" t="str">
        <f t="shared" si="1"/>
        <v>Atención al Cliente-Diario-Servicio en el establecimiento</v>
      </c>
      <c r="O26" t="s">
        <v>619</v>
      </c>
      <c r="P26">
        <f>+COUNTIF(Tabulación!$AG$5:$AG$307,P_19_Cual!O26)</f>
        <v>6</v>
      </c>
      <c r="X26" t="s">
        <v>599</v>
      </c>
    </row>
    <row r="27" spans="2:24" x14ac:dyDescent="0.25">
      <c r="B27" s="168">
        <v>11</v>
      </c>
      <c r="C27" s="99" t="s">
        <v>448</v>
      </c>
      <c r="D27" s="90" t="s">
        <v>437</v>
      </c>
      <c r="E27" s="93"/>
      <c r="F27" s="90" t="str">
        <f t="shared" si="0"/>
        <v>Asesoramiento-Diario</v>
      </c>
      <c r="G27" s="114" t="str">
        <f t="shared" si="1"/>
        <v>Asesoramiento-Diario-</v>
      </c>
      <c r="O27" t="s">
        <v>618</v>
      </c>
      <c r="P27">
        <f>+COUNTIF(Tabulación!$AG$5:$AG$307,P_19_Cual!O27)</f>
        <v>8</v>
      </c>
      <c r="X27" t="s">
        <v>606</v>
      </c>
    </row>
    <row r="28" spans="2:24" x14ac:dyDescent="0.25">
      <c r="B28" s="168"/>
      <c r="C28" s="115" t="s">
        <v>440</v>
      </c>
      <c r="D28" s="91" t="s">
        <v>437</v>
      </c>
      <c r="E28" s="94"/>
      <c r="F28" s="91" t="str">
        <f t="shared" si="0"/>
        <v>Domicilios-Diario</v>
      </c>
      <c r="G28" s="114" t="str">
        <f t="shared" si="1"/>
        <v>Domicilios-Diario-</v>
      </c>
      <c r="O28" t="s">
        <v>612</v>
      </c>
      <c r="P28">
        <f>+COUNTIF(Tabulación!$AG$5:$AG$307,P_19_Cual!O28)</f>
        <v>12</v>
      </c>
      <c r="X28" t="s">
        <v>550</v>
      </c>
    </row>
    <row r="29" spans="2:24" x14ac:dyDescent="0.25">
      <c r="B29" s="168"/>
      <c r="C29" s="101" t="s">
        <v>441</v>
      </c>
      <c r="D29" s="92" t="s">
        <v>437</v>
      </c>
      <c r="E29" s="95"/>
      <c r="F29" s="92" t="str">
        <f t="shared" si="0"/>
        <v>Atención al Cliente-Diario</v>
      </c>
      <c r="G29" s="114" t="str">
        <f t="shared" si="1"/>
        <v>Atención al Cliente-Diario-</v>
      </c>
      <c r="O29" t="s">
        <v>620</v>
      </c>
      <c r="P29">
        <f>+COUNTIF(Tabulación!$AG$5:$AG$307,P_19_Cual!O29)</f>
        <v>13</v>
      </c>
      <c r="X29" t="s">
        <v>581</v>
      </c>
    </row>
    <row r="30" spans="2:24" x14ac:dyDescent="0.25">
      <c r="B30" s="168">
        <v>12</v>
      </c>
      <c r="C30" s="99" t="s">
        <v>448</v>
      </c>
      <c r="D30" s="90" t="s">
        <v>437</v>
      </c>
      <c r="E30" s="93"/>
      <c r="F30" s="90" t="str">
        <f t="shared" si="0"/>
        <v>Asesoramiento-Diario</v>
      </c>
      <c r="G30" s="114" t="str">
        <f t="shared" si="1"/>
        <v>Asesoramiento-Diario-</v>
      </c>
      <c r="O30" t="s">
        <v>615</v>
      </c>
      <c r="P30">
        <f>+COUNTIF(Tabulación!$AG$5:$AG$307,P_19_Cual!O30)</f>
        <v>18</v>
      </c>
      <c r="X30" t="s">
        <v>587</v>
      </c>
    </row>
    <row r="31" spans="2:24" x14ac:dyDescent="0.25">
      <c r="B31" s="168"/>
      <c r="C31" s="115" t="s">
        <v>441</v>
      </c>
      <c r="D31" s="91" t="s">
        <v>437</v>
      </c>
      <c r="E31" s="94"/>
      <c r="F31" s="91" t="str">
        <f t="shared" si="0"/>
        <v>Atención al Cliente-Diario</v>
      </c>
      <c r="G31" s="114" t="str">
        <f t="shared" si="1"/>
        <v>Atención al Cliente-Diario-</v>
      </c>
      <c r="O31" t="s">
        <v>613</v>
      </c>
      <c r="P31">
        <f>+COUNTIF(Tabulación!$AG$5:$AG$307,P_19_Cual!O31)</f>
        <v>32</v>
      </c>
      <c r="X31" t="s">
        <v>583</v>
      </c>
    </row>
    <row r="32" spans="2:24" x14ac:dyDescent="0.25">
      <c r="B32" s="1">
        <v>13</v>
      </c>
      <c r="C32" s="99" t="s">
        <v>441</v>
      </c>
      <c r="D32" s="90" t="s">
        <v>437</v>
      </c>
      <c r="E32" s="93"/>
      <c r="F32" s="90" t="str">
        <f t="shared" si="0"/>
        <v>Atención al Cliente-Diario</v>
      </c>
      <c r="G32" s="114" t="str">
        <f t="shared" si="1"/>
        <v>Atención al Cliente-Diario-</v>
      </c>
      <c r="O32" t="s">
        <v>614</v>
      </c>
      <c r="P32">
        <f>+COUNTIF(Tabulación!$AG$5:$AG$307,P_19_Cual!O32)</f>
        <v>62</v>
      </c>
      <c r="X32" t="s">
        <v>597</v>
      </c>
    </row>
    <row r="33" spans="2:24" x14ac:dyDescent="0.25">
      <c r="B33" s="168">
        <v>14</v>
      </c>
      <c r="C33" s="99" t="s">
        <v>448</v>
      </c>
      <c r="D33" s="90" t="s">
        <v>437</v>
      </c>
      <c r="E33" s="93"/>
      <c r="F33" s="90" t="str">
        <f t="shared" si="0"/>
        <v>Asesoramiento-Diario</v>
      </c>
      <c r="G33" s="114" t="str">
        <f t="shared" si="1"/>
        <v>Asesoramiento-Diario-</v>
      </c>
      <c r="O33" t="s">
        <v>72</v>
      </c>
      <c r="P33">
        <f>+COUNTIF(Tabulación!$AG$5:$AG$307,P_19_Cual!O33)</f>
        <v>103</v>
      </c>
      <c r="X33" t="s">
        <v>600</v>
      </c>
    </row>
    <row r="34" spans="2:24" x14ac:dyDescent="0.25">
      <c r="B34" s="168"/>
      <c r="C34" s="115" t="s">
        <v>441</v>
      </c>
      <c r="D34" s="91" t="s">
        <v>437</v>
      </c>
      <c r="E34" s="94"/>
      <c r="F34" s="91" t="str">
        <f t="shared" si="0"/>
        <v>Atención al Cliente-Diario</v>
      </c>
      <c r="G34" s="114" t="str">
        <f t="shared" si="1"/>
        <v>Atención al Cliente-Diario-</v>
      </c>
      <c r="X34" t="s">
        <v>576</v>
      </c>
    </row>
    <row r="35" spans="2:24" x14ac:dyDescent="0.25">
      <c r="B35" s="1">
        <v>15</v>
      </c>
      <c r="C35" s="99" t="s">
        <v>441</v>
      </c>
      <c r="D35" s="90" t="s">
        <v>437</v>
      </c>
      <c r="E35" s="93"/>
      <c r="F35" s="90" t="str">
        <f t="shared" si="0"/>
        <v>Atención al Cliente-Diario</v>
      </c>
      <c r="G35" s="114" t="str">
        <f t="shared" si="1"/>
        <v>Atención al Cliente-Diario-</v>
      </c>
      <c r="X35" t="s">
        <v>195</v>
      </c>
    </row>
    <row r="36" spans="2:24" x14ac:dyDescent="0.25">
      <c r="B36" s="168">
        <v>16</v>
      </c>
      <c r="C36" s="99" t="s">
        <v>178</v>
      </c>
      <c r="D36" s="90" t="s">
        <v>442</v>
      </c>
      <c r="E36" s="93"/>
      <c r="F36" s="90" t="str">
        <f t="shared" si="0"/>
        <v>Promociones-Mensual</v>
      </c>
      <c r="G36" s="114" t="str">
        <f t="shared" si="1"/>
        <v>Promociones-Mensual-</v>
      </c>
      <c r="X36" t="s">
        <v>554</v>
      </c>
    </row>
    <row r="37" spans="2:24" x14ac:dyDescent="0.25">
      <c r="B37" s="168"/>
      <c r="C37" s="115" t="s">
        <v>448</v>
      </c>
      <c r="D37" s="91" t="s">
        <v>437</v>
      </c>
      <c r="E37" s="94"/>
      <c r="F37" s="91" t="str">
        <f t="shared" si="0"/>
        <v>Asesoramiento-Diario</v>
      </c>
      <c r="G37" s="114" t="str">
        <f t="shared" si="1"/>
        <v>Asesoramiento-Diario-</v>
      </c>
      <c r="X37" t="s">
        <v>573</v>
      </c>
    </row>
    <row r="38" spans="2:24" x14ac:dyDescent="0.25">
      <c r="B38" s="168"/>
      <c r="C38" s="115" t="s">
        <v>441</v>
      </c>
      <c r="D38" s="91" t="s">
        <v>437</v>
      </c>
      <c r="E38" s="94"/>
      <c r="F38" s="91" t="str">
        <f t="shared" si="0"/>
        <v>Atención al Cliente-Diario</v>
      </c>
      <c r="G38" s="114" t="str">
        <f t="shared" si="1"/>
        <v>Atención al Cliente-Diario-</v>
      </c>
      <c r="X38" t="s">
        <v>585</v>
      </c>
    </row>
    <row r="39" spans="2:24" x14ac:dyDescent="0.25">
      <c r="B39" s="168">
        <v>17</v>
      </c>
      <c r="C39" s="99" t="s">
        <v>178</v>
      </c>
      <c r="D39" s="90" t="s">
        <v>437</v>
      </c>
      <c r="E39" s="93"/>
      <c r="F39" s="90" t="str">
        <f t="shared" si="0"/>
        <v>Promociones-Diario</v>
      </c>
      <c r="G39" s="114" t="str">
        <f t="shared" si="1"/>
        <v>Promociones-Diario-</v>
      </c>
      <c r="X39" t="s">
        <v>557</v>
      </c>
    </row>
    <row r="40" spans="2:24" x14ac:dyDescent="0.25">
      <c r="B40" s="168"/>
      <c r="C40" s="115" t="s">
        <v>439</v>
      </c>
      <c r="D40" s="91" t="s">
        <v>442</v>
      </c>
      <c r="E40" s="94"/>
      <c r="F40" s="91" t="str">
        <f t="shared" si="0"/>
        <v>Descuento-Mensual</v>
      </c>
      <c r="G40" s="114" t="str">
        <f t="shared" si="1"/>
        <v>Descuento-Mensual-</v>
      </c>
      <c r="X40" t="s">
        <v>607</v>
      </c>
    </row>
    <row r="41" spans="2:24" x14ac:dyDescent="0.25">
      <c r="B41" s="168"/>
      <c r="C41" s="115" t="s">
        <v>195</v>
      </c>
      <c r="D41" s="91" t="s">
        <v>442</v>
      </c>
      <c r="E41" s="94"/>
      <c r="F41" s="91" t="str">
        <f t="shared" si="0"/>
        <v>Ofertas-Mensual</v>
      </c>
      <c r="G41" s="114" t="str">
        <f t="shared" si="1"/>
        <v>Ofertas-Mensual-</v>
      </c>
      <c r="X41" t="s">
        <v>602</v>
      </c>
    </row>
    <row r="42" spans="2:24" x14ac:dyDescent="0.25">
      <c r="B42" s="168"/>
      <c r="C42" s="115" t="s">
        <v>448</v>
      </c>
      <c r="D42" s="91" t="s">
        <v>437</v>
      </c>
      <c r="E42" s="94"/>
      <c r="F42" s="91" t="str">
        <f t="shared" si="0"/>
        <v>Asesoramiento-Diario</v>
      </c>
      <c r="G42" s="114" t="str">
        <f t="shared" si="1"/>
        <v>Asesoramiento-Diario-</v>
      </c>
      <c r="X42" t="s">
        <v>577</v>
      </c>
    </row>
    <row r="43" spans="2:24" x14ac:dyDescent="0.25">
      <c r="B43" s="168"/>
      <c r="C43" s="115" t="s">
        <v>440</v>
      </c>
      <c r="D43" s="91" t="s">
        <v>637</v>
      </c>
      <c r="E43" s="94"/>
      <c r="F43" s="91" t="str">
        <f t="shared" si="0"/>
        <v>Domicilios-Ocasional</v>
      </c>
      <c r="G43" s="114" t="str">
        <f t="shared" si="1"/>
        <v>Domicilios-Ocasional-</v>
      </c>
      <c r="X43" t="s">
        <v>538</v>
      </c>
    </row>
    <row r="44" spans="2:24" x14ac:dyDescent="0.25">
      <c r="B44" s="168"/>
      <c r="C44" s="101" t="s">
        <v>441</v>
      </c>
      <c r="D44" s="92" t="s">
        <v>437</v>
      </c>
      <c r="E44" s="95"/>
      <c r="F44" s="92" t="str">
        <f t="shared" si="0"/>
        <v>Atención al Cliente-Diario</v>
      </c>
      <c r="G44" s="114" t="str">
        <f t="shared" si="1"/>
        <v>Atención al Cliente-Diario-</v>
      </c>
      <c r="X44" t="s">
        <v>598</v>
      </c>
    </row>
    <row r="45" spans="2:24" x14ac:dyDescent="0.25">
      <c r="B45" s="168">
        <v>18</v>
      </c>
      <c r="C45" s="99" t="s">
        <v>178</v>
      </c>
      <c r="D45" s="90" t="s">
        <v>509</v>
      </c>
      <c r="E45" s="93" t="s">
        <v>548</v>
      </c>
      <c r="F45" s="90" t="str">
        <f t="shared" si="0"/>
        <v>Promociones-Quincenal</v>
      </c>
      <c r="G45" s="114" t="str">
        <f t="shared" si="1"/>
        <v>Promociones-Quincenal-A fin de mes</v>
      </c>
      <c r="X45" t="s">
        <v>596</v>
      </c>
    </row>
    <row r="46" spans="2:24" x14ac:dyDescent="0.25">
      <c r="B46" s="168"/>
      <c r="C46" s="115" t="s">
        <v>439</v>
      </c>
      <c r="D46" s="91" t="s">
        <v>442</v>
      </c>
      <c r="E46" s="94" t="s">
        <v>549</v>
      </c>
      <c r="F46" s="91" t="str">
        <f t="shared" si="0"/>
        <v>Descuento-Mensual</v>
      </c>
      <c r="G46" s="114" t="str">
        <f t="shared" si="1"/>
        <v>Descuento-Mensual-Depende del cliente</v>
      </c>
      <c r="X46" t="s">
        <v>595</v>
      </c>
    </row>
    <row r="47" spans="2:24" x14ac:dyDescent="0.25">
      <c r="B47" s="168"/>
      <c r="C47" s="101" t="s">
        <v>441</v>
      </c>
      <c r="D47" s="92" t="s">
        <v>437</v>
      </c>
      <c r="E47" s="95" t="s">
        <v>550</v>
      </c>
      <c r="F47" s="92" t="str">
        <f t="shared" si="0"/>
        <v>Atención al Cliente-Diario</v>
      </c>
      <c r="G47" s="114" t="str">
        <f t="shared" si="1"/>
        <v>Atención al Cliente-Diario-En el negocio</v>
      </c>
      <c r="X47" t="s">
        <v>553</v>
      </c>
    </row>
    <row r="48" spans="2:24" x14ac:dyDescent="0.25">
      <c r="B48" s="168">
        <v>19</v>
      </c>
      <c r="C48" s="99" t="s">
        <v>178</v>
      </c>
      <c r="D48" s="90" t="s">
        <v>442</v>
      </c>
      <c r="E48" s="93" t="s">
        <v>552</v>
      </c>
      <c r="F48" s="90" t="str">
        <f t="shared" si="0"/>
        <v>Promociones-Mensual</v>
      </c>
      <c r="G48" s="114" t="str">
        <f t="shared" si="1"/>
        <v>Promociones-Mensual-Depende del provedor</v>
      </c>
      <c r="X48" t="s">
        <v>605</v>
      </c>
    </row>
    <row r="49" spans="2:24" x14ac:dyDescent="0.25">
      <c r="B49" s="168"/>
      <c r="C49" s="115" t="s">
        <v>439</v>
      </c>
      <c r="D49" s="91" t="s">
        <v>442</v>
      </c>
      <c r="E49" s="94" t="s">
        <v>549</v>
      </c>
      <c r="F49" s="91" t="str">
        <f t="shared" si="0"/>
        <v>Descuento-Mensual</v>
      </c>
      <c r="G49" s="114" t="str">
        <f t="shared" si="1"/>
        <v>Descuento-Mensual-Depende del cliente</v>
      </c>
      <c r="X49" t="s">
        <v>604</v>
      </c>
    </row>
    <row r="50" spans="2:24" x14ac:dyDescent="0.25">
      <c r="B50" s="168"/>
      <c r="C50" s="115" t="s">
        <v>440</v>
      </c>
      <c r="D50" s="91" t="s">
        <v>437</v>
      </c>
      <c r="E50" s="94" t="s">
        <v>553</v>
      </c>
      <c r="F50" s="91" t="str">
        <f t="shared" si="0"/>
        <v>Domicilios-Diario</v>
      </c>
      <c r="G50" s="114" t="str">
        <f t="shared" si="1"/>
        <v>Domicilios-Diario-Puerta a Puerta</v>
      </c>
      <c r="X50" t="s">
        <v>592</v>
      </c>
    </row>
    <row r="51" spans="2:24" x14ac:dyDescent="0.25">
      <c r="B51" s="168"/>
      <c r="C51" s="101" t="s">
        <v>441</v>
      </c>
      <c r="D51" s="92" t="s">
        <v>437</v>
      </c>
      <c r="E51" s="95" t="s">
        <v>550</v>
      </c>
      <c r="F51" s="92" t="str">
        <f t="shared" si="0"/>
        <v>Atención al Cliente-Diario</v>
      </c>
      <c r="G51" s="114" t="str">
        <f t="shared" si="1"/>
        <v>Atención al Cliente-Diario-En el negocio</v>
      </c>
      <c r="X51" t="s">
        <v>584</v>
      </c>
    </row>
    <row r="52" spans="2:24" x14ac:dyDescent="0.25">
      <c r="B52" s="168">
        <v>20</v>
      </c>
      <c r="C52" s="99" t="s">
        <v>178</v>
      </c>
      <c r="D52" s="90" t="s">
        <v>442</v>
      </c>
      <c r="E52" s="93" t="s">
        <v>554</v>
      </c>
      <c r="F52" s="90" t="str">
        <f t="shared" si="0"/>
        <v>Promociones-Mensual</v>
      </c>
      <c r="G52" s="114" t="str">
        <f t="shared" si="1"/>
        <v>Promociones-Mensual-Ofertas del vendedor</v>
      </c>
      <c r="X52" t="s">
        <v>588</v>
      </c>
    </row>
    <row r="53" spans="2:24" x14ac:dyDescent="0.25">
      <c r="B53" s="168"/>
      <c r="C53" s="115" t="s">
        <v>440</v>
      </c>
      <c r="D53" s="91" t="s">
        <v>437</v>
      </c>
      <c r="E53" s="94" t="s">
        <v>553</v>
      </c>
      <c r="F53" s="91" t="str">
        <f t="shared" si="0"/>
        <v>Domicilios-Diario</v>
      </c>
      <c r="G53" s="114" t="str">
        <f t="shared" si="1"/>
        <v>Domicilios-Diario-Puerta a Puerta</v>
      </c>
      <c r="X53" t="s">
        <v>594</v>
      </c>
    </row>
    <row r="54" spans="2:24" x14ac:dyDescent="0.25">
      <c r="B54" s="168"/>
      <c r="C54" s="115" t="s">
        <v>441</v>
      </c>
      <c r="D54" s="91" t="s">
        <v>437</v>
      </c>
      <c r="E54" s="94" t="s">
        <v>555</v>
      </c>
      <c r="F54" s="91" t="str">
        <f t="shared" si="0"/>
        <v>Atención al Cliente-Diario</v>
      </c>
      <c r="G54" s="114" t="str">
        <f t="shared" si="1"/>
        <v>Atención al Cliente-Diario-Atención del establecimiento</v>
      </c>
      <c r="X54" t="s">
        <v>546</v>
      </c>
    </row>
    <row r="55" spans="2:24" x14ac:dyDescent="0.25">
      <c r="B55" s="168">
        <v>21</v>
      </c>
      <c r="C55" s="99" t="s">
        <v>178</v>
      </c>
      <c r="D55" s="90" t="s">
        <v>442</v>
      </c>
      <c r="E55" s="93" t="s">
        <v>552</v>
      </c>
      <c r="F55" s="90" t="str">
        <f t="shared" si="0"/>
        <v>Promociones-Mensual</v>
      </c>
      <c r="G55" s="114" t="str">
        <f t="shared" si="1"/>
        <v>Promociones-Mensual-Depende del provedor</v>
      </c>
      <c r="X55" t="s">
        <v>579</v>
      </c>
    </row>
    <row r="56" spans="2:24" x14ac:dyDescent="0.25">
      <c r="B56" s="168"/>
      <c r="C56" s="115" t="s">
        <v>439</v>
      </c>
      <c r="D56" s="91" t="s">
        <v>442</v>
      </c>
      <c r="E56" s="94" t="s">
        <v>549</v>
      </c>
      <c r="F56" s="91" t="str">
        <f t="shared" si="0"/>
        <v>Descuento-Mensual</v>
      </c>
      <c r="G56" s="114" t="str">
        <f t="shared" si="1"/>
        <v>Descuento-Mensual-Depende del cliente</v>
      </c>
      <c r="X56" t="s">
        <v>443</v>
      </c>
    </row>
    <row r="57" spans="2:24" x14ac:dyDescent="0.25">
      <c r="B57" s="168"/>
      <c r="C57" s="115" t="s">
        <v>440</v>
      </c>
      <c r="D57" s="91" t="s">
        <v>437</v>
      </c>
      <c r="E57" s="94"/>
      <c r="F57" s="91" t="str">
        <f t="shared" si="0"/>
        <v>Domicilios-Diario</v>
      </c>
      <c r="G57" s="114" t="str">
        <f t="shared" si="1"/>
        <v>Domicilios-Diario-</v>
      </c>
      <c r="X57" t="s">
        <v>591</v>
      </c>
    </row>
    <row r="58" spans="2:24" x14ac:dyDescent="0.25">
      <c r="B58" s="168"/>
      <c r="C58" s="101" t="s">
        <v>441</v>
      </c>
      <c r="D58" s="92" t="s">
        <v>437</v>
      </c>
      <c r="E58" s="95"/>
      <c r="F58" s="92" t="str">
        <f t="shared" si="0"/>
        <v>Atención al Cliente-Diario</v>
      </c>
      <c r="G58" s="114" t="str">
        <f t="shared" si="1"/>
        <v>Atención al Cliente-Diario-</v>
      </c>
      <c r="X58" t="s">
        <v>590</v>
      </c>
    </row>
    <row r="59" spans="2:24" x14ac:dyDescent="0.25">
      <c r="B59" s="168">
        <v>22</v>
      </c>
      <c r="C59" s="99" t="s">
        <v>195</v>
      </c>
      <c r="D59" s="90" t="s">
        <v>442</v>
      </c>
      <c r="E59" s="93" t="s">
        <v>556</v>
      </c>
      <c r="F59" s="90" t="str">
        <f t="shared" si="0"/>
        <v>Ofertas-Mensual</v>
      </c>
      <c r="G59" s="114" t="str">
        <f t="shared" si="1"/>
        <v>Ofertas-Mensual-Depende del vendedor</v>
      </c>
    </row>
    <row r="60" spans="2:24" x14ac:dyDescent="0.25">
      <c r="B60" s="168"/>
      <c r="C60" s="115" t="s">
        <v>440</v>
      </c>
      <c r="D60" s="91" t="s">
        <v>437</v>
      </c>
      <c r="E60" s="94" t="s">
        <v>553</v>
      </c>
      <c r="F60" s="91" t="str">
        <f t="shared" si="0"/>
        <v>Domicilios-Diario</v>
      </c>
      <c r="G60" s="114" t="str">
        <f t="shared" si="1"/>
        <v>Domicilios-Diario-Puerta a Puerta</v>
      </c>
    </row>
    <row r="61" spans="2:24" x14ac:dyDescent="0.25">
      <c r="B61" s="168"/>
      <c r="C61" s="115" t="s">
        <v>441</v>
      </c>
      <c r="D61" s="91" t="s">
        <v>437</v>
      </c>
      <c r="E61" s="94" t="s">
        <v>557</v>
      </c>
      <c r="F61" s="91" t="str">
        <f t="shared" si="0"/>
        <v>Atención al Cliente-Diario</v>
      </c>
      <c r="G61" s="114" t="str">
        <f t="shared" si="1"/>
        <v>Atención al Cliente-Diario-Personal y telefono</v>
      </c>
    </row>
    <row r="62" spans="2:24" x14ac:dyDescent="0.25">
      <c r="B62" s="168">
        <v>23</v>
      </c>
      <c r="C62" s="99" t="s">
        <v>195</v>
      </c>
      <c r="D62" s="90" t="s">
        <v>437</v>
      </c>
      <c r="E62" s="93" t="s">
        <v>552</v>
      </c>
      <c r="F62" s="90" t="str">
        <f t="shared" si="0"/>
        <v>Ofertas-Diario</v>
      </c>
      <c r="G62" s="114" t="str">
        <f t="shared" si="1"/>
        <v>Ofertas-Diario-Depende del provedor</v>
      </c>
    </row>
    <row r="63" spans="2:24" x14ac:dyDescent="0.25">
      <c r="B63" s="168"/>
      <c r="C63" s="115" t="s">
        <v>440</v>
      </c>
      <c r="D63" s="91" t="s">
        <v>437</v>
      </c>
      <c r="E63" s="94" t="s">
        <v>553</v>
      </c>
      <c r="F63" s="91" t="str">
        <f t="shared" si="0"/>
        <v>Domicilios-Diario</v>
      </c>
      <c r="G63" s="114" t="str">
        <f t="shared" si="1"/>
        <v>Domicilios-Diario-Puerta a Puerta</v>
      </c>
    </row>
    <row r="64" spans="2:24" x14ac:dyDescent="0.25">
      <c r="B64" s="168"/>
      <c r="C64" s="115" t="s">
        <v>441</v>
      </c>
      <c r="D64" s="91" t="s">
        <v>437</v>
      </c>
      <c r="E64" s="94" t="s">
        <v>546</v>
      </c>
      <c r="F64" s="91" t="str">
        <f t="shared" si="0"/>
        <v>Atención al Cliente-Diario</v>
      </c>
      <c r="G64" s="114" t="str">
        <f t="shared" si="1"/>
        <v>Atención al Cliente-Diario-Servicio en el establecimiento</v>
      </c>
    </row>
    <row r="65" spans="2:7" x14ac:dyDescent="0.25">
      <c r="B65" s="168">
        <v>24</v>
      </c>
      <c r="C65" s="99" t="s">
        <v>195</v>
      </c>
      <c r="D65" s="90" t="s">
        <v>637</v>
      </c>
      <c r="E65" s="93" t="s">
        <v>552</v>
      </c>
      <c r="F65" s="90" t="str">
        <f t="shared" si="0"/>
        <v>Ofertas-Ocasional</v>
      </c>
      <c r="G65" s="114" t="str">
        <f t="shared" si="1"/>
        <v>Ofertas-Ocasional-Depende del provedor</v>
      </c>
    </row>
    <row r="66" spans="2:7" x14ac:dyDescent="0.25">
      <c r="B66" s="168"/>
      <c r="C66" s="115" t="s">
        <v>440</v>
      </c>
      <c r="D66" s="91" t="s">
        <v>437</v>
      </c>
      <c r="E66" s="94" t="s">
        <v>553</v>
      </c>
      <c r="F66" s="91" t="str">
        <f t="shared" si="0"/>
        <v>Domicilios-Diario</v>
      </c>
      <c r="G66" s="114" t="str">
        <f t="shared" si="1"/>
        <v>Domicilios-Diario-Puerta a Puerta</v>
      </c>
    </row>
    <row r="67" spans="2:7" x14ac:dyDescent="0.25">
      <c r="B67" s="168"/>
      <c r="C67" s="115" t="s">
        <v>441</v>
      </c>
      <c r="D67" s="91" t="s">
        <v>437</v>
      </c>
      <c r="E67" s="94" t="s">
        <v>557</v>
      </c>
      <c r="F67" s="91" t="str">
        <f t="shared" si="0"/>
        <v>Atención al Cliente-Diario</v>
      </c>
      <c r="G67" s="114" t="str">
        <f t="shared" si="1"/>
        <v>Atención al Cliente-Diario-Personal y telefono</v>
      </c>
    </row>
    <row r="68" spans="2:7" x14ac:dyDescent="0.25">
      <c r="B68" s="1">
        <v>25</v>
      </c>
      <c r="C68" s="99"/>
      <c r="D68" s="90"/>
      <c r="E68" s="93"/>
      <c r="F68" s="90" t="str">
        <f t="shared" si="0"/>
        <v>-</v>
      </c>
      <c r="G68" s="114" t="str">
        <f t="shared" si="1"/>
        <v>--</v>
      </c>
    </row>
    <row r="69" spans="2:7" x14ac:dyDescent="0.25">
      <c r="B69" s="168">
        <v>26</v>
      </c>
      <c r="C69" s="99" t="s">
        <v>448</v>
      </c>
      <c r="D69" s="90" t="s">
        <v>437</v>
      </c>
      <c r="E69" s="93"/>
      <c r="F69" s="90" t="str">
        <f t="shared" ref="F69:F132" si="2">CONCATENATE(C69,"-",D69)</f>
        <v>Asesoramiento-Diario</v>
      </c>
      <c r="G69" s="114" t="str">
        <f t="shared" ref="G69:G132" si="3">CONCATENATE(C69,"-",D69,"-",E69)</f>
        <v>Asesoramiento-Diario-</v>
      </c>
    </row>
    <row r="70" spans="2:7" x14ac:dyDescent="0.25">
      <c r="B70" s="168"/>
      <c r="C70" s="115" t="s">
        <v>440</v>
      </c>
      <c r="D70" s="91" t="s">
        <v>437</v>
      </c>
      <c r="E70" s="94"/>
      <c r="F70" s="91" t="str">
        <f t="shared" si="2"/>
        <v>Domicilios-Diario</v>
      </c>
      <c r="G70" s="114" t="str">
        <f t="shared" si="3"/>
        <v>Domicilios-Diario-</v>
      </c>
    </row>
    <row r="71" spans="2:7" x14ac:dyDescent="0.25">
      <c r="B71" s="168"/>
      <c r="C71" s="115" t="s">
        <v>441</v>
      </c>
      <c r="D71" s="91" t="s">
        <v>437</v>
      </c>
      <c r="E71" s="94"/>
      <c r="F71" s="91" t="str">
        <f t="shared" si="2"/>
        <v>Atención al Cliente-Diario</v>
      </c>
      <c r="G71" s="114" t="str">
        <f t="shared" si="3"/>
        <v>Atención al Cliente-Diario-</v>
      </c>
    </row>
    <row r="72" spans="2:7" x14ac:dyDescent="0.25">
      <c r="B72" s="168">
        <v>27</v>
      </c>
      <c r="C72" s="99" t="s">
        <v>439</v>
      </c>
      <c r="D72" s="90" t="s">
        <v>442</v>
      </c>
      <c r="E72" s="93" t="s">
        <v>556</v>
      </c>
      <c r="F72" s="90" t="str">
        <f t="shared" si="2"/>
        <v>Descuento-Mensual</v>
      </c>
      <c r="G72" s="114" t="str">
        <f t="shared" si="3"/>
        <v>Descuento-Mensual-Depende del vendedor</v>
      </c>
    </row>
    <row r="73" spans="2:7" x14ac:dyDescent="0.25">
      <c r="B73" s="168"/>
      <c r="C73" s="115" t="s">
        <v>440</v>
      </c>
      <c r="D73" s="91" t="s">
        <v>437</v>
      </c>
      <c r="E73" s="94" t="s">
        <v>553</v>
      </c>
      <c r="F73" s="91" t="str">
        <f t="shared" si="2"/>
        <v>Domicilios-Diario</v>
      </c>
      <c r="G73" s="114" t="str">
        <f t="shared" si="3"/>
        <v>Domicilios-Diario-Puerta a Puerta</v>
      </c>
    </row>
    <row r="74" spans="2:7" x14ac:dyDescent="0.25">
      <c r="B74" s="168"/>
      <c r="C74" s="115" t="s">
        <v>441</v>
      </c>
      <c r="D74" s="91" t="s">
        <v>437</v>
      </c>
      <c r="E74" s="94" t="s">
        <v>446</v>
      </c>
      <c r="F74" s="91" t="str">
        <f t="shared" si="2"/>
        <v>Atención al Cliente-Diario</v>
      </c>
      <c r="G74" s="114" t="str">
        <f t="shared" si="3"/>
        <v>Atención al Cliente-Diario-Atención en el Establecimiento</v>
      </c>
    </row>
    <row r="75" spans="2:7" x14ac:dyDescent="0.25">
      <c r="B75" s="1">
        <v>28</v>
      </c>
      <c r="C75" s="99" t="s">
        <v>441</v>
      </c>
      <c r="D75" s="90" t="s">
        <v>437</v>
      </c>
      <c r="E75" s="93" t="s">
        <v>446</v>
      </c>
      <c r="F75" s="90" t="str">
        <f t="shared" si="2"/>
        <v>Atención al Cliente-Diario</v>
      </c>
      <c r="G75" s="114" t="str">
        <f t="shared" si="3"/>
        <v>Atención al Cliente-Diario-Atención en el Establecimiento</v>
      </c>
    </row>
    <row r="76" spans="2:7" x14ac:dyDescent="0.25">
      <c r="B76" s="168">
        <v>29</v>
      </c>
      <c r="C76" s="99" t="s">
        <v>439</v>
      </c>
      <c r="D76" s="90" t="s">
        <v>637</v>
      </c>
      <c r="E76" s="93" t="s">
        <v>552</v>
      </c>
      <c r="F76" s="90" t="str">
        <f t="shared" si="2"/>
        <v>Descuento-Ocasional</v>
      </c>
      <c r="G76" s="114" t="str">
        <f t="shared" si="3"/>
        <v>Descuento-Ocasional-Depende del provedor</v>
      </c>
    </row>
    <row r="77" spans="2:7" x14ac:dyDescent="0.25">
      <c r="B77" s="168"/>
      <c r="C77" s="115" t="s">
        <v>440</v>
      </c>
      <c r="D77" s="91" t="s">
        <v>437</v>
      </c>
      <c r="E77" s="94" t="s">
        <v>553</v>
      </c>
      <c r="F77" s="91" t="str">
        <f t="shared" si="2"/>
        <v>Domicilios-Diario</v>
      </c>
      <c r="G77" s="114" t="str">
        <f t="shared" si="3"/>
        <v>Domicilios-Diario-Puerta a Puerta</v>
      </c>
    </row>
    <row r="78" spans="2:7" x14ac:dyDescent="0.25">
      <c r="B78" s="168"/>
      <c r="C78" s="115" t="s">
        <v>441</v>
      </c>
      <c r="D78" s="91" t="s">
        <v>437</v>
      </c>
      <c r="E78" s="94" t="s">
        <v>446</v>
      </c>
      <c r="F78" s="91" t="str">
        <f t="shared" si="2"/>
        <v>Atención al Cliente-Diario</v>
      </c>
      <c r="G78" s="114" t="str">
        <f t="shared" si="3"/>
        <v>Atención al Cliente-Diario-Atención en el Establecimiento</v>
      </c>
    </row>
    <row r="79" spans="2:7" x14ac:dyDescent="0.25">
      <c r="B79" s="168">
        <v>30</v>
      </c>
      <c r="C79" s="99" t="s">
        <v>440</v>
      </c>
      <c r="D79" s="90" t="s">
        <v>437</v>
      </c>
      <c r="E79" s="93" t="s">
        <v>553</v>
      </c>
      <c r="F79" s="90" t="str">
        <f t="shared" si="2"/>
        <v>Domicilios-Diario</v>
      </c>
      <c r="G79" s="114" t="str">
        <f t="shared" si="3"/>
        <v>Domicilios-Diario-Puerta a Puerta</v>
      </c>
    </row>
    <row r="80" spans="2:7" x14ac:dyDescent="0.25">
      <c r="B80" s="168"/>
      <c r="C80" s="115" t="s">
        <v>441</v>
      </c>
      <c r="D80" s="91" t="s">
        <v>437</v>
      </c>
      <c r="E80" s="94" t="s">
        <v>446</v>
      </c>
      <c r="F80" s="91" t="str">
        <f t="shared" si="2"/>
        <v>Atención al Cliente-Diario</v>
      </c>
      <c r="G80" s="114" t="str">
        <f t="shared" si="3"/>
        <v>Atención al Cliente-Diario-Atención en el Establecimiento</v>
      </c>
    </row>
    <row r="81" spans="2:7" x14ac:dyDescent="0.25">
      <c r="B81" s="168">
        <v>31</v>
      </c>
      <c r="C81" s="99" t="s">
        <v>178</v>
      </c>
      <c r="D81" s="90" t="s">
        <v>509</v>
      </c>
      <c r="E81" s="93" t="s">
        <v>552</v>
      </c>
      <c r="F81" s="90" t="str">
        <f t="shared" si="2"/>
        <v>Promociones-Quincenal</v>
      </c>
      <c r="G81" s="114" t="str">
        <f t="shared" si="3"/>
        <v>Promociones-Quincenal-Depende del provedor</v>
      </c>
    </row>
    <row r="82" spans="2:7" x14ac:dyDescent="0.25">
      <c r="B82" s="168"/>
      <c r="C82" s="115" t="s">
        <v>439</v>
      </c>
      <c r="D82" s="91" t="s">
        <v>509</v>
      </c>
      <c r="E82" s="94" t="s">
        <v>549</v>
      </c>
      <c r="F82" s="91" t="str">
        <f t="shared" si="2"/>
        <v>Descuento-Quincenal</v>
      </c>
      <c r="G82" s="114" t="str">
        <f t="shared" si="3"/>
        <v>Descuento-Quincenal-Depende del cliente</v>
      </c>
    </row>
    <row r="83" spans="2:7" x14ac:dyDescent="0.25">
      <c r="B83" s="168"/>
      <c r="C83" s="115" t="s">
        <v>441</v>
      </c>
      <c r="D83" s="91" t="s">
        <v>437</v>
      </c>
      <c r="E83" s="94" t="s">
        <v>573</v>
      </c>
      <c r="F83" s="91" t="str">
        <f t="shared" si="2"/>
        <v>Atención al Cliente-Diario</v>
      </c>
      <c r="G83" s="114" t="str">
        <f t="shared" si="3"/>
        <v>Atención al Cliente-Diario-Personal</v>
      </c>
    </row>
    <row r="84" spans="2:7" x14ac:dyDescent="0.25">
      <c r="B84" s="168">
        <v>32</v>
      </c>
      <c r="C84" s="99" t="s">
        <v>439</v>
      </c>
      <c r="D84" s="90" t="s">
        <v>637</v>
      </c>
      <c r="E84" s="93" t="s">
        <v>552</v>
      </c>
      <c r="F84" s="90" t="str">
        <f t="shared" si="2"/>
        <v>Descuento-Ocasional</v>
      </c>
      <c r="G84" s="114" t="str">
        <f t="shared" si="3"/>
        <v>Descuento-Ocasional-Depende del provedor</v>
      </c>
    </row>
    <row r="85" spans="2:7" x14ac:dyDescent="0.25">
      <c r="B85" s="168"/>
      <c r="C85" s="115" t="s">
        <v>448</v>
      </c>
      <c r="D85" s="91" t="s">
        <v>437</v>
      </c>
      <c r="E85" s="94" t="s">
        <v>549</v>
      </c>
      <c r="F85" s="91" t="str">
        <f t="shared" si="2"/>
        <v>Asesoramiento-Diario</v>
      </c>
      <c r="G85" s="114" t="str">
        <f t="shared" si="3"/>
        <v>Asesoramiento-Diario-Depende del cliente</v>
      </c>
    </row>
    <row r="86" spans="2:7" x14ac:dyDescent="0.25">
      <c r="B86" s="168"/>
      <c r="C86" s="115" t="s">
        <v>441</v>
      </c>
      <c r="D86" s="91" t="s">
        <v>437</v>
      </c>
      <c r="E86" s="94" t="s">
        <v>574</v>
      </c>
      <c r="F86" s="91" t="str">
        <f t="shared" si="2"/>
        <v>Atención al Cliente-Diario</v>
      </c>
      <c r="G86" s="114" t="str">
        <f t="shared" si="3"/>
        <v>Atención al Cliente-Diario-Comercialiación de los productos</v>
      </c>
    </row>
    <row r="87" spans="2:7" x14ac:dyDescent="0.25">
      <c r="B87" s="168">
        <v>33</v>
      </c>
      <c r="C87" s="99" t="s">
        <v>448</v>
      </c>
      <c r="D87" s="90"/>
      <c r="E87" s="93" t="s">
        <v>575</v>
      </c>
      <c r="F87" s="90" t="str">
        <f t="shared" si="2"/>
        <v>Asesoramiento-</v>
      </c>
      <c r="G87" s="114" t="str">
        <f t="shared" si="3"/>
        <v>Asesoramiento--Busco productos de buena calidad</v>
      </c>
    </row>
    <row r="88" spans="2:7" x14ac:dyDescent="0.25">
      <c r="B88" s="168"/>
      <c r="C88" s="115" t="s">
        <v>441</v>
      </c>
      <c r="D88" s="91"/>
      <c r="E88" s="94" t="s">
        <v>577</v>
      </c>
      <c r="F88" s="91" t="str">
        <f t="shared" si="2"/>
        <v>Atención al Cliente-</v>
      </c>
      <c r="G88" s="114" t="str">
        <f t="shared" si="3"/>
        <v>Atención al Cliente--Presentación personal</v>
      </c>
    </row>
    <row r="89" spans="2:7" x14ac:dyDescent="0.25">
      <c r="B89" s="168"/>
      <c r="C89" s="115" t="s">
        <v>440</v>
      </c>
      <c r="D89" s="91"/>
      <c r="E89" s="94" t="s">
        <v>576</v>
      </c>
      <c r="F89" s="91" t="str">
        <f t="shared" si="2"/>
        <v>Domicilios-</v>
      </c>
      <c r="G89" s="114" t="str">
        <f t="shared" si="3"/>
        <v>Domicilios--No genero cosnto adicional</v>
      </c>
    </row>
    <row r="90" spans="2:7" x14ac:dyDescent="0.25">
      <c r="B90" s="168">
        <v>34</v>
      </c>
      <c r="C90" s="99" t="s">
        <v>448</v>
      </c>
      <c r="D90" s="90" t="s">
        <v>436</v>
      </c>
      <c r="E90" s="93"/>
      <c r="F90" s="90" t="str">
        <f t="shared" si="2"/>
        <v>Asesoramiento-Semanal</v>
      </c>
      <c r="G90" s="114" t="str">
        <f t="shared" si="3"/>
        <v>Asesoramiento-Semanal-</v>
      </c>
    </row>
    <row r="91" spans="2:7" x14ac:dyDescent="0.25">
      <c r="B91" s="168"/>
      <c r="C91" s="115" t="s">
        <v>441</v>
      </c>
      <c r="D91" s="91" t="s">
        <v>436</v>
      </c>
      <c r="E91" s="94"/>
      <c r="F91" s="91" t="str">
        <f t="shared" si="2"/>
        <v>Atención al Cliente-Semanal</v>
      </c>
      <c r="G91" s="114" t="str">
        <f t="shared" si="3"/>
        <v>Atención al Cliente-Semanal-</v>
      </c>
    </row>
    <row r="92" spans="2:7" x14ac:dyDescent="0.25">
      <c r="B92" s="168"/>
      <c r="C92" s="101" t="s">
        <v>440</v>
      </c>
      <c r="D92" s="92" t="s">
        <v>436</v>
      </c>
      <c r="E92" s="95"/>
      <c r="F92" s="92" t="str">
        <f t="shared" si="2"/>
        <v>Domicilios-Semanal</v>
      </c>
      <c r="G92" s="114" t="str">
        <f t="shared" si="3"/>
        <v>Domicilios-Semanal-</v>
      </c>
    </row>
    <row r="93" spans="2:7" x14ac:dyDescent="0.25">
      <c r="B93" s="168">
        <v>35</v>
      </c>
      <c r="C93" s="99" t="s">
        <v>178</v>
      </c>
      <c r="D93" s="90" t="s">
        <v>442</v>
      </c>
      <c r="E93" s="93" t="s">
        <v>578</v>
      </c>
      <c r="F93" s="90" t="str">
        <f t="shared" si="2"/>
        <v>Promociones-Mensual</v>
      </c>
      <c r="G93" s="114" t="str">
        <f t="shared" si="3"/>
        <v>Promociones-Mensual-A final de mes</v>
      </c>
    </row>
    <row r="94" spans="2:7" x14ac:dyDescent="0.25">
      <c r="B94" s="168"/>
      <c r="C94" s="115" t="s">
        <v>440</v>
      </c>
      <c r="D94" s="91" t="s">
        <v>437</v>
      </c>
      <c r="E94" s="94"/>
      <c r="F94" s="91" t="str">
        <f t="shared" si="2"/>
        <v>Domicilios-Diario</v>
      </c>
      <c r="G94" s="114" t="str">
        <f t="shared" si="3"/>
        <v>Domicilios-Diario-</v>
      </c>
    </row>
    <row r="95" spans="2:7" x14ac:dyDescent="0.25">
      <c r="B95" s="168"/>
      <c r="C95" s="115" t="s">
        <v>441</v>
      </c>
      <c r="D95" s="91" t="s">
        <v>437</v>
      </c>
      <c r="E95" s="94" t="s">
        <v>446</v>
      </c>
      <c r="F95" s="91" t="str">
        <f t="shared" si="2"/>
        <v>Atención al Cliente-Diario</v>
      </c>
      <c r="G95" s="114" t="str">
        <f t="shared" si="3"/>
        <v>Atención al Cliente-Diario-Atención en el Establecimiento</v>
      </c>
    </row>
    <row r="96" spans="2:7" x14ac:dyDescent="0.25">
      <c r="B96" s="168">
        <v>36</v>
      </c>
      <c r="C96" s="99" t="s">
        <v>195</v>
      </c>
      <c r="D96" s="90" t="s">
        <v>637</v>
      </c>
      <c r="E96" s="93" t="s">
        <v>552</v>
      </c>
      <c r="F96" s="90" t="str">
        <f t="shared" si="2"/>
        <v>Ofertas-Ocasional</v>
      </c>
      <c r="G96" s="114" t="str">
        <f t="shared" si="3"/>
        <v>Ofertas-Ocasional-Depende del provedor</v>
      </c>
    </row>
    <row r="97" spans="2:7" x14ac:dyDescent="0.25">
      <c r="B97" s="168"/>
      <c r="C97" s="115" t="s">
        <v>448</v>
      </c>
      <c r="D97" s="91"/>
      <c r="E97" s="94" t="s">
        <v>579</v>
      </c>
      <c r="F97" s="91" t="str">
        <f t="shared" si="2"/>
        <v>Asesoramiento-</v>
      </c>
      <c r="G97" s="114" t="str">
        <f t="shared" si="3"/>
        <v>Asesoramiento--Supliendo las necesidades</v>
      </c>
    </row>
    <row r="98" spans="2:7" x14ac:dyDescent="0.25">
      <c r="B98" s="168"/>
      <c r="C98" s="115" t="s">
        <v>441</v>
      </c>
      <c r="D98" s="91"/>
      <c r="E98" s="94" t="s">
        <v>580</v>
      </c>
      <c r="F98" s="91" t="str">
        <f t="shared" si="2"/>
        <v>Atención al Cliente-</v>
      </c>
      <c r="G98" s="114" t="str">
        <f t="shared" si="3"/>
        <v>Atención al Cliente--Con venta de los productos</v>
      </c>
    </row>
    <row r="99" spans="2:7" x14ac:dyDescent="0.25">
      <c r="B99" s="1">
        <v>37</v>
      </c>
      <c r="C99" s="99" t="s">
        <v>441</v>
      </c>
      <c r="D99" s="90"/>
      <c r="E99" s="93" t="s">
        <v>437</v>
      </c>
      <c r="F99" s="90" t="str">
        <f t="shared" si="2"/>
        <v>Atención al Cliente-</v>
      </c>
      <c r="G99" s="114" t="str">
        <f t="shared" si="3"/>
        <v>Atención al Cliente--Diario</v>
      </c>
    </row>
    <row r="100" spans="2:7" x14ac:dyDescent="0.25">
      <c r="B100" s="168">
        <v>38</v>
      </c>
      <c r="C100" s="99" t="s">
        <v>178</v>
      </c>
      <c r="D100" s="90"/>
      <c r="E100" s="93" t="s">
        <v>552</v>
      </c>
      <c r="F100" s="90" t="str">
        <f t="shared" si="2"/>
        <v>Promociones-</v>
      </c>
      <c r="G100" s="114" t="str">
        <f t="shared" si="3"/>
        <v>Promociones--Depende del provedor</v>
      </c>
    </row>
    <row r="101" spans="2:7" x14ac:dyDescent="0.25">
      <c r="B101" s="168"/>
      <c r="C101" s="115" t="s">
        <v>441</v>
      </c>
      <c r="D101" s="91" t="s">
        <v>437</v>
      </c>
      <c r="E101" s="94" t="s">
        <v>446</v>
      </c>
      <c r="F101" s="91" t="str">
        <f t="shared" si="2"/>
        <v>Atención al Cliente-Diario</v>
      </c>
      <c r="G101" s="114" t="str">
        <f t="shared" si="3"/>
        <v>Atención al Cliente-Diario-Atención en el Establecimiento</v>
      </c>
    </row>
    <row r="102" spans="2:7" x14ac:dyDescent="0.25">
      <c r="B102" s="1">
        <v>39</v>
      </c>
      <c r="C102" s="90" t="s">
        <v>440</v>
      </c>
      <c r="D102" s="90"/>
      <c r="E102" s="93" t="s">
        <v>581</v>
      </c>
      <c r="F102" s="90" t="str">
        <f t="shared" si="2"/>
        <v>Domicilios-</v>
      </c>
      <c r="G102" s="114" t="str">
        <f t="shared" si="3"/>
        <v>Domicilios--En moto del almacen</v>
      </c>
    </row>
    <row r="103" spans="2:7" x14ac:dyDescent="0.25">
      <c r="B103" s="168">
        <v>40</v>
      </c>
      <c r="C103" s="99" t="s">
        <v>440</v>
      </c>
      <c r="D103" s="90" t="s">
        <v>637</v>
      </c>
      <c r="E103" s="93"/>
      <c r="F103" s="90" t="str">
        <f t="shared" si="2"/>
        <v>Domicilios-Ocasional</v>
      </c>
      <c r="G103" s="114" t="str">
        <f t="shared" si="3"/>
        <v>Domicilios-Ocasional-</v>
      </c>
    </row>
    <row r="104" spans="2:7" x14ac:dyDescent="0.25">
      <c r="B104" s="168"/>
      <c r="C104" s="115" t="s">
        <v>441</v>
      </c>
      <c r="D104" s="91" t="s">
        <v>437</v>
      </c>
      <c r="E104" s="94" t="s">
        <v>446</v>
      </c>
      <c r="F104" s="91" t="str">
        <f t="shared" si="2"/>
        <v>Atención al Cliente-Diario</v>
      </c>
      <c r="G104" s="114" t="str">
        <f t="shared" si="3"/>
        <v>Atención al Cliente-Diario-Atención en el Establecimiento</v>
      </c>
    </row>
    <row r="105" spans="2:7" x14ac:dyDescent="0.25">
      <c r="B105" s="168">
        <v>41</v>
      </c>
      <c r="C105" s="99" t="s">
        <v>178</v>
      </c>
      <c r="D105" s="90" t="s">
        <v>637</v>
      </c>
      <c r="E105" s="93" t="s">
        <v>549</v>
      </c>
      <c r="F105" s="90" t="str">
        <f t="shared" si="2"/>
        <v>Promociones-Ocasional</v>
      </c>
      <c r="G105" s="114" t="str">
        <f t="shared" si="3"/>
        <v>Promociones-Ocasional-Depende del cliente</v>
      </c>
    </row>
    <row r="106" spans="2:7" x14ac:dyDescent="0.25">
      <c r="B106" s="168"/>
      <c r="C106" s="115" t="s">
        <v>440</v>
      </c>
      <c r="D106" s="91" t="s">
        <v>637</v>
      </c>
      <c r="E106" s="94" t="s">
        <v>549</v>
      </c>
      <c r="F106" s="91" t="str">
        <f t="shared" si="2"/>
        <v>Domicilios-Ocasional</v>
      </c>
      <c r="G106" s="114" t="str">
        <f t="shared" si="3"/>
        <v>Domicilios-Ocasional-Depende del cliente</v>
      </c>
    </row>
    <row r="107" spans="2:7" x14ac:dyDescent="0.25">
      <c r="B107" s="168"/>
      <c r="C107" s="115" t="s">
        <v>441</v>
      </c>
      <c r="D107" s="91" t="s">
        <v>437</v>
      </c>
      <c r="E107" s="94"/>
      <c r="F107" s="91" t="str">
        <f t="shared" si="2"/>
        <v>Atención al Cliente-Diario</v>
      </c>
      <c r="G107" s="114" t="str">
        <f t="shared" si="3"/>
        <v>Atención al Cliente-Diario-</v>
      </c>
    </row>
    <row r="108" spans="2:7" x14ac:dyDescent="0.25">
      <c r="B108" s="168">
        <v>42</v>
      </c>
      <c r="C108" s="99" t="s">
        <v>178</v>
      </c>
      <c r="D108" s="90" t="s">
        <v>436</v>
      </c>
      <c r="E108" s="93" t="s">
        <v>583</v>
      </c>
      <c r="F108" s="90" t="str">
        <f t="shared" si="2"/>
        <v>Promociones-Semanal</v>
      </c>
      <c r="G108" s="114" t="str">
        <f t="shared" si="3"/>
        <v>Promociones-Semanal-Fines de semana</v>
      </c>
    </row>
    <row r="109" spans="2:7" x14ac:dyDescent="0.25">
      <c r="B109" s="168"/>
      <c r="C109" s="115" t="s">
        <v>440</v>
      </c>
      <c r="D109" s="91" t="s">
        <v>437</v>
      </c>
      <c r="E109" s="94" t="s">
        <v>553</v>
      </c>
      <c r="F109" s="91" t="str">
        <f t="shared" si="2"/>
        <v>Domicilios-Diario</v>
      </c>
      <c r="G109" s="114" t="str">
        <f t="shared" si="3"/>
        <v>Domicilios-Diario-Puerta a Puerta</v>
      </c>
    </row>
    <row r="110" spans="2:7" x14ac:dyDescent="0.25">
      <c r="B110" s="168"/>
      <c r="C110" s="115" t="s">
        <v>441</v>
      </c>
      <c r="D110" s="91" t="s">
        <v>437</v>
      </c>
      <c r="E110" s="94" t="s">
        <v>446</v>
      </c>
      <c r="F110" s="91" t="str">
        <f t="shared" si="2"/>
        <v>Atención al Cliente-Diario</v>
      </c>
      <c r="G110" s="114" t="str">
        <f t="shared" si="3"/>
        <v>Atención al Cliente-Diario-Atención en el Establecimiento</v>
      </c>
    </row>
    <row r="111" spans="2:7" x14ac:dyDescent="0.25">
      <c r="B111" s="168">
        <v>43</v>
      </c>
      <c r="C111" s="99" t="s">
        <v>448</v>
      </c>
      <c r="D111" s="90" t="s">
        <v>436</v>
      </c>
      <c r="E111" s="93"/>
      <c r="F111" s="90" t="str">
        <f t="shared" si="2"/>
        <v>Asesoramiento-Semanal</v>
      </c>
      <c r="G111" s="114" t="str">
        <f t="shared" si="3"/>
        <v>Asesoramiento-Semanal-</v>
      </c>
    </row>
    <row r="112" spans="2:7" x14ac:dyDescent="0.25">
      <c r="B112" s="168"/>
      <c r="C112" s="115" t="s">
        <v>440</v>
      </c>
      <c r="D112" s="91" t="s">
        <v>436</v>
      </c>
      <c r="E112" s="94"/>
      <c r="F112" s="91" t="str">
        <f t="shared" si="2"/>
        <v>Domicilios-Semanal</v>
      </c>
      <c r="G112" s="114" t="str">
        <f t="shared" si="3"/>
        <v>Domicilios-Semanal-</v>
      </c>
    </row>
    <row r="113" spans="2:7" x14ac:dyDescent="0.25">
      <c r="B113" s="168"/>
      <c r="C113" s="115" t="s">
        <v>441</v>
      </c>
      <c r="D113" s="91" t="s">
        <v>436</v>
      </c>
      <c r="E113" s="94"/>
      <c r="F113" s="91" t="str">
        <f t="shared" si="2"/>
        <v>Atención al Cliente-Semanal</v>
      </c>
      <c r="G113" s="114" t="str">
        <f t="shared" si="3"/>
        <v>Atención al Cliente-Semanal-</v>
      </c>
    </row>
    <row r="114" spans="2:7" x14ac:dyDescent="0.25">
      <c r="B114" s="168">
        <v>44</v>
      </c>
      <c r="C114" s="99" t="s">
        <v>448</v>
      </c>
      <c r="D114" s="90" t="s">
        <v>437</v>
      </c>
      <c r="E114" s="93"/>
      <c r="F114" s="90" t="str">
        <f t="shared" si="2"/>
        <v>Asesoramiento-Diario</v>
      </c>
      <c r="G114" s="114" t="str">
        <f t="shared" si="3"/>
        <v>Asesoramiento-Diario-</v>
      </c>
    </row>
    <row r="115" spans="2:7" x14ac:dyDescent="0.25">
      <c r="B115" s="168"/>
      <c r="C115" s="115" t="s">
        <v>441</v>
      </c>
      <c r="D115" s="91" t="s">
        <v>437</v>
      </c>
      <c r="E115" s="94"/>
      <c r="F115" s="91" t="str">
        <f t="shared" si="2"/>
        <v>Atención al Cliente-Diario</v>
      </c>
      <c r="G115" s="114" t="str">
        <f t="shared" si="3"/>
        <v>Atención al Cliente-Diario-</v>
      </c>
    </row>
    <row r="116" spans="2:7" x14ac:dyDescent="0.25">
      <c r="B116" s="168">
        <v>45</v>
      </c>
      <c r="C116" s="99" t="s">
        <v>178</v>
      </c>
      <c r="D116" s="90" t="s">
        <v>511</v>
      </c>
      <c r="E116" s="93"/>
      <c r="F116" s="90" t="str">
        <f t="shared" si="2"/>
        <v>Promociones-Anual</v>
      </c>
      <c r="G116" s="114" t="str">
        <f t="shared" si="3"/>
        <v>Promociones-Anual-</v>
      </c>
    </row>
    <row r="117" spans="2:7" x14ac:dyDescent="0.25">
      <c r="B117" s="168"/>
      <c r="C117" s="115" t="s">
        <v>439</v>
      </c>
      <c r="D117" s="91" t="s">
        <v>442</v>
      </c>
      <c r="E117" s="94"/>
      <c r="F117" s="91" t="str">
        <f t="shared" si="2"/>
        <v>Descuento-Mensual</v>
      </c>
      <c r="G117" s="114" t="str">
        <f t="shared" si="3"/>
        <v>Descuento-Mensual-</v>
      </c>
    </row>
    <row r="118" spans="2:7" x14ac:dyDescent="0.25">
      <c r="B118" s="168"/>
      <c r="C118" s="115" t="s">
        <v>195</v>
      </c>
      <c r="D118" s="91" t="s">
        <v>442</v>
      </c>
      <c r="E118" s="94"/>
      <c r="F118" s="91" t="str">
        <f t="shared" si="2"/>
        <v>Ofertas-Mensual</v>
      </c>
      <c r="G118" s="114" t="str">
        <f t="shared" si="3"/>
        <v>Ofertas-Mensual-</v>
      </c>
    </row>
    <row r="119" spans="2:7" x14ac:dyDescent="0.25">
      <c r="B119" s="168"/>
      <c r="C119" s="115" t="s">
        <v>440</v>
      </c>
      <c r="D119" s="91" t="s">
        <v>437</v>
      </c>
      <c r="E119" s="94"/>
      <c r="F119" s="91" t="str">
        <f t="shared" si="2"/>
        <v>Domicilios-Diario</v>
      </c>
      <c r="G119" s="114" t="str">
        <f t="shared" si="3"/>
        <v>Domicilios-Diario-</v>
      </c>
    </row>
    <row r="120" spans="2:7" x14ac:dyDescent="0.25">
      <c r="B120" s="168"/>
      <c r="C120" s="101" t="s">
        <v>441</v>
      </c>
      <c r="D120" s="92" t="s">
        <v>437</v>
      </c>
      <c r="E120" s="95"/>
      <c r="F120" s="92" t="str">
        <f t="shared" si="2"/>
        <v>Atención al Cliente-Diario</v>
      </c>
      <c r="G120" s="114" t="str">
        <f t="shared" si="3"/>
        <v>Atención al Cliente-Diario-</v>
      </c>
    </row>
    <row r="121" spans="2:7" x14ac:dyDescent="0.25">
      <c r="B121" s="168">
        <v>46</v>
      </c>
      <c r="C121" s="99" t="s">
        <v>178</v>
      </c>
      <c r="D121" s="90" t="s">
        <v>509</v>
      </c>
      <c r="E121" s="93" t="s">
        <v>444</v>
      </c>
      <c r="F121" s="90" t="str">
        <f t="shared" si="2"/>
        <v>Promociones-Quincenal</v>
      </c>
      <c r="G121" s="114" t="str">
        <f t="shared" si="3"/>
        <v>Promociones-Quincenal-Dos por Uno</v>
      </c>
    </row>
    <row r="122" spans="2:7" x14ac:dyDescent="0.25">
      <c r="B122" s="168"/>
      <c r="C122" s="115" t="s">
        <v>439</v>
      </c>
      <c r="D122" s="91" t="s">
        <v>437</v>
      </c>
      <c r="E122" s="94" t="s">
        <v>584</v>
      </c>
      <c r="F122" s="91" t="str">
        <f t="shared" si="2"/>
        <v>Descuento-Diario</v>
      </c>
      <c r="G122" s="114" t="str">
        <f t="shared" si="3"/>
        <v>Descuento-Diario-Se le rebaja a la cuenta</v>
      </c>
    </row>
    <row r="123" spans="2:7" x14ac:dyDescent="0.25">
      <c r="B123" s="168"/>
      <c r="C123" s="115" t="s">
        <v>195</v>
      </c>
      <c r="D123" s="91" t="s">
        <v>436</v>
      </c>
      <c r="E123" s="94" t="s">
        <v>552</v>
      </c>
      <c r="F123" s="91" t="str">
        <f t="shared" si="2"/>
        <v>Ofertas-Semanal</v>
      </c>
      <c r="G123" s="114" t="str">
        <f t="shared" si="3"/>
        <v>Ofertas-Semanal-Depende del provedor</v>
      </c>
    </row>
    <row r="124" spans="2:7" x14ac:dyDescent="0.25">
      <c r="B124" s="168"/>
      <c r="C124" s="115" t="s">
        <v>440</v>
      </c>
      <c r="D124" s="91" t="s">
        <v>437</v>
      </c>
      <c r="E124" s="94" t="s">
        <v>585</v>
      </c>
      <c r="F124" s="91" t="str">
        <f t="shared" si="2"/>
        <v>Domicilios-Diario</v>
      </c>
      <c r="G124" s="114" t="str">
        <f t="shared" si="3"/>
        <v>Domicilios-Diario-Personal todo el tiempo</v>
      </c>
    </row>
    <row r="125" spans="2:7" x14ac:dyDescent="0.25">
      <c r="B125" s="168"/>
      <c r="C125" s="115" t="s">
        <v>448</v>
      </c>
      <c r="D125" s="91" t="s">
        <v>437</v>
      </c>
      <c r="E125" s="94" t="s">
        <v>586</v>
      </c>
      <c r="F125" s="91" t="str">
        <f t="shared" si="2"/>
        <v>Asesoramiento-Diario</v>
      </c>
      <c r="G125" s="114" t="str">
        <f t="shared" si="3"/>
        <v>Asesoramiento-Diario-Aclarando preguntas</v>
      </c>
    </row>
    <row r="126" spans="2:7" x14ac:dyDescent="0.25">
      <c r="B126" s="168"/>
      <c r="C126" s="101" t="s">
        <v>441</v>
      </c>
      <c r="D126" s="92" t="s">
        <v>437</v>
      </c>
      <c r="E126" s="95" t="s">
        <v>446</v>
      </c>
      <c r="F126" s="92" t="str">
        <f t="shared" si="2"/>
        <v>Atención al Cliente-Diario</v>
      </c>
      <c r="G126" s="114" t="str">
        <f t="shared" si="3"/>
        <v>Atención al Cliente-Diario-Atención en el Establecimiento</v>
      </c>
    </row>
    <row r="127" spans="2:7" x14ac:dyDescent="0.25">
      <c r="B127" s="168">
        <v>47</v>
      </c>
      <c r="C127" s="115" t="s">
        <v>440</v>
      </c>
      <c r="D127" s="90" t="s">
        <v>436</v>
      </c>
      <c r="E127" s="93" t="s">
        <v>581</v>
      </c>
      <c r="F127" s="90" t="str">
        <f t="shared" si="2"/>
        <v>Domicilios-Semanal</v>
      </c>
      <c r="G127" s="114" t="str">
        <f t="shared" si="3"/>
        <v>Domicilios-Semanal-En moto del almacen</v>
      </c>
    </row>
    <row r="128" spans="2:7" x14ac:dyDescent="0.25">
      <c r="B128" s="168"/>
      <c r="C128" s="115" t="s">
        <v>441</v>
      </c>
      <c r="D128" s="91" t="s">
        <v>437</v>
      </c>
      <c r="E128" s="94" t="s">
        <v>573</v>
      </c>
      <c r="F128" s="91" t="str">
        <f t="shared" si="2"/>
        <v>Atención al Cliente-Diario</v>
      </c>
      <c r="G128" s="114" t="str">
        <f t="shared" si="3"/>
        <v>Atención al Cliente-Diario-Personal</v>
      </c>
    </row>
    <row r="129" spans="2:7" x14ac:dyDescent="0.25">
      <c r="B129" s="1">
        <v>48</v>
      </c>
      <c r="C129" s="99" t="s">
        <v>440</v>
      </c>
      <c r="D129" s="90" t="s">
        <v>437</v>
      </c>
      <c r="E129" s="93" t="s">
        <v>587</v>
      </c>
      <c r="F129" s="90" t="str">
        <f t="shared" si="2"/>
        <v>Domicilios-Diario</v>
      </c>
      <c r="G129" s="114" t="str">
        <f t="shared" si="3"/>
        <v>Domicilios-Diario-Entrego el domicilio personal</v>
      </c>
    </row>
    <row r="130" spans="2:7" x14ac:dyDescent="0.25">
      <c r="B130" s="1">
        <v>49</v>
      </c>
      <c r="C130" s="99" t="s">
        <v>440</v>
      </c>
      <c r="D130" s="90" t="s">
        <v>437</v>
      </c>
      <c r="E130" s="93" t="s">
        <v>553</v>
      </c>
      <c r="F130" s="90" t="str">
        <f t="shared" si="2"/>
        <v>Domicilios-Diario</v>
      </c>
      <c r="G130" s="114" t="str">
        <f t="shared" si="3"/>
        <v>Domicilios-Diario-Puerta a Puerta</v>
      </c>
    </row>
    <row r="131" spans="2:7" x14ac:dyDescent="0.25">
      <c r="B131" s="168">
        <v>50</v>
      </c>
      <c r="C131" s="99" t="s">
        <v>195</v>
      </c>
      <c r="D131" s="90" t="s">
        <v>442</v>
      </c>
      <c r="E131" s="93" t="s">
        <v>552</v>
      </c>
      <c r="F131" s="90" t="str">
        <f t="shared" si="2"/>
        <v>Ofertas-Mensual</v>
      </c>
      <c r="G131" s="114" t="str">
        <f t="shared" si="3"/>
        <v>Ofertas-Mensual-Depende del provedor</v>
      </c>
    </row>
    <row r="132" spans="2:7" x14ac:dyDescent="0.25">
      <c r="B132" s="168"/>
      <c r="C132" s="115" t="s">
        <v>440</v>
      </c>
      <c r="D132" s="91" t="s">
        <v>437</v>
      </c>
      <c r="E132" s="94" t="s">
        <v>553</v>
      </c>
      <c r="F132" s="91" t="str">
        <f t="shared" si="2"/>
        <v>Domicilios-Diario</v>
      </c>
      <c r="G132" s="114" t="str">
        <f t="shared" si="3"/>
        <v>Domicilios-Diario-Puerta a Puerta</v>
      </c>
    </row>
    <row r="133" spans="2:7" x14ac:dyDescent="0.25">
      <c r="B133" s="168"/>
      <c r="C133" s="115" t="s">
        <v>441</v>
      </c>
      <c r="D133" s="91" t="s">
        <v>437</v>
      </c>
      <c r="E133" s="94" t="s">
        <v>446</v>
      </c>
      <c r="F133" s="91" t="str">
        <f t="shared" ref="F133:F196" si="4">CONCATENATE(C133,"-",D133)</f>
        <v>Atención al Cliente-Diario</v>
      </c>
      <c r="G133" s="114" t="str">
        <f t="shared" ref="G133:G196" si="5">CONCATENATE(C133,"-",D133,"-",E133)</f>
        <v>Atención al Cliente-Diario-Atención en el Establecimiento</v>
      </c>
    </row>
    <row r="134" spans="2:7" x14ac:dyDescent="0.25">
      <c r="B134" s="168">
        <v>51</v>
      </c>
      <c r="C134" s="99" t="s">
        <v>178</v>
      </c>
      <c r="D134" s="90" t="s">
        <v>442</v>
      </c>
      <c r="E134" s="93" t="s">
        <v>552</v>
      </c>
      <c r="F134" s="90" t="str">
        <f t="shared" si="4"/>
        <v>Promociones-Mensual</v>
      </c>
      <c r="G134" s="114" t="str">
        <f t="shared" si="5"/>
        <v>Promociones-Mensual-Depende del provedor</v>
      </c>
    </row>
    <row r="135" spans="2:7" x14ac:dyDescent="0.25">
      <c r="B135" s="168"/>
      <c r="C135" s="115" t="s">
        <v>441</v>
      </c>
      <c r="D135" s="91" t="s">
        <v>437</v>
      </c>
      <c r="E135" s="94" t="s">
        <v>446</v>
      </c>
      <c r="F135" s="91" t="str">
        <f t="shared" si="4"/>
        <v>Atención al Cliente-Diario</v>
      </c>
      <c r="G135" s="114" t="str">
        <f t="shared" si="5"/>
        <v>Atención al Cliente-Diario-Atención en el Establecimiento</v>
      </c>
    </row>
    <row r="136" spans="2:7" x14ac:dyDescent="0.25">
      <c r="B136" s="168">
        <v>52</v>
      </c>
      <c r="C136" s="99" t="s">
        <v>439</v>
      </c>
      <c r="D136" s="98" t="s">
        <v>437</v>
      </c>
      <c r="E136" s="93" t="s">
        <v>588</v>
      </c>
      <c r="F136" s="98" t="str">
        <f t="shared" si="4"/>
        <v>Descuento-Diario</v>
      </c>
      <c r="G136" s="114" t="str">
        <f t="shared" si="5"/>
        <v>Descuento-Diario-Según la compra</v>
      </c>
    </row>
    <row r="137" spans="2:7" x14ac:dyDescent="0.25">
      <c r="B137" s="168"/>
      <c r="C137" s="115" t="s">
        <v>195</v>
      </c>
      <c r="D137" s="96" t="s">
        <v>637</v>
      </c>
      <c r="E137" s="94" t="s">
        <v>552</v>
      </c>
      <c r="F137" s="96" t="str">
        <f t="shared" si="4"/>
        <v>Ofertas-Ocasional</v>
      </c>
      <c r="G137" s="114" t="str">
        <f t="shared" si="5"/>
        <v>Ofertas-Ocasional-Depende del provedor</v>
      </c>
    </row>
    <row r="138" spans="2:7" x14ac:dyDescent="0.25">
      <c r="B138" s="168"/>
      <c r="C138" s="115" t="s">
        <v>441</v>
      </c>
      <c r="D138" s="96" t="s">
        <v>437</v>
      </c>
      <c r="E138" s="94" t="s">
        <v>589</v>
      </c>
      <c r="F138" s="96" t="str">
        <f t="shared" si="4"/>
        <v>Atención al Cliente-Diario</v>
      </c>
      <c r="G138" s="114" t="str">
        <f t="shared" si="5"/>
        <v>Atención al Cliente-Diario-Con la venta de productos</v>
      </c>
    </row>
    <row r="139" spans="2:7" x14ac:dyDescent="0.25">
      <c r="B139" s="1">
        <v>53</v>
      </c>
      <c r="C139" s="99"/>
      <c r="D139" s="90"/>
      <c r="E139" s="93"/>
      <c r="F139" s="90" t="str">
        <f t="shared" si="4"/>
        <v>-</v>
      </c>
      <c r="G139" s="114" t="str">
        <f t="shared" si="5"/>
        <v>--</v>
      </c>
    </row>
    <row r="140" spans="2:7" x14ac:dyDescent="0.25">
      <c r="B140" s="168">
        <v>54</v>
      </c>
      <c r="C140" s="99" t="s">
        <v>178</v>
      </c>
      <c r="D140" s="90" t="s">
        <v>509</v>
      </c>
      <c r="E140" s="93" t="s">
        <v>444</v>
      </c>
      <c r="F140" s="90" t="str">
        <f t="shared" si="4"/>
        <v>Promociones-Quincenal</v>
      </c>
      <c r="G140" s="114" t="str">
        <f t="shared" si="5"/>
        <v>Promociones-Quincenal-Dos por Uno</v>
      </c>
    </row>
    <row r="141" spans="2:7" x14ac:dyDescent="0.25">
      <c r="B141" s="168"/>
      <c r="C141" s="115" t="s">
        <v>439</v>
      </c>
      <c r="D141" s="91" t="s">
        <v>436</v>
      </c>
      <c r="E141" s="94" t="s">
        <v>590</v>
      </c>
      <c r="F141" s="91" t="str">
        <f t="shared" si="4"/>
        <v>Descuento-Semanal</v>
      </c>
      <c r="G141" s="114" t="str">
        <f t="shared" si="5"/>
        <v>Descuento-Semanal-Ventas mayores a 50 mil</v>
      </c>
    </row>
    <row r="142" spans="2:7" x14ac:dyDescent="0.25">
      <c r="B142" s="168"/>
      <c r="C142" s="115" t="s">
        <v>195</v>
      </c>
      <c r="D142" s="91" t="s">
        <v>442</v>
      </c>
      <c r="E142" s="94" t="s">
        <v>552</v>
      </c>
      <c r="F142" s="91" t="str">
        <f t="shared" si="4"/>
        <v>Ofertas-Mensual</v>
      </c>
      <c r="G142" s="114" t="str">
        <f t="shared" si="5"/>
        <v>Ofertas-Mensual-Depende del provedor</v>
      </c>
    </row>
    <row r="143" spans="2:7" x14ac:dyDescent="0.25">
      <c r="B143" s="168"/>
      <c r="C143" s="115" t="s">
        <v>440</v>
      </c>
      <c r="D143" s="91" t="s">
        <v>437</v>
      </c>
      <c r="E143" s="94" t="s">
        <v>591</v>
      </c>
      <c r="F143" s="91" t="str">
        <f t="shared" si="4"/>
        <v>Domicilios-Diario</v>
      </c>
      <c r="G143" s="114" t="str">
        <f t="shared" si="5"/>
        <v>Domicilios-Diario-Todas las compras</v>
      </c>
    </row>
    <row r="144" spans="2:7" x14ac:dyDescent="0.25">
      <c r="B144" s="168"/>
      <c r="C144" s="101" t="s">
        <v>441</v>
      </c>
      <c r="D144" s="92" t="s">
        <v>437</v>
      </c>
      <c r="E144" s="95" t="s">
        <v>592</v>
      </c>
      <c r="F144" s="92" t="str">
        <f t="shared" si="4"/>
        <v>Atención al Cliente-Diario</v>
      </c>
      <c r="G144" s="114" t="str">
        <f t="shared" si="5"/>
        <v>Atención al Cliente-Diario-Se garantiza los productos</v>
      </c>
    </row>
    <row r="145" spans="2:7" x14ac:dyDescent="0.25">
      <c r="B145" s="168">
        <v>55</v>
      </c>
      <c r="C145" s="99" t="s">
        <v>448</v>
      </c>
      <c r="D145" s="90" t="s">
        <v>437</v>
      </c>
      <c r="E145" s="93"/>
      <c r="F145" s="90" t="str">
        <f t="shared" si="4"/>
        <v>Asesoramiento-Diario</v>
      </c>
      <c r="G145" s="114" t="str">
        <f t="shared" si="5"/>
        <v>Asesoramiento-Diario-</v>
      </c>
    </row>
    <row r="146" spans="2:7" x14ac:dyDescent="0.25">
      <c r="B146" s="168"/>
      <c r="C146" s="115" t="s">
        <v>440</v>
      </c>
      <c r="D146" s="91" t="s">
        <v>437</v>
      </c>
      <c r="E146" s="94"/>
      <c r="F146" s="91" t="str">
        <f t="shared" si="4"/>
        <v>Domicilios-Diario</v>
      </c>
      <c r="G146" s="114" t="str">
        <f t="shared" si="5"/>
        <v>Domicilios-Diario-</v>
      </c>
    </row>
    <row r="147" spans="2:7" x14ac:dyDescent="0.25">
      <c r="B147" s="168"/>
      <c r="C147" s="101" t="s">
        <v>441</v>
      </c>
      <c r="D147" s="92" t="s">
        <v>437</v>
      </c>
      <c r="E147" s="95"/>
      <c r="F147" s="92" t="str">
        <f t="shared" si="4"/>
        <v>Atención al Cliente-Diario</v>
      </c>
      <c r="G147" s="114" t="str">
        <f t="shared" si="5"/>
        <v>Atención al Cliente-Diario-</v>
      </c>
    </row>
    <row r="148" spans="2:7" x14ac:dyDescent="0.25">
      <c r="B148" s="168">
        <v>56</v>
      </c>
      <c r="C148" s="99" t="s">
        <v>178</v>
      </c>
      <c r="D148" s="90" t="s">
        <v>442</v>
      </c>
      <c r="E148" s="93" t="s">
        <v>444</v>
      </c>
      <c r="F148" s="90" t="str">
        <f t="shared" si="4"/>
        <v>Promociones-Mensual</v>
      </c>
      <c r="G148" s="114" t="str">
        <f t="shared" si="5"/>
        <v>Promociones-Mensual-Dos por Uno</v>
      </c>
    </row>
    <row r="149" spans="2:7" x14ac:dyDescent="0.25">
      <c r="B149" s="168"/>
      <c r="C149" s="115" t="s">
        <v>439</v>
      </c>
      <c r="D149" s="91" t="s">
        <v>442</v>
      </c>
      <c r="E149" s="94" t="s">
        <v>552</v>
      </c>
      <c r="F149" s="91" t="str">
        <f t="shared" si="4"/>
        <v>Descuento-Mensual</v>
      </c>
      <c r="G149" s="114" t="str">
        <f t="shared" si="5"/>
        <v>Descuento-Mensual-Depende del provedor</v>
      </c>
    </row>
    <row r="150" spans="2:7" x14ac:dyDescent="0.25">
      <c r="B150" s="168"/>
      <c r="C150" s="115" t="s">
        <v>440</v>
      </c>
      <c r="D150" s="91" t="s">
        <v>437</v>
      </c>
      <c r="E150" s="94" t="s">
        <v>553</v>
      </c>
      <c r="F150" s="91" t="str">
        <f t="shared" si="4"/>
        <v>Domicilios-Diario</v>
      </c>
      <c r="G150" s="114" t="str">
        <f t="shared" si="5"/>
        <v>Domicilios-Diario-Puerta a Puerta</v>
      </c>
    </row>
    <row r="151" spans="2:7" x14ac:dyDescent="0.25">
      <c r="B151" s="168"/>
      <c r="C151" s="101" t="s">
        <v>441</v>
      </c>
      <c r="D151" s="92" t="s">
        <v>437</v>
      </c>
      <c r="E151" s="95" t="s">
        <v>446</v>
      </c>
      <c r="F151" s="92" t="str">
        <f t="shared" si="4"/>
        <v>Atención al Cliente-Diario</v>
      </c>
      <c r="G151" s="114" t="str">
        <f t="shared" si="5"/>
        <v>Atención al Cliente-Diario-Atención en el Establecimiento</v>
      </c>
    </row>
    <row r="152" spans="2:7" x14ac:dyDescent="0.25">
      <c r="B152" s="168">
        <v>57</v>
      </c>
      <c r="C152" s="99" t="s">
        <v>195</v>
      </c>
      <c r="D152" s="90" t="s">
        <v>637</v>
      </c>
      <c r="E152" s="93" t="s">
        <v>552</v>
      </c>
      <c r="F152" s="90" t="str">
        <f t="shared" si="4"/>
        <v>Ofertas-Ocasional</v>
      </c>
      <c r="G152" s="114" t="str">
        <f t="shared" si="5"/>
        <v>Ofertas-Ocasional-Depende del provedor</v>
      </c>
    </row>
    <row r="153" spans="2:7" x14ac:dyDescent="0.25">
      <c r="B153" s="168"/>
      <c r="C153" s="115" t="s">
        <v>441</v>
      </c>
      <c r="D153" s="91" t="s">
        <v>437</v>
      </c>
      <c r="E153" s="94" t="s">
        <v>446</v>
      </c>
      <c r="F153" s="91" t="str">
        <f t="shared" si="4"/>
        <v>Atención al Cliente-Diario</v>
      </c>
      <c r="G153" s="114" t="str">
        <f t="shared" si="5"/>
        <v>Atención al Cliente-Diario-Atención en el Establecimiento</v>
      </c>
    </row>
    <row r="154" spans="2:7" x14ac:dyDescent="0.25">
      <c r="B154" s="168">
        <v>58</v>
      </c>
      <c r="C154" s="99" t="s">
        <v>448</v>
      </c>
      <c r="D154" s="90" t="s">
        <v>437</v>
      </c>
      <c r="E154" s="93"/>
      <c r="F154" s="90" t="str">
        <f t="shared" si="4"/>
        <v>Asesoramiento-Diario</v>
      </c>
      <c r="G154" s="114" t="str">
        <f t="shared" si="5"/>
        <v>Asesoramiento-Diario-</v>
      </c>
    </row>
    <row r="155" spans="2:7" x14ac:dyDescent="0.25">
      <c r="B155" s="168"/>
      <c r="C155" s="115" t="s">
        <v>441</v>
      </c>
      <c r="D155" s="91" t="s">
        <v>437</v>
      </c>
      <c r="E155" s="94"/>
      <c r="F155" s="91" t="str">
        <f t="shared" si="4"/>
        <v>Atención al Cliente-Diario</v>
      </c>
      <c r="G155" s="114" t="str">
        <f t="shared" si="5"/>
        <v>Atención al Cliente-Diario-</v>
      </c>
    </row>
    <row r="156" spans="2:7" x14ac:dyDescent="0.25">
      <c r="B156" s="168">
        <v>59</v>
      </c>
      <c r="C156" s="99" t="s">
        <v>439</v>
      </c>
      <c r="D156" s="90" t="s">
        <v>442</v>
      </c>
      <c r="E156" s="93" t="s">
        <v>593</v>
      </c>
      <c r="F156" s="90" t="str">
        <f t="shared" si="4"/>
        <v>Descuento-Mensual</v>
      </c>
      <c r="G156" s="114" t="str">
        <f t="shared" si="5"/>
        <v>Descuento-Mensual-Depende del Cliente</v>
      </c>
    </row>
    <row r="157" spans="2:7" x14ac:dyDescent="0.25">
      <c r="B157" s="168"/>
      <c r="C157" s="115" t="s">
        <v>195</v>
      </c>
      <c r="D157" s="91" t="s">
        <v>637</v>
      </c>
      <c r="E157" s="94" t="s">
        <v>594</v>
      </c>
      <c r="F157" s="91" t="str">
        <f t="shared" si="4"/>
        <v>Ofertas-Ocasional</v>
      </c>
      <c r="G157" s="114" t="str">
        <f t="shared" si="5"/>
        <v>Ofertas-Ocasional-Según las promosiones de la marca</v>
      </c>
    </row>
    <row r="158" spans="2:7" x14ac:dyDescent="0.25">
      <c r="B158" s="168"/>
      <c r="C158" s="115" t="s">
        <v>441</v>
      </c>
      <c r="D158" s="91" t="s">
        <v>437</v>
      </c>
      <c r="E158" s="94" t="s">
        <v>446</v>
      </c>
      <c r="F158" s="91" t="str">
        <f t="shared" si="4"/>
        <v>Atención al Cliente-Diario</v>
      </c>
      <c r="G158" s="114" t="str">
        <f t="shared" si="5"/>
        <v>Atención al Cliente-Diario-Atención en el Establecimiento</v>
      </c>
    </row>
    <row r="159" spans="2:7" x14ac:dyDescent="0.25">
      <c r="B159" s="168">
        <v>60</v>
      </c>
      <c r="C159" s="99" t="s">
        <v>178</v>
      </c>
      <c r="D159" s="90" t="s">
        <v>442</v>
      </c>
      <c r="E159" s="93" t="s">
        <v>552</v>
      </c>
      <c r="F159" s="90" t="str">
        <f t="shared" si="4"/>
        <v>Promociones-Mensual</v>
      </c>
      <c r="G159" s="114" t="str">
        <f t="shared" si="5"/>
        <v>Promociones-Mensual-Depende del provedor</v>
      </c>
    </row>
    <row r="160" spans="2:7" x14ac:dyDescent="0.25">
      <c r="B160" s="168"/>
      <c r="C160" s="115" t="s">
        <v>439</v>
      </c>
      <c r="D160" s="91" t="s">
        <v>442</v>
      </c>
      <c r="E160" s="94" t="s">
        <v>593</v>
      </c>
      <c r="F160" s="91" t="str">
        <f t="shared" si="4"/>
        <v>Descuento-Mensual</v>
      </c>
      <c r="G160" s="114" t="str">
        <f t="shared" si="5"/>
        <v>Descuento-Mensual-Depende del Cliente</v>
      </c>
    </row>
    <row r="161" spans="2:7" x14ac:dyDescent="0.25">
      <c r="B161" s="168"/>
      <c r="C161" s="115" t="s">
        <v>440</v>
      </c>
      <c r="D161" s="91" t="s">
        <v>437</v>
      </c>
      <c r="E161" s="94" t="s">
        <v>553</v>
      </c>
      <c r="F161" s="91" t="str">
        <f t="shared" si="4"/>
        <v>Domicilios-Diario</v>
      </c>
      <c r="G161" s="114" t="str">
        <f t="shared" si="5"/>
        <v>Domicilios-Diario-Puerta a Puerta</v>
      </c>
    </row>
    <row r="162" spans="2:7" x14ac:dyDescent="0.25">
      <c r="B162" s="168"/>
      <c r="C162" s="101" t="s">
        <v>441</v>
      </c>
      <c r="D162" s="92" t="s">
        <v>437</v>
      </c>
      <c r="E162" s="95" t="s">
        <v>573</v>
      </c>
      <c r="F162" s="92" t="str">
        <f t="shared" si="4"/>
        <v>Atención al Cliente-Diario</v>
      </c>
      <c r="G162" s="114" t="str">
        <f t="shared" si="5"/>
        <v>Atención al Cliente-Diario-Personal</v>
      </c>
    </row>
    <row r="163" spans="2:7" x14ac:dyDescent="0.25">
      <c r="B163" s="1">
        <v>61</v>
      </c>
      <c r="C163" s="99" t="s">
        <v>441</v>
      </c>
      <c r="D163" s="90" t="s">
        <v>437</v>
      </c>
      <c r="E163" s="93"/>
      <c r="F163" s="90" t="str">
        <f t="shared" si="4"/>
        <v>Atención al Cliente-Diario</v>
      </c>
      <c r="G163" s="114" t="str">
        <f t="shared" si="5"/>
        <v>Atención al Cliente-Diario-</v>
      </c>
    </row>
    <row r="164" spans="2:7" x14ac:dyDescent="0.25">
      <c r="B164" s="168">
        <v>62</v>
      </c>
      <c r="C164" s="99" t="s">
        <v>448</v>
      </c>
      <c r="D164" s="90" t="s">
        <v>437</v>
      </c>
      <c r="E164" s="93"/>
      <c r="F164" s="90" t="str">
        <f t="shared" si="4"/>
        <v>Asesoramiento-Diario</v>
      </c>
      <c r="G164" s="114" t="str">
        <f t="shared" si="5"/>
        <v>Asesoramiento-Diario-</v>
      </c>
    </row>
    <row r="165" spans="2:7" x14ac:dyDescent="0.25">
      <c r="B165" s="168"/>
      <c r="C165" s="115" t="s">
        <v>441</v>
      </c>
      <c r="D165" s="91" t="s">
        <v>437</v>
      </c>
      <c r="E165" s="94"/>
      <c r="F165" s="91" t="str">
        <f t="shared" si="4"/>
        <v>Atención al Cliente-Diario</v>
      </c>
      <c r="G165" s="114" t="str">
        <f t="shared" si="5"/>
        <v>Atención al Cliente-Diario-</v>
      </c>
    </row>
    <row r="166" spans="2:7" x14ac:dyDescent="0.25">
      <c r="B166" s="168">
        <v>63</v>
      </c>
      <c r="C166" s="99" t="s">
        <v>178</v>
      </c>
      <c r="D166" s="90" t="s">
        <v>442</v>
      </c>
      <c r="E166" s="93" t="s">
        <v>552</v>
      </c>
      <c r="F166" s="90" t="str">
        <f t="shared" si="4"/>
        <v>Promociones-Mensual</v>
      </c>
      <c r="G166" s="114" t="str">
        <f t="shared" si="5"/>
        <v>Promociones-Mensual-Depende del provedor</v>
      </c>
    </row>
    <row r="167" spans="2:7" x14ac:dyDescent="0.25">
      <c r="B167" s="168"/>
      <c r="C167" s="115" t="s">
        <v>439</v>
      </c>
      <c r="D167" s="91" t="s">
        <v>437</v>
      </c>
      <c r="E167" s="94"/>
      <c r="F167" s="91" t="str">
        <f t="shared" si="4"/>
        <v>Descuento-Diario</v>
      </c>
      <c r="G167" s="114" t="str">
        <f t="shared" si="5"/>
        <v>Descuento-Diario-</v>
      </c>
    </row>
    <row r="168" spans="2:7" x14ac:dyDescent="0.25">
      <c r="B168" s="168"/>
      <c r="C168" s="115" t="s">
        <v>195</v>
      </c>
      <c r="D168" s="91" t="s">
        <v>509</v>
      </c>
      <c r="E168" s="94"/>
      <c r="F168" s="91" t="str">
        <f t="shared" si="4"/>
        <v>Ofertas-Quincenal</v>
      </c>
      <c r="G168" s="114" t="str">
        <f t="shared" si="5"/>
        <v>Ofertas-Quincenal-</v>
      </c>
    </row>
    <row r="169" spans="2:7" x14ac:dyDescent="0.25">
      <c r="B169" s="168"/>
      <c r="C169" s="115" t="s">
        <v>448</v>
      </c>
      <c r="D169" s="91" t="s">
        <v>437</v>
      </c>
      <c r="E169" s="94" t="s">
        <v>446</v>
      </c>
      <c r="F169" s="91" t="str">
        <f t="shared" si="4"/>
        <v>Asesoramiento-Diario</v>
      </c>
      <c r="G169" s="114" t="str">
        <f t="shared" si="5"/>
        <v>Asesoramiento-Diario-Atención en el Establecimiento</v>
      </c>
    </row>
    <row r="170" spans="2:7" x14ac:dyDescent="0.25">
      <c r="B170" s="168"/>
      <c r="C170" s="115" t="s">
        <v>440</v>
      </c>
      <c r="D170" s="91" t="s">
        <v>437</v>
      </c>
      <c r="E170" s="94" t="s">
        <v>553</v>
      </c>
      <c r="F170" s="91" t="str">
        <f t="shared" si="4"/>
        <v>Domicilios-Diario</v>
      </c>
      <c r="G170" s="114" t="str">
        <f t="shared" si="5"/>
        <v>Domicilios-Diario-Puerta a Puerta</v>
      </c>
    </row>
    <row r="171" spans="2:7" x14ac:dyDescent="0.25">
      <c r="B171" s="168"/>
      <c r="C171" s="101" t="s">
        <v>441</v>
      </c>
      <c r="D171" s="92" t="s">
        <v>437</v>
      </c>
      <c r="E171" s="95"/>
      <c r="F171" s="92" t="str">
        <f t="shared" si="4"/>
        <v>Atención al Cliente-Diario</v>
      </c>
      <c r="G171" s="114" t="str">
        <f t="shared" si="5"/>
        <v>Atención al Cliente-Diario-</v>
      </c>
    </row>
    <row r="172" spans="2:7" x14ac:dyDescent="0.25">
      <c r="B172" s="168">
        <v>64</v>
      </c>
      <c r="C172" s="99" t="s">
        <v>448</v>
      </c>
      <c r="D172" s="90" t="s">
        <v>437</v>
      </c>
      <c r="E172" s="93"/>
      <c r="F172" s="90" t="str">
        <f t="shared" si="4"/>
        <v>Asesoramiento-Diario</v>
      </c>
      <c r="G172" s="114" t="str">
        <f t="shared" si="5"/>
        <v>Asesoramiento-Diario-</v>
      </c>
    </row>
    <row r="173" spans="2:7" x14ac:dyDescent="0.25">
      <c r="B173" s="168"/>
      <c r="C173" s="115" t="s">
        <v>440</v>
      </c>
      <c r="D173" s="91" t="s">
        <v>437</v>
      </c>
      <c r="E173" s="94"/>
      <c r="F173" s="91" t="str">
        <f t="shared" si="4"/>
        <v>Domicilios-Diario</v>
      </c>
      <c r="G173" s="114" t="str">
        <f t="shared" si="5"/>
        <v>Domicilios-Diario-</v>
      </c>
    </row>
    <row r="174" spans="2:7" x14ac:dyDescent="0.25">
      <c r="B174" s="168"/>
      <c r="C174" s="115" t="s">
        <v>441</v>
      </c>
      <c r="D174" s="91" t="s">
        <v>437</v>
      </c>
      <c r="E174" s="94"/>
      <c r="F174" s="91" t="str">
        <f t="shared" si="4"/>
        <v>Atención al Cliente-Diario</v>
      </c>
      <c r="G174" s="114" t="str">
        <f t="shared" si="5"/>
        <v>Atención al Cliente-Diario-</v>
      </c>
    </row>
    <row r="175" spans="2:7" x14ac:dyDescent="0.25">
      <c r="B175" s="1">
        <v>65</v>
      </c>
      <c r="C175" s="99" t="s">
        <v>441</v>
      </c>
      <c r="D175" s="90" t="s">
        <v>437</v>
      </c>
      <c r="E175" s="93"/>
      <c r="F175" s="90" t="str">
        <f t="shared" si="4"/>
        <v>Atención al Cliente-Diario</v>
      </c>
      <c r="G175" s="114" t="str">
        <f t="shared" si="5"/>
        <v>Atención al Cliente-Diario-</v>
      </c>
    </row>
    <row r="176" spans="2:7" x14ac:dyDescent="0.25">
      <c r="B176" s="1">
        <v>66</v>
      </c>
      <c r="C176" s="99" t="s">
        <v>441</v>
      </c>
      <c r="D176" s="90" t="s">
        <v>437</v>
      </c>
      <c r="E176" s="93"/>
      <c r="F176" s="90" t="str">
        <f t="shared" si="4"/>
        <v>Atención al Cliente-Diario</v>
      </c>
      <c r="G176" s="114" t="str">
        <f t="shared" si="5"/>
        <v>Atención al Cliente-Diario-</v>
      </c>
    </row>
    <row r="177" spans="2:7" x14ac:dyDescent="0.25">
      <c r="B177" s="168">
        <v>67</v>
      </c>
      <c r="C177" s="99" t="s">
        <v>178</v>
      </c>
      <c r="D177" s="90" t="s">
        <v>436</v>
      </c>
      <c r="E177" s="93" t="s">
        <v>595</v>
      </c>
      <c r="F177" s="90" t="str">
        <f t="shared" si="4"/>
        <v>Promociones-Semanal</v>
      </c>
      <c r="G177" s="114" t="str">
        <f t="shared" si="5"/>
        <v>Promociones-Semanal-Proyección del mejoramiento</v>
      </c>
    </row>
    <row r="178" spans="2:7" x14ac:dyDescent="0.25">
      <c r="B178" s="168"/>
      <c r="C178" s="115" t="s">
        <v>439</v>
      </c>
      <c r="D178" s="91" t="s">
        <v>436</v>
      </c>
      <c r="E178" s="94" t="s">
        <v>596</v>
      </c>
      <c r="F178" s="91" t="str">
        <f t="shared" si="4"/>
        <v>Descuento-Semanal</v>
      </c>
      <c r="G178" s="114" t="str">
        <f t="shared" si="5"/>
        <v>Descuento-Semanal-Proyección de ventas</v>
      </c>
    </row>
    <row r="179" spans="2:7" x14ac:dyDescent="0.25">
      <c r="B179" s="168"/>
      <c r="C179" s="115" t="s">
        <v>195</v>
      </c>
      <c r="D179" s="91" t="s">
        <v>509</v>
      </c>
      <c r="E179" s="94" t="s">
        <v>597</v>
      </c>
      <c r="F179" s="91" t="str">
        <f t="shared" si="4"/>
        <v>Ofertas-Quincenal</v>
      </c>
      <c r="G179" s="114" t="str">
        <f t="shared" si="5"/>
        <v>Ofertas-Quincenal-Mejoramietno de mercado</v>
      </c>
    </row>
    <row r="180" spans="2:7" x14ac:dyDescent="0.25">
      <c r="B180" s="168"/>
      <c r="C180" s="115" t="s">
        <v>448</v>
      </c>
      <c r="D180" s="91" t="s">
        <v>436</v>
      </c>
      <c r="E180" s="94" t="s">
        <v>598</v>
      </c>
      <c r="F180" s="91" t="str">
        <f t="shared" si="4"/>
        <v>Asesoramiento-Semanal</v>
      </c>
      <c r="G180" s="114" t="str">
        <f t="shared" si="5"/>
        <v>Asesoramiento-Semanal-Proyección de mejoramiento y calidad</v>
      </c>
    </row>
    <row r="181" spans="2:7" x14ac:dyDescent="0.25">
      <c r="B181" s="168"/>
      <c r="C181" s="115" t="s">
        <v>440</v>
      </c>
      <c r="D181" s="91" t="s">
        <v>437</v>
      </c>
      <c r="E181" s="94" t="s">
        <v>599</v>
      </c>
      <c r="F181" s="91" t="str">
        <f t="shared" si="4"/>
        <v>Domicilios-Diario</v>
      </c>
      <c r="G181" s="114" t="str">
        <f t="shared" si="5"/>
        <v>Domicilios-Diario-Ejecucción de planes de venta</v>
      </c>
    </row>
    <row r="182" spans="2:7" x14ac:dyDescent="0.25">
      <c r="B182" s="168"/>
      <c r="C182" s="101" t="s">
        <v>441</v>
      </c>
      <c r="D182" s="92" t="s">
        <v>437</v>
      </c>
      <c r="E182" s="95" t="s">
        <v>600</v>
      </c>
      <c r="F182" s="92" t="str">
        <f t="shared" si="4"/>
        <v>Atención al Cliente-Diario</v>
      </c>
      <c r="G182" s="114" t="str">
        <f t="shared" si="5"/>
        <v>Atención al Cliente-Diario-Mejoramietno y calidad de ventas</v>
      </c>
    </row>
    <row r="183" spans="2:7" x14ac:dyDescent="0.25">
      <c r="B183" s="1">
        <v>68</v>
      </c>
      <c r="C183" s="116"/>
      <c r="D183" s="114"/>
      <c r="E183" s="118"/>
      <c r="F183" s="114" t="str">
        <f t="shared" si="4"/>
        <v>-</v>
      </c>
      <c r="G183" s="114" t="str">
        <f t="shared" si="5"/>
        <v>--</v>
      </c>
    </row>
    <row r="184" spans="2:7" x14ac:dyDescent="0.25">
      <c r="B184" s="168">
        <v>69</v>
      </c>
      <c r="C184" s="99" t="s">
        <v>178</v>
      </c>
      <c r="D184" s="90" t="s">
        <v>442</v>
      </c>
      <c r="E184" s="93" t="s">
        <v>601</v>
      </c>
      <c r="F184" s="90" t="str">
        <f t="shared" si="4"/>
        <v>Promociones-Mensual</v>
      </c>
      <c r="G184" s="114" t="str">
        <f t="shared" si="5"/>
        <v>Promociones-Mensual-Catalogos de promociones</v>
      </c>
    </row>
    <row r="185" spans="2:7" x14ac:dyDescent="0.25">
      <c r="B185" s="168"/>
      <c r="C185" s="115" t="s">
        <v>439</v>
      </c>
      <c r="D185" s="91" t="s">
        <v>509</v>
      </c>
      <c r="E185" s="94" t="s">
        <v>195</v>
      </c>
      <c r="F185" s="91" t="str">
        <f t="shared" si="4"/>
        <v>Descuento-Quincenal</v>
      </c>
      <c r="G185" s="114" t="str">
        <f t="shared" si="5"/>
        <v>Descuento-Quincenal-Ofertas</v>
      </c>
    </row>
    <row r="186" spans="2:7" x14ac:dyDescent="0.25">
      <c r="B186" s="168"/>
      <c r="C186" s="115" t="s">
        <v>195</v>
      </c>
      <c r="D186" s="91" t="s">
        <v>442</v>
      </c>
      <c r="E186" s="94" t="s">
        <v>602</v>
      </c>
      <c r="F186" s="91" t="str">
        <f t="shared" si="4"/>
        <v>Ofertas-Mensual</v>
      </c>
      <c r="G186" s="114" t="str">
        <f t="shared" si="5"/>
        <v>Ofertas-Mensual-Por medio de catalogos</v>
      </c>
    </row>
    <row r="187" spans="2:7" x14ac:dyDescent="0.25">
      <c r="B187" s="168"/>
      <c r="C187" s="101" t="s">
        <v>440</v>
      </c>
      <c r="D187" s="92" t="s">
        <v>436</v>
      </c>
      <c r="E187" s="95" t="s">
        <v>603</v>
      </c>
      <c r="F187" s="92" t="str">
        <f t="shared" si="4"/>
        <v>Domicilios-Semanal</v>
      </c>
      <c r="G187" s="114" t="str">
        <f t="shared" si="5"/>
        <v>Domicilios-Semanal-Dependiendo los domicilios que salgan</v>
      </c>
    </row>
    <row r="188" spans="2:7" x14ac:dyDescent="0.25">
      <c r="B188" s="168">
        <v>70</v>
      </c>
      <c r="C188" s="99" t="s">
        <v>178</v>
      </c>
      <c r="D188" s="90" t="s">
        <v>442</v>
      </c>
      <c r="E188" s="93" t="s">
        <v>604</v>
      </c>
      <c r="F188" s="90" t="str">
        <f t="shared" si="4"/>
        <v>Promociones-Mensual</v>
      </c>
      <c r="G188" s="114" t="str">
        <f t="shared" si="5"/>
        <v>Promociones-Mensual-Se encargan los productos de baja rotación</v>
      </c>
    </row>
    <row r="189" spans="2:7" x14ac:dyDescent="0.25">
      <c r="B189" s="168"/>
      <c r="C189" s="115" t="s">
        <v>439</v>
      </c>
      <c r="D189" s="91" t="s">
        <v>511</v>
      </c>
      <c r="E189" s="94" t="s">
        <v>605</v>
      </c>
      <c r="F189" s="91" t="str">
        <f t="shared" si="4"/>
        <v>Descuento-Anual</v>
      </c>
      <c r="G189" s="114" t="str">
        <f t="shared" si="5"/>
        <v>Descuento-Anual-Se bajan los precios en diferentes espocas</v>
      </c>
    </row>
    <row r="190" spans="2:7" x14ac:dyDescent="0.25">
      <c r="B190" s="168"/>
      <c r="C190" s="115" t="s">
        <v>195</v>
      </c>
      <c r="D190" s="91" t="s">
        <v>436</v>
      </c>
      <c r="E190" s="94" t="s">
        <v>552</v>
      </c>
      <c r="F190" s="91" t="str">
        <f t="shared" si="4"/>
        <v>Ofertas-Semanal</v>
      </c>
      <c r="G190" s="114" t="str">
        <f t="shared" si="5"/>
        <v>Ofertas-Semanal-Depende del provedor</v>
      </c>
    </row>
    <row r="191" spans="2:7" x14ac:dyDescent="0.25">
      <c r="B191" s="168"/>
      <c r="C191" s="115" t="s">
        <v>448</v>
      </c>
      <c r="D191" s="91" t="s">
        <v>511</v>
      </c>
      <c r="E191" s="94" t="s">
        <v>606</v>
      </c>
      <c r="F191" s="91" t="str">
        <f t="shared" si="4"/>
        <v>Asesoramiento-Anual</v>
      </c>
      <c r="G191" s="114" t="str">
        <f t="shared" si="5"/>
        <v>Asesoramiento-Anual-Empresas de camara y comercio</v>
      </c>
    </row>
    <row r="192" spans="2:7" x14ac:dyDescent="0.25">
      <c r="B192" s="168"/>
      <c r="C192" s="115" t="s">
        <v>440</v>
      </c>
      <c r="D192" s="91" t="s">
        <v>436</v>
      </c>
      <c r="E192" s="94" t="s">
        <v>607</v>
      </c>
      <c r="F192" s="91" t="str">
        <f t="shared" si="4"/>
        <v>Domicilios-Semanal</v>
      </c>
      <c r="G192" s="114" t="str">
        <f t="shared" si="5"/>
        <v>Domicilios-Semanal-Personas muy allegadas al negocio</v>
      </c>
    </row>
    <row r="193" spans="2:7" x14ac:dyDescent="0.25">
      <c r="B193" s="168"/>
      <c r="C193" s="101" t="s">
        <v>441</v>
      </c>
      <c r="D193" s="92" t="s">
        <v>437</v>
      </c>
      <c r="E193" s="95" t="s">
        <v>446</v>
      </c>
      <c r="F193" s="92" t="str">
        <f t="shared" si="4"/>
        <v>Atención al Cliente-Diario</v>
      </c>
      <c r="G193" s="114" t="str">
        <f t="shared" si="5"/>
        <v>Atención al Cliente-Diario-Atención en el Establecimiento</v>
      </c>
    </row>
    <row r="194" spans="2:7" x14ac:dyDescent="0.25">
      <c r="B194" s="168">
        <v>71</v>
      </c>
      <c r="C194" s="99" t="s">
        <v>178</v>
      </c>
      <c r="D194" s="90" t="s">
        <v>442</v>
      </c>
      <c r="E194" s="93"/>
      <c r="F194" s="90" t="str">
        <f t="shared" si="4"/>
        <v>Promociones-Mensual</v>
      </c>
      <c r="G194" s="114" t="str">
        <f t="shared" si="5"/>
        <v>Promociones-Mensual-</v>
      </c>
    </row>
    <row r="195" spans="2:7" x14ac:dyDescent="0.25">
      <c r="B195" s="168"/>
      <c r="C195" s="115" t="s">
        <v>440</v>
      </c>
      <c r="D195" s="91" t="s">
        <v>437</v>
      </c>
      <c r="E195" s="94"/>
      <c r="F195" s="91" t="str">
        <f t="shared" si="4"/>
        <v>Domicilios-Diario</v>
      </c>
      <c r="G195" s="114" t="str">
        <f t="shared" si="5"/>
        <v>Domicilios-Diario-</v>
      </c>
    </row>
    <row r="196" spans="2:7" x14ac:dyDescent="0.25">
      <c r="B196" s="168"/>
      <c r="C196" s="115" t="s">
        <v>441</v>
      </c>
      <c r="D196" s="91" t="s">
        <v>437</v>
      </c>
      <c r="E196" s="94"/>
      <c r="F196" s="91" t="str">
        <f t="shared" si="4"/>
        <v>Atención al Cliente-Diario</v>
      </c>
      <c r="G196" s="114" t="str">
        <f t="shared" si="5"/>
        <v>Atención al Cliente-Diario-</v>
      </c>
    </row>
    <row r="197" spans="2:7" x14ac:dyDescent="0.25">
      <c r="B197" s="1">
        <v>72</v>
      </c>
      <c r="C197" s="99"/>
      <c r="D197" s="90"/>
      <c r="E197" s="93"/>
      <c r="F197" s="90" t="str">
        <f t="shared" ref="F197:F208" si="6">CONCATENATE(C197,"-",D197)</f>
        <v>-</v>
      </c>
      <c r="G197" s="114" t="str">
        <f t="shared" ref="G197:G206" si="7">CONCATENATE(C197,"-",D197,"-",E197)</f>
        <v>--</v>
      </c>
    </row>
    <row r="198" spans="2:7" x14ac:dyDescent="0.25">
      <c r="B198" s="168">
        <v>73</v>
      </c>
      <c r="C198" s="99" t="s">
        <v>448</v>
      </c>
      <c r="D198" s="90" t="s">
        <v>437</v>
      </c>
      <c r="E198" s="93"/>
      <c r="F198" s="90" t="str">
        <f t="shared" si="6"/>
        <v>Asesoramiento-Diario</v>
      </c>
      <c r="G198" s="114" t="str">
        <f>CONCATENATE(C198,"-",D198,E198)</f>
        <v>Asesoramiento-Diario</v>
      </c>
    </row>
    <row r="199" spans="2:7" x14ac:dyDescent="0.25">
      <c r="B199" s="168"/>
      <c r="C199" s="115" t="s">
        <v>440</v>
      </c>
      <c r="D199" s="91" t="s">
        <v>437</v>
      </c>
      <c r="E199" s="94"/>
      <c r="F199" s="91" t="str">
        <f t="shared" si="6"/>
        <v>Domicilios-Diario</v>
      </c>
      <c r="G199" s="114" t="str">
        <f>CONCATENATE(C199,"-",D199,E199)</f>
        <v>Domicilios-Diario</v>
      </c>
    </row>
    <row r="200" spans="2:7" x14ac:dyDescent="0.25">
      <c r="B200" s="168"/>
      <c r="C200" s="115" t="s">
        <v>441</v>
      </c>
      <c r="D200" s="91" t="s">
        <v>437</v>
      </c>
      <c r="E200" s="94"/>
      <c r="F200" s="91" t="str">
        <f t="shared" si="6"/>
        <v>Atención al Cliente-Diario</v>
      </c>
      <c r="G200" s="114" t="str">
        <f>CONCATENATE(C200,"-",D200,E200)</f>
        <v>Atención al Cliente-Diario</v>
      </c>
    </row>
    <row r="201" spans="2:7" x14ac:dyDescent="0.25">
      <c r="B201" s="1">
        <v>74</v>
      </c>
      <c r="C201" s="117" t="s">
        <v>441</v>
      </c>
      <c r="D201" s="97" t="s">
        <v>437</v>
      </c>
      <c r="E201" s="119"/>
      <c r="F201" s="97" t="str">
        <f t="shared" si="6"/>
        <v>Atención al Cliente-Diario</v>
      </c>
      <c r="G201" s="114" t="str">
        <f>CONCATENATE(C201,"-",D201,E201)</f>
        <v>Atención al Cliente-Diario</v>
      </c>
    </row>
    <row r="202" spans="2:7" x14ac:dyDescent="0.25">
      <c r="B202" s="1">
        <v>75</v>
      </c>
      <c r="C202" s="99" t="s">
        <v>441</v>
      </c>
      <c r="D202" s="90" t="s">
        <v>437</v>
      </c>
      <c r="E202" s="93"/>
      <c r="F202" s="90" t="str">
        <f t="shared" si="6"/>
        <v>Atención al Cliente-Diario</v>
      </c>
      <c r="G202" s="114" t="str">
        <f>CONCATENATE(C202,"-",D202,E202)</f>
        <v>Atención al Cliente-Diario</v>
      </c>
    </row>
    <row r="203" spans="2:7" x14ac:dyDescent="0.25">
      <c r="B203" s="168">
        <v>76</v>
      </c>
      <c r="C203" s="99" t="s">
        <v>178</v>
      </c>
      <c r="D203" s="90" t="s">
        <v>442</v>
      </c>
      <c r="E203" s="93" t="s">
        <v>552</v>
      </c>
      <c r="F203" s="90" t="str">
        <f t="shared" si="6"/>
        <v>Promociones-Mensual</v>
      </c>
      <c r="G203" s="114" t="str">
        <f t="shared" si="7"/>
        <v>Promociones-Mensual-Depende del provedor</v>
      </c>
    </row>
    <row r="204" spans="2:7" x14ac:dyDescent="0.25">
      <c r="B204" s="168"/>
      <c r="C204" s="115" t="s">
        <v>439</v>
      </c>
      <c r="D204" s="91" t="s">
        <v>442</v>
      </c>
      <c r="E204" s="94" t="s">
        <v>549</v>
      </c>
      <c r="F204" s="91" t="str">
        <f t="shared" si="6"/>
        <v>Descuento-Mensual</v>
      </c>
      <c r="G204" s="114" t="str">
        <f t="shared" si="7"/>
        <v>Descuento-Mensual-Depende del cliente</v>
      </c>
    </row>
    <row r="205" spans="2:7" x14ac:dyDescent="0.25">
      <c r="B205" s="168"/>
      <c r="C205" s="115" t="s">
        <v>440</v>
      </c>
      <c r="D205" s="91" t="s">
        <v>437</v>
      </c>
      <c r="E205" s="94" t="s">
        <v>553</v>
      </c>
      <c r="F205" s="91" t="str">
        <f t="shared" si="6"/>
        <v>Domicilios-Diario</v>
      </c>
      <c r="G205" s="114" t="str">
        <f t="shared" si="7"/>
        <v>Domicilios-Diario-Puerta a Puerta</v>
      </c>
    </row>
    <row r="206" spans="2:7" x14ac:dyDescent="0.25">
      <c r="B206" s="168"/>
      <c r="C206" s="101" t="s">
        <v>441</v>
      </c>
      <c r="D206" s="92" t="s">
        <v>437</v>
      </c>
      <c r="E206" s="95" t="s">
        <v>608</v>
      </c>
      <c r="F206" s="92" t="str">
        <f t="shared" si="6"/>
        <v>Atención al Cliente-Diario</v>
      </c>
      <c r="G206" s="114" t="str">
        <f t="shared" si="7"/>
        <v>Atención al Cliente-Diario-Personal y Telefono</v>
      </c>
    </row>
    <row r="207" spans="2:7" x14ac:dyDescent="0.25">
      <c r="B207" s="168">
        <v>77</v>
      </c>
      <c r="C207" s="98" t="s">
        <v>441</v>
      </c>
      <c r="D207" s="90" t="s">
        <v>437</v>
      </c>
      <c r="E207" s="98"/>
      <c r="F207" s="90" t="str">
        <f t="shared" si="6"/>
        <v>Atención al Cliente-Diario</v>
      </c>
      <c r="G207" s="114" t="str">
        <f>CONCATENATE(C207,"-",D207,E207)</f>
        <v>Atención al Cliente-Diario</v>
      </c>
    </row>
    <row r="208" spans="2:7" x14ac:dyDescent="0.25">
      <c r="B208" s="168"/>
      <c r="C208" s="100" t="s">
        <v>448</v>
      </c>
      <c r="D208" s="92" t="s">
        <v>437</v>
      </c>
      <c r="E208" s="100"/>
      <c r="F208" s="92" t="str">
        <f t="shared" si="6"/>
        <v>Asesoramiento-Diario</v>
      </c>
      <c r="G208" s="114" t="str">
        <f>CONCATENATE(C208,"-",D208,E208)</f>
        <v>Asesoramiento-Diario</v>
      </c>
    </row>
  </sheetData>
  <autoFilter ref="O3:P33">
    <sortState ref="O4:P33">
      <sortCondition ref="P3"/>
    </sortState>
  </autoFilter>
  <sortState ref="X4:X306">
    <sortCondition ref="X4"/>
  </sortState>
  <mergeCells count="57">
    <mergeCell ref="B45:B47"/>
    <mergeCell ref="B4:B7"/>
    <mergeCell ref="B8:B10"/>
    <mergeCell ref="B11:B13"/>
    <mergeCell ref="B15:B17"/>
    <mergeCell ref="B19:B21"/>
    <mergeCell ref="B24:B26"/>
    <mergeCell ref="B27:B29"/>
    <mergeCell ref="B30:B31"/>
    <mergeCell ref="B33:B34"/>
    <mergeCell ref="B36:B38"/>
    <mergeCell ref="B39:B44"/>
    <mergeCell ref="B84:B86"/>
    <mergeCell ref="B48:B51"/>
    <mergeCell ref="B52:B54"/>
    <mergeCell ref="B55:B58"/>
    <mergeCell ref="B59:B61"/>
    <mergeCell ref="B62:B64"/>
    <mergeCell ref="B65:B67"/>
    <mergeCell ref="B69:B71"/>
    <mergeCell ref="B72:B74"/>
    <mergeCell ref="B76:B78"/>
    <mergeCell ref="B79:B80"/>
    <mergeCell ref="B81:B83"/>
    <mergeCell ref="B121:B126"/>
    <mergeCell ref="B87:B89"/>
    <mergeCell ref="B90:B92"/>
    <mergeCell ref="B93:B95"/>
    <mergeCell ref="B96:B98"/>
    <mergeCell ref="B100:B101"/>
    <mergeCell ref="B103:B104"/>
    <mergeCell ref="B105:B107"/>
    <mergeCell ref="B108:B110"/>
    <mergeCell ref="B111:B113"/>
    <mergeCell ref="B114:B115"/>
    <mergeCell ref="B116:B120"/>
    <mergeCell ref="B164:B165"/>
    <mergeCell ref="B127:B128"/>
    <mergeCell ref="B131:B133"/>
    <mergeCell ref="B134:B135"/>
    <mergeCell ref="B136:B138"/>
    <mergeCell ref="B140:B144"/>
    <mergeCell ref="B145:B147"/>
    <mergeCell ref="B148:B151"/>
    <mergeCell ref="B152:B153"/>
    <mergeCell ref="B154:B155"/>
    <mergeCell ref="B156:B158"/>
    <mergeCell ref="B159:B162"/>
    <mergeCell ref="B198:B200"/>
    <mergeCell ref="B203:B206"/>
    <mergeCell ref="B207:B208"/>
    <mergeCell ref="B166:B171"/>
    <mergeCell ref="B172:B174"/>
    <mergeCell ref="B177:B182"/>
    <mergeCell ref="B184:B187"/>
    <mergeCell ref="B188:B193"/>
    <mergeCell ref="B194:B196"/>
  </mergeCells>
  <pageMargins left="0.7" right="0.7" top="0.75" bottom="0.75" header="0.3" footer="0.3"/>
  <ignoredErrors>
    <ignoredError sqref="G202" formula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P264"/>
  <sheetViews>
    <sheetView topLeftCell="P1" workbookViewId="0">
      <selection activeCell="Z17" sqref="Z17"/>
    </sheetView>
  </sheetViews>
  <sheetFormatPr baseColWidth="10" defaultRowHeight="15" x14ac:dyDescent="0.25"/>
  <cols>
    <col min="3" max="3" width="30.5703125" customWidth="1"/>
    <col min="4" max="4" width="23.5703125" customWidth="1"/>
    <col min="5" max="6" width="34.5703125" customWidth="1"/>
    <col min="9" max="9" width="17.140625" bestFit="1" customWidth="1"/>
    <col min="15" max="15" width="40.5703125" bestFit="1" customWidth="1"/>
  </cols>
  <sheetData>
    <row r="2" spans="3:16" ht="15.75" thickBot="1" x14ac:dyDescent="0.3"/>
    <row r="3" spans="3:16" ht="26.25" customHeight="1" x14ac:dyDescent="0.25">
      <c r="C3" s="102" t="s">
        <v>23</v>
      </c>
      <c r="D3" s="103" t="s">
        <v>70</v>
      </c>
      <c r="E3" s="103" t="s">
        <v>609</v>
      </c>
      <c r="F3" s="107"/>
      <c r="O3" s="107" t="s">
        <v>662</v>
      </c>
      <c r="P3" s="107" t="s">
        <v>410</v>
      </c>
    </row>
    <row r="4" spans="3:16" x14ac:dyDescent="0.25">
      <c r="C4" s="90" t="s">
        <v>435</v>
      </c>
      <c r="D4" s="90" t="s">
        <v>436</v>
      </c>
      <c r="E4" s="90" t="str">
        <f>CONCATENATE(C4,"-",D4)</f>
        <v>Dulces y Paquetes-Semanal</v>
      </c>
      <c r="F4" s="96"/>
      <c r="G4">
        <f>+COUNTIF(Tabulación!AK5:AK307,P_21_Cul!C4)</f>
        <v>64</v>
      </c>
      <c r="I4" t="s">
        <v>434</v>
      </c>
      <c r="J4">
        <f>+COUNTIF(Tabulación!$AK$5:$AK$307,P_21_Cul!I4)</f>
        <v>68</v>
      </c>
      <c r="O4" t="s">
        <v>451</v>
      </c>
      <c r="P4">
        <f>+COUNTIF(Tabulación!$AM$5:$AM$307,P_21_Cul!O4)</f>
        <v>1</v>
      </c>
    </row>
    <row r="5" spans="3:16" x14ac:dyDescent="0.25">
      <c r="C5" s="91" t="s">
        <v>434</v>
      </c>
      <c r="D5" s="91" t="s">
        <v>436</v>
      </c>
      <c r="E5" s="90" t="str">
        <f t="shared" ref="E5:E64" si="0">CONCATENATE(C5,"-",D5)</f>
        <v>Aseo Personal-Semanal</v>
      </c>
      <c r="F5" s="96"/>
      <c r="G5">
        <f>COUNTIF(Tabulación!AK5:AK307,P_21_Cul!C5)</f>
        <v>68</v>
      </c>
      <c r="I5" t="s">
        <v>433</v>
      </c>
      <c r="J5">
        <f>+COUNTIF(Tabulación!$AK$5:$AK$307,P_21_Cul!I5)</f>
        <v>56</v>
      </c>
      <c r="O5" t="s">
        <v>659</v>
      </c>
      <c r="P5">
        <f>+COUNTIF(Tabulación!$AM$5:$AM$307,P_21_Cul!O5)</f>
        <v>2</v>
      </c>
    </row>
    <row r="6" spans="3:16" x14ac:dyDescent="0.25">
      <c r="C6" s="91" t="s">
        <v>77</v>
      </c>
      <c r="D6" s="91" t="s">
        <v>436</v>
      </c>
      <c r="E6" s="90" t="str">
        <f t="shared" si="0"/>
        <v>Limpieza-Semanal</v>
      </c>
      <c r="F6" s="96"/>
      <c r="G6">
        <f>+COUNTIF(Tabulación!AK7:AK309,P_21_Cul!C6)</f>
        <v>64</v>
      </c>
      <c r="I6" t="s">
        <v>435</v>
      </c>
      <c r="J6">
        <f>+COUNTIF(Tabulación!$AK$5:$AK$307,P_21_Cul!I6)</f>
        <v>64</v>
      </c>
      <c r="O6" t="s">
        <v>660</v>
      </c>
      <c r="P6">
        <f>+COUNTIF(Tabulación!$AM$5:$AM$307,P_21_Cul!O6)</f>
        <v>3</v>
      </c>
    </row>
    <row r="7" spans="3:16" x14ac:dyDescent="0.25">
      <c r="C7" s="92" t="s">
        <v>433</v>
      </c>
      <c r="D7" s="92" t="s">
        <v>447</v>
      </c>
      <c r="E7" s="90" t="str">
        <f t="shared" si="0"/>
        <v>Droguería-Quincenales</v>
      </c>
      <c r="F7" s="96"/>
      <c r="G7">
        <f>+COUNTIF(Tabulación!AK8:AK310,P_21_Cul!C7)</f>
        <v>56</v>
      </c>
      <c r="I7" t="s">
        <v>551</v>
      </c>
      <c r="J7">
        <f>+COUNTIF(Tabulación!$AK$5:$AK$307,P_21_Cul!I7)</f>
        <v>8</v>
      </c>
      <c r="O7" t="s">
        <v>658</v>
      </c>
      <c r="P7">
        <f>+COUNTIF(Tabulación!$AM$5:$AM$307,P_21_Cul!O7)</f>
        <v>3</v>
      </c>
    </row>
    <row r="8" spans="3:16" x14ac:dyDescent="0.25">
      <c r="C8" s="90" t="s">
        <v>433</v>
      </c>
      <c r="D8" s="90" t="s">
        <v>449</v>
      </c>
      <c r="E8" s="90" t="str">
        <f>CONCATENATE(C8,"-",D8)</f>
        <v>Droguería-Depende de la Provisión</v>
      </c>
      <c r="F8" s="96"/>
      <c r="G8">
        <f>+COUNTIF(Tabulación!AK9:AK311,P_21_Cul!C8)</f>
        <v>55</v>
      </c>
      <c r="I8" t="s">
        <v>77</v>
      </c>
      <c r="J8">
        <f>+COUNTIF(Tabulación!$AK$5:$AK$307,P_21_Cul!I8)</f>
        <v>64</v>
      </c>
      <c r="O8" t="s">
        <v>656</v>
      </c>
      <c r="P8">
        <f>+COUNTIF(Tabulación!$AM$5:$AM$307,P_21_Cul!O8)</f>
        <v>3</v>
      </c>
    </row>
    <row r="9" spans="3:16" x14ac:dyDescent="0.25">
      <c r="C9" s="91" t="s">
        <v>435</v>
      </c>
      <c r="D9" s="91" t="s">
        <v>436</v>
      </c>
      <c r="E9" s="90" t="str">
        <f t="shared" si="0"/>
        <v>Dulces y Paquetes-Semanal</v>
      </c>
      <c r="F9" s="96"/>
      <c r="G9">
        <f>+COUNTIF(Tabulación!AK10:AK312,P_21_Cul!C9)</f>
        <v>63</v>
      </c>
      <c r="O9" t="s">
        <v>661</v>
      </c>
      <c r="P9">
        <f>+COUNTIF(Tabulación!$AM$5:$AM$307,P_21_Cul!O9)</f>
        <v>4</v>
      </c>
    </row>
    <row r="10" spans="3:16" x14ac:dyDescent="0.25">
      <c r="C10" s="91" t="s">
        <v>434</v>
      </c>
      <c r="D10" s="91" t="s">
        <v>447</v>
      </c>
      <c r="E10" s="90" t="str">
        <f t="shared" si="0"/>
        <v>Aseo Personal-Quincenales</v>
      </c>
      <c r="F10" s="96"/>
      <c r="G10">
        <f>+COUNTIF(Tabulación!AK11:AK313,P_21_Cul!C10)</f>
        <v>67</v>
      </c>
      <c r="O10" t="s">
        <v>657</v>
      </c>
      <c r="P10">
        <f>+COUNTIF(Tabulación!$AM$5:$AM$307,P_21_Cul!O10)</f>
        <v>6</v>
      </c>
    </row>
    <row r="11" spans="3:16" x14ac:dyDescent="0.25">
      <c r="C11" s="92" t="s">
        <v>77</v>
      </c>
      <c r="D11" s="92" t="s">
        <v>442</v>
      </c>
      <c r="E11" s="90" t="str">
        <f t="shared" si="0"/>
        <v>Limpieza-Mensual</v>
      </c>
      <c r="F11" s="96"/>
      <c r="G11">
        <f>+COUNTIF(Tabulación!AK12:AK314,P_21_Cul!C11)</f>
        <v>63</v>
      </c>
      <c r="O11" t="s">
        <v>450</v>
      </c>
      <c r="P11">
        <f>+COUNTIF(Tabulación!$AM$5:$AM$307,P_21_Cul!O11)</f>
        <v>7</v>
      </c>
    </row>
    <row r="12" spans="3:16" x14ac:dyDescent="0.25">
      <c r="C12" s="90" t="s">
        <v>433</v>
      </c>
      <c r="D12" s="90" t="s">
        <v>442</v>
      </c>
      <c r="E12" s="90" t="str">
        <f t="shared" si="0"/>
        <v>Droguería-Mensual</v>
      </c>
      <c r="F12" s="96"/>
      <c r="G12">
        <f>+COUNTIF(Tabulación!AK13:AK315,P_21_Cul!C12)</f>
        <v>54</v>
      </c>
      <c r="O12" t="s">
        <v>651</v>
      </c>
      <c r="P12">
        <f>+COUNTIF(Tabulación!$AM$5:$AM$307,P_21_Cul!O12)</f>
        <v>7</v>
      </c>
    </row>
    <row r="13" spans="3:16" x14ac:dyDescent="0.25">
      <c r="C13" s="91" t="s">
        <v>435</v>
      </c>
      <c r="D13" s="91" t="s">
        <v>437</v>
      </c>
      <c r="E13" s="90" t="str">
        <f t="shared" si="0"/>
        <v>Dulces y Paquetes-Diario</v>
      </c>
      <c r="F13" s="96"/>
      <c r="G13">
        <f>+COUNTIF(Tabulación!AK14:AK316,P_21_Cul!C13)</f>
        <v>62</v>
      </c>
      <c r="O13" t="s">
        <v>649</v>
      </c>
      <c r="P13">
        <f>+COUNTIF(Tabulación!$AM$5:$AM$307,P_21_Cul!O13)</f>
        <v>9</v>
      </c>
    </row>
    <row r="14" spans="3:16" x14ac:dyDescent="0.25">
      <c r="C14" s="92" t="s">
        <v>434</v>
      </c>
      <c r="D14" s="92" t="s">
        <v>447</v>
      </c>
      <c r="E14" s="90" t="str">
        <f t="shared" si="0"/>
        <v>Aseo Personal-Quincenales</v>
      </c>
      <c r="F14" s="96"/>
      <c r="G14">
        <f>+COUNTIF(Tabulación!AK15:AK317,P_21_Cul!C14)</f>
        <v>66</v>
      </c>
      <c r="O14" t="s">
        <v>652</v>
      </c>
      <c r="P14">
        <f>+COUNTIF(Tabulación!$AM$5:$AM$307,P_21_Cul!O14)</f>
        <v>9</v>
      </c>
    </row>
    <row r="15" spans="3:16" x14ac:dyDescent="0.25">
      <c r="C15" s="90" t="s">
        <v>433</v>
      </c>
      <c r="D15" s="90" t="s">
        <v>449</v>
      </c>
      <c r="E15" s="90" t="str">
        <f t="shared" si="0"/>
        <v>Droguería-Depende de la Provisión</v>
      </c>
      <c r="F15" s="96"/>
      <c r="G15">
        <f>+COUNTIF(Tabulación!AK16:AK318,P_21_Cul!C15)</f>
        <v>53</v>
      </c>
      <c r="O15" t="s">
        <v>654</v>
      </c>
      <c r="P15">
        <f>+COUNTIF(Tabulación!$AM$5:$AM$307,P_21_Cul!O15)</f>
        <v>16</v>
      </c>
    </row>
    <row r="16" spans="3:16" x14ac:dyDescent="0.25">
      <c r="C16" s="91" t="s">
        <v>434</v>
      </c>
      <c r="D16" s="91" t="s">
        <v>436</v>
      </c>
      <c r="E16" s="90" t="str">
        <f t="shared" si="0"/>
        <v>Aseo Personal-Semanal</v>
      </c>
      <c r="F16" s="96"/>
      <c r="G16">
        <f>+COUNTIF(Tabulación!AK17:AK319,P_21_Cul!C16)</f>
        <v>65</v>
      </c>
      <c r="O16" t="s">
        <v>650</v>
      </c>
      <c r="P16">
        <f>+COUNTIF(Tabulación!$AM$5:$AM$307,P_21_Cul!O16)</f>
        <v>17</v>
      </c>
    </row>
    <row r="17" spans="3:16" x14ac:dyDescent="0.25">
      <c r="C17" s="92" t="s">
        <v>77</v>
      </c>
      <c r="D17" s="92" t="s">
        <v>442</v>
      </c>
      <c r="E17" s="90" t="str">
        <f t="shared" si="0"/>
        <v>Limpieza-Mensual</v>
      </c>
      <c r="F17" s="96"/>
      <c r="G17">
        <f>+COUNTIF(Tabulación!AK18:AK320,P_21_Cul!C17)</f>
        <v>62</v>
      </c>
      <c r="O17" t="s">
        <v>645</v>
      </c>
      <c r="P17">
        <f>+COUNTIF(Tabulación!$AM$5:$AM$307,P_21_Cul!O17)</f>
        <v>17</v>
      </c>
    </row>
    <row r="18" spans="3:16" x14ac:dyDescent="0.25">
      <c r="C18" s="91" t="s">
        <v>433</v>
      </c>
      <c r="D18" s="91" t="s">
        <v>447</v>
      </c>
      <c r="E18" s="90" t="str">
        <f t="shared" si="0"/>
        <v>Droguería-Quincenales</v>
      </c>
      <c r="F18" s="96"/>
      <c r="G18">
        <f>+COUNTIF(Tabulación!AK20:AK322,P_21_Cul!C18)</f>
        <v>52</v>
      </c>
      <c r="O18" t="s">
        <v>655</v>
      </c>
      <c r="P18">
        <f>+COUNTIF(Tabulación!$AM$5:$AM$307,P_21_Cul!O18)</f>
        <v>17</v>
      </c>
    </row>
    <row r="19" spans="3:16" x14ac:dyDescent="0.25">
      <c r="C19" s="91" t="s">
        <v>435</v>
      </c>
      <c r="D19" s="91" t="s">
        <v>447</v>
      </c>
      <c r="E19" s="90" t="str">
        <f t="shared" si="0"/>
        <v>Dulces y Paquetes-Quincenales</v>
      </c>
      <c r="F19" s="96"/>
      <c r="G19">
        <f>+COUNTIF(Tabulación!AK21:AK323,P_21_Cul!C19)</f>
        <v>61</v>
      </c>
      <c r="O19" t="s">
        <v>648</v>
      </c>
      <c r="P19">
        <f>+COUNTIF(Tabulación!$AM$5:$AM$307,P_21_Cul!O19)</f>
        <v>19</v>
      </c>
    </row>
    <row r="20" spans="3:16" x14ac:dyDescent="0.25">
      <c r="C20" s="92" t="s">
        <v>434</v>
      </c>
      <c r="D20" s="92" t="s">
        <v>436</v>
      </c>
      <c r="E20" s="90" t="str">
        <f t="shared" si="0"/>
        <v>Aseo Personal-Semanal</v>
      </c>
      <c r="F20" s="96"/>
      <c r="G20">
        <f>+COUNTIF(Tabulación!AK22:AK324,P_21_Cul!C20)</f>
        <v>64</v>
      </c>
      <c r="O20" t="s">
        <v>646</v>
      </c>
      <c r="P20">
        <f>+COUNTIF(Tabulación!$AM$5:$AM$307,P_21_Cul!O20)</f>
        <v>22</v>
      </c>
    </row>
    <row r="21" spans="3:16" x14ac:dyDescent="0.25">
      <c r="C21" s="90" t="s">
        <v>433</v>
      </c>
      <c r="D21" s="90" t="s">
        <v>449</v>
      </c>
      <c r="E21" s="90" t="str">
        <f t="shared" si="0"/>
        <v>Droguería-Depende de la Provisión</v>
      </c>
      <c r="F21" s="96"/>
      <c r="G21">
        <f>+COUNTIF(Tabulación!AK23:AK325,P_21_Cul!C21)</f>
        <v>51</v>
      </c>
      <c r="O21" t="s">
        <v>647</v>
      </c>
      <c r="P21">
        <f>+COUNTIF(Tabulación!$AM$5:$AM$307,P_21_Cul!O21)</f>
        <v>23</v>
      </c>
    </row>
    <row r="22" spans="3:16" x14ac:dyDescent="0.25">
      <c r="C22" s="91" t="s">
        <v>435</v>
      </c>
      <c r="D22" s="91" t="s">
        <v>436</v>
      </c>
      <c r="E22" s="90" t="str">
        <f t="shared" si="0"/>
        <v>Dulces y Paquetes-Semanal</v>
      </c>
      <c r="F22" s="96"/>
      <c r="G22">
        <f>+COUNTIF(Tabulación!AK24:AK326,P_21_Cul!C22)</f>
        <v>60</v>
      </c>
      <c r="O22" t="s">
        <v>653</v>
      </c>
      <c r="P22">
        <f>+COUNTIF(Tabulación!$AM$5:$AM$307,P_21_Cul!O22)</f>
        <v>30</v>
      </c>
    </row>
    <row r="23" spans="3:16" x14ac:dyDescent="0.25">
      <c r="C23" s="91" t="s">
        <v>434</v>
      </c>
      <c r="D23" s="91" t="s">
        <v>442</v>
      </c>
      <c r="E23" s="90" t="str">
        <f t="shared" si="0"/>
        <v>Aseo Personal-Mensual</v>
      </c>
      <c r="F23" s="96"/>
      <c r="G23">
        <f>+COUNTIF(Tabulación!AK25:AK327,P_21_Cul!C23)</f>
        <v>63</v>
      </c>
      <c r="O23" t="s">
        <v>644</v>
      </c>
      <c r="P23">
        <f>+COUNTIF(Tabulación!$AM$5:$AM$307,P_21_Cul!O23)</f>
        <v>45</v>
      </c>
    </row>
    <row r="24" spans="3:16" x14ac:dyDescent="0.25">
      <c r="C24" s="92" t="s">
        <v>77</v>
      </c>
      <c r="D24" s="92" t="s">
        <v>449</v>
      </c>
      <c r="E24" s="90" t="str">
        <f t="shared" si="0"/>
        <v>Limpieza-Depende de la Provisión</v>
      </c>
      <c r="F24" s="96"/>
      <c r="G24">
        <f>+COUNTIF(Tabulación!AK26:AK328,P_21_Cul!C24)</f>
        <v>61</v>
      </c>
    </row>
    <row r="25" spans="3:16" x14ac:dyDescent="0.25">
      <c r="C25" s="90" t="s">
        <v>433</v>
      </c>
      <c r="D25" s="90" t="s">
        <v>449</v>
      </c>
      <c r="E25" s="90" t="str">
        <f t="shared" si="0"/>
        <v>Droguería-Depende de la Provisión</v>
      </c>
      <c r="F25" s="96"/>
      <c r="G25">
        <f>+COUNTIF(Tabulación!AK27:AK329,P_21_Cul!C25)</f>
        <v>50</v>
      </c>
    </row>
    <row r="26" spans="3:16" x14ac:dyDescent="0.25">
      <c r="C26" s="91" t="s">
        <v>435</v>
      </c>
      <c r="D26" s="91" t="s">
        <v>436</v>
      </c>
      <c r="E26" s="90" t="str">
        <f t="shared" si="0"/>
        <v>Dulces y Paquetes-Semanal</v>
      </c>
      <c r="F26" s="96"/>
      <c r="G26">
        <f>+COUNTIF(Tabulación!AK28:AK330,P_21_Cul!C26)</f>
        <v>59</v>
      </c>
    </row>
    <row r="27" spans="3:16" x14ac:dyDescent="0.25">
      <c r="C27" s="91" t="s">
        <v>434</v>
      </c>
      <c r="D27" s="91" t="s">
        <v>442</v>
      </c>
      <c r="E27" s="90" t="str">
        <f t="shared" si="0"/>
        <v>Aseo Personal-Mensual</v>
      </c>
      <c r="F27" s="96"/>
      <c r="G27">
        <f>+COUNTIF(Tabulación!AK29:AK331,P_21_Cul!C27)</f>
        <v>62</v>
      </c>
    </row>
    <row r="28" spans="3:16" x14ac:dyDescent="0.25">
      <c r="C28" s="90" t="s">
        <v>433</v>
      </c>
      <c r="D28" s="90" t="s">
        <v>442</v>
      </c>
      <c r="E28" s="90" t="str">
        <f t="shared" si="0"/>
        <v>Droguería-Mensual</v>
      </c>
      <c r="F28" s="96"/>
      <c r="G28">
        <f>+COUNTIF(Tabulación!AK31:AK333,P_21_Cul!C28)</f>
        <v>49</v>
      </c>
    </row>
    <row r="29" spans="3:16" x14ac:dyDescent="0.25">
      <c r="C29" s="91" t="s">
        <v>435</v>
      </c>
      <c r="D29" s="91" t="s">
        <v>509</v>
      </c>
      <c r="E29" s="90" t="str">
        <f t="shared" si="0"/>
        <v>Dulces y Paquetes-Quincenal</v>
      </c>
      <c r="F29" s="96"/>
      <c r="G29">
        <f>+COUNTIF(Tabulación!AK32:AK334,P_21_Cul!C29)</f>
        <v>58</v>
      </c>
    </row>
    <row r="30" spans="3:16" x14ac:dyDescent="0.25">
      <c r="C30" s="91" t="s">
        <v>434</v>
      </c>
      <c r="D30" s="91" t="s">
        <v>509</v>
      </c>
      <c r="E30" s="90" t="str">
        <f t="shared" si="0"/>
        <v>Aseo Personal-Quincenal</v>
      </c>
      <c r="F30" s="96"/>
      <c r="G30">
        <f>+COUNTIF(Tabulación!AK33:AK335,P_21_Cul!C30)</f>
        <v>61</v>
      </c>
    </row>
    <row r="31" spans="3:16" x14ac:dyDescent="0.25">
      <c r="C31" s="92" t="s">
        <v>77</v>
      </c>
      <c r="D31" s="92" t="s">
        <v>436</v>
      </c>
      <c r="E31" s="90" t="str">
        <f t="shared" si="0"/>
        <v>Limpieza-Semanal</v>
      </c>
      <c r="F31" s="96"/>
      <c r="G31">
        <f>+COUNTIF(Tabulación!AK34:AK336,P_21_Cul!C31)</f>
        <v>60</v>
      </c>
    </row>
    <row r="32" spans="3:16" x14ac:dyDescent="0.25">
      <c r="C32" s="90" t="s">
        <v>433</v>
      </c>
      <c r="D32" s="90" t="s">
        <v>543</v>
      </c>
      <c r="E32" s="90" t="str">
        <f t="shared" si="0"/>
        <v>Droguería-Depende de la provisión</v>
      </c>
      <c r="F32" s="96"/>
      <c r="G32">
        <f>+COUNTIF(Tabulación!AK35:AK337,P_21_Cul!C32)</f>
        <v>48</v>
      </c>
    </row>
    <row r="33" spans="3:7" x14ac:dyDescent="0.25">
      <c r="C33" s="91" t="s">
        <v>435</v>
      </c>
      <c r="D33" s="91" t="s">
        <v>436</v>
      </c>
      <c r="E33" s="90" t="str">
        <f t="shared" si="0"/>
        <v>Dulces y Paquetes-Semanal</v>
      </c>
      <c r="F33" s="96"/>
      <c r="G33">
        <f>+COUNTIF(Tabulación!AK36:AK338,P_21_Cul!C33)</f>
        <v>57</v>
      </c>
    </row>
    <row r="34" spans="3:7" x14ac:dyDescent="0.25">
      <c r="C34" s="91" t="s">
        <v>434</v>
      </c>
      <c r="D34" s="91" t="s">
        <v>509</v>
      </c>
      <c r="E34" s="90" t="str">
        <f t="shared" si="0"/>
        <v>Aseo Personal-Quincenal</v>
      </c>
      <c r="F34" s="96"/>
      <c r="G34">
        <f>+COUNTIF(Tabulación!AK37:AK339,P_21_Cul!C34)</f>
        <v>60</v>
      </c>
    </row>
    <row r="35" spans="3:7" x14ac:dyDescent="0.25">
      <c r="C35" s="92" t="s">
        <v>77</v>
      </c>
      <c r="D35" s="92" t="s">
        <v>442</v>
      </c>
      <c r="E35" s="90" t="str">
        <f t="shared" si="0"/>
        <v>Limpieza-Mensual</v>
      </c>
      <c r="F35" s="96"/>
      <c r="G35">
        <f>+COUNTIF(Tabulación!AK38:AK340,P_21_Cul!C35)</f>
        <v>59</v>
      </c>
    </row>
    <row r="36" spans="3:7" x14ac:dyDescent="0.25">
      <c r="C36" s="90" t="s">
        <v>433</v>
      </c>
      <c r="D36" s="90" t="s">
        <v>442</v>
      </c>
      <c r="E36" s="90" t="str">
        <f t="shared" si="0"/>
        <v>Droguería-Mensual</v>
      </c>
      <c r="F36" s="96"/>
      <c r="G36">
        <f>+COUNTIF(Tabulación!AK39:AK341,P_21_Cul!C36)</f>
        <v>47</v>
      </c>
    </row>
    <row r="37" spans="3:7" x14ac:dyDescent="0.25">
      <c r="C37" s="91" t="s">
        <v>435</v>
      </c>
      <c r="D37" s="91" t="s">
        <v>436</v>
      </c>
      <c r="E37" s="90" t="str">
        <f t="shared" si="0"/>
        <v>Dulces y Paquetes-Semanal</v>
      </c>
      <c r="F37" s="96"/>
      <c r="G37">
        <f>+COUNTIF(Tabulación!AK40:AK342,P_21_Cul!C37)</f>
        <v>56</v>
      </c>
    </row>
    <row r="38" spans="3:7" x14ac:dyDescent="0.25">
      <c r="C38" s="91" t="s">
        <v>434</v>
      </c>
      <c r="D38" s="91" t="s">
        <v>509</v>
      </c>
      <c r="E38" s="90" t="str">
        <f t="shared" si="0"/>
        <v>Aseo Personal-Quincenal</v>
      </c>
      <c r="F38" s="96"/>
      <c r="G38">
        <f>+COUNTIF(Tabulación!AK41:AK343,P_21_Cul!C38)</f>
        <v>59</v>
      </c>
    </row>
    <row r="39" spans="3:7" x14ac:dyDescent="0.25">
      <c r="C39" s="92" t="s">
        <v>77</v>
      </c>
      <c r="D39" s="92" t="s">
        <v>436</v>
      </c>
      <c r="E39" s="90" t="str">
        <f t="shared" si="0"/>
        <v>Limpieza-Semanal</v>
      </c>
      <c r="F39" s="96"/>
      <c r="G39">
        <f>+COUNTIF(Tabulación!AK42:AK344,P_21_Cul!C39)</f>
        <v>58</v>
      </c>
    </row>
    <row r="40" spans="3:7" x14ac:dyDescent="0.25">
      <c r="C40" s="90" t="s">
        <v>77</v>
      </c>
      <c r="D40" s="90" t="s">
        <v>543</v>
      </c>
      <c r="E40" s="90" t="str">
        <f t="shared" si="0"/>
        <v>Limpieza-Depende de la provisión</v>
      </c>
      <c r="F40" s="96"/>
      <c r="G40">
        <f>+COUNTIF(Tabulación!AK43:AK345,P_21_Cul!C40)</f>
        <v>57</v>
      </c>
    </row>
    <row r="41" spans="3:7" x14ac:dyDescent="0.25">
      <c r="C41" s="90" t="s">
        <v>433</v>
      </c>
      <c r="D41" s="90" t="s">
        <v>547</v>
      </c>
      <c r="E41" s="90" t="str">
        <f t="shared" si="0"/>
        <v>Droguería-Depende de la provisón</v>
      </c>
      <c r="F41" s="96"/>
      <c r="G41">
        <f>+COUNTIF(Tabulación!AK46:AK348,P_21_Cul!C41)</f>
        <v>46</v>
      </c>
    </row>
    <row r="42" spans="3:7" x14ac:dyDescent="0.25">
      <c r="C42" s="91" t="s">
        <v>435</v>
      </c>
      <c r="D42" s="91" t="s">
        <v>436</v>
      </c>
      <c r="E42" s="90" t="str">
        <f t="shared" si="0"/>
        <v>Dulces y Paquetes-Semanal</v>
      </c>
      <c r="F42" s="96"/>
      <c r="G42">
        <f>+COUNTIF(Tabulación!AK47:AK349,P_21_Cul!C42)</f>
        <v>55</v>
      </c>
    </row>
    <row r="43" spans="3:7" x14ac:dyDescent="0.25">
      <c r="C43" s="91" t="s">
        <v>434</v>
      </c>
      <c r="D43" s="91" t="s">
        <v>442</v>
      </c>
      <c r="E43" s="90" t="str">
        <f t="shared" si="0"/>
        <v>Aseo Personal-Mensual</v>
      </c>
      <c r="F43" s="96"/>
      <c r="G43">
        <f>+COUNTIF(Tabulación!AK48:AK350,P_21_Cul!C43)</f>
        <v>58</v>
      </c>
    </row>
    <row r="44" spans="3:7" x14ac:dyDescent="0.25">
      <c r="C44" s="92" t="s">
        <v>77</v>
      </c>
      <c r="D44" s="92" t="s">
        <v>442</v>
      </c>
      <c r="E44" s="90" t="str">
        <f t="shared" si="0"/>
        <v>Limpieza-Mensual</v>
      </c>
      <c r="F44" s="96"/>
      <c r="G44">
        <f>+COUNTIF(Tabulación!AK49:AK351,P_21_Cul!C44)</f>
        <v>56</v>
      </c>
    </row>
    <row r="45" spans="3:7" x14ac:dyDescent="0.25">
      <c r="C45" s="90" t="s">
        <v>433</v>
      </c>
      <c r="D45" s="90" t="s">
        <v>547</v>
      </c>
      <c r="E45" s="90" t="str">
        <f t="shared" si="0"/>
        <v>Droguería-Depende de la provisón</v>
      </c>
      <c r="F45" s="96"/>
      <c r="G45">
        <f>+COUNTIF(Tabulación!AK50:AK352,P_21_Cul!C45)</f>
        <v>45</v>
      </c>
    </row>
    <row r="46" spans="3:7" x14ac:dyDescent="0.25">
      <c r="C46" s="91" t="s">
        <v>435</v>
      </c>
      <c r="D46" s="91" t="s">
        <v>436</v>
      </c>
      <c r="E46" s="90" t="str">
        <f t="shared" si="0"/>
        <v>Dulces y Paquetes-Semanal</v>
      </c>
      <c r="F46" s="96"/>
      <c r="G46">
        <f>+COUNTIF(Tabulación!AK51:AK353,P_21_Cul!C46)</f>
        <v>54</v>
      </c>
    </row>
    <row r="47" spans="3:7" x14ac:dyDescent="0.25">
      <c r="C47" s="91" t="s">
        <v>434</v>
      </c>
      <c r="D47" s="91" t="s">
        <v>442</v>
      </c>
      <c r="E47" s="90" t="str">
        <f t="shared" si="0"/>
        <v>Aseo Personal-Mensual</v>
      </c>
      <c r="F47" s="96"/>
      <c r="G47">
        <f>+COUNTIF(Tabulación!AK52:AK354,P_21_Cul!C47)</f>
        <v>57</v>
      </c>
    </row>
    <row r="48" spans="3:7" x14ac:dyDescent="0.25">
      <c r="C48" s="92" t="s">
        <v>77</v>
      </c>
      <c r="D48" s="92" t="s">
        <v>442</v>
      </c>
      <c r="E48" s="90" t="str">
        <f t="shared" si="0"/>
        <v>Limpieza-Mensual</v>
      </c>
      <c r="F48" s="96"/>
      <c r="G48">
        <f>+COUNTIF(Tabulación!AK53:AK355,P_21_Cul!C48)</f>
        <v>55</v>
      </c>
    </row>
    <row r="49" spans="3:7" x14ac:dyDescent="0.25">
      <c r="C49" s="90" t="s">
        <v>433</v>
      </c>
      <c r="D49" s="90" t="s">
        <v>547</v>
      </c>
      <c r="E49" s="90" t="str">
        <f t="shared" si="0"/>
        <v>Droguería-Depende de la provisón</v>
      </c>
      <c r="F49" s="96"/>
      <c r="G49">
        <f>+COUNTIF(Tabulación!AK54:AK356,P_21_Cul!C49)</f>
        <v>44</v>
      </c>
    </row>
    <row r="50" spans="3:7" x14ac:dyDescent="0.25">
      <c r="C50" s="91" t="s">
        <v>435</v>
      </c>
      <c r="D50" s="91" t="s">
        <v>436</v>
      </c>
      <c r="E50" s="90" t="str">
        <f t="shared" si="0"/>
        <v>Dulces y Paquetes-Semanal</v>
      </c>
      <c r="F50" s="96"/>
      <c r="G50">
        <f>+COUNTIF(Tabulación!AK55:AK357,P_21_Cul!C50)</f>
        <v>53</v>
      </c>
    </row>
    <row r="51" spans="3:7" x14ac:dyDescent="0.25">
      <c r="C51" s="91" t="s">
        <v>434</v>
      </c>
      <c r="D51" s="91" t="s">
        <v>509</v>
      </c>
      <c r="E51" s="90" t="str">
        <f t="shared" si="0"/>
        <v>Aseo Personal-Quincenal</v>
      </c>
      <c r="F51" s="96"/>
      <c r="G51">
        <f>+COUNTIF(Tabulación!AK56:AK358,P_21_Cul!C51)</f>
        <v>56</v>
      </c>
    </row>
    <row r="52" spans="3:7" x14ac:dyDescent="0.25">
      <c r="C52" s="92" t="s">
        <v>77</v>
      </c>
      <c r="D52" s="92" t="s">
        <v>509</v>
      </c>
      <c r="E52" s="90" t="str">
        <f t="shared" si="0"/>
        <v>Limpieza-Quincenal</v>
      </c>
      <c r="F52" s="96"/>
      <c r="G52">
        <f>+COUNTIF(Tabulación!AK57:AK359,P_21_Cul!C52)</f>
        <v>54</v>
      </c>
    </row>
    <row r="53" spans="3:7" x14ac:dyDescent="0.25">
      <c r="C53" s="90" t="s">
        <v>433</v>
      </c>
      <c r="D53" s="90" t="s">
        <v>547</v>
      </c>
      <c r="E53" s="90" t="str">
        <f t="shared" si="0"/>
        <v>Droguería-Depende de la provisón</v>
      </c>
      <c r="F53" s="96"/>
      <c r="G53">
        <f>+COUNTIF(Tabulación!AK58:AK360,P_21_Cul!C53)</f>
        <v>43</v>
      </c>
    </row>
    <row r="54" spans="3:7" x14ac:dyDescent="0.25">
      <c r="C54" s="91" t="s">
        <v>435</v>
      </c>
      <c r="D54" s="91" t="s">
        <v>436</v>
      </c>
      <c r="E54" s="90" t="str">
        <f t="shared" si="0"/>
        <v>Dulces y Paquetes-Semanal</v>
      </c>
      <c r="F54" s="96"/>
      <c r="G54">
        <f>+COUNTIF(Tabulación!AK59:AK361,P_21_Cul!C54)</f>
        <v>52</v>
      </c>
    </row>
    <row r="55" spans="3:7" x14ac:dyDescent="0.25">
      <c r="C55" s="91" t="s">
        <v>434</v>
      </c>
      <c r="D55" s="91" t="s">
        <v>442</v>
      </c>
      <c r="E55" s="90" t="str">
        <f t="shared" si="0"/>
        <v>Aseo Personal-Mensual</v>
      </c>
      <c r="F55" s="96"/>
      <c r="G55">
        <f>+COUNTIF(Tabulación!AK60:AK362,P_21_Cul!C55)</f>
        <v>55</v>
      </c>
    </row>
    <row r="56" spans="3:7" x14ac:dyDescent="0.25">
      <c r="C56" s="92" t="s">
        <v>77</v>
      </c>
      <c r="D56" s="92" t="s">
        <v>442</v>
      </c>
      <c r="E56" s="90" t="str">
        <f t="shared" si="0"/>
        <v>Limpieza-Mensual</v>
      </c>
      <c r="F56" s="96"/>
      <c r="G56">
        <f>+COUNTIF(Tabulación!AK61:AK363,P_21_Cul!C56)</f>
        <v>53</v>
      </c>
    </row>
    <row r="57" spans="3:7" x14ac:dyDescent="0.25">
      <c r="C57" s="90" t="s">
        <v>433</v>
      </c>
      <c r="D57" s="90" t="s">
        <v>547</v>
      </c>
      <c r="E57" s="90" t="str">
        <f t="shared" si="0"/>
        <v>Droguería-Depende de la provisón</v>
      </c>
      <c r="F57" s="96"/>
      <c r="G57">
        <f>+COUNTIF(Tabulación!AK62:AK364,P_21_Cul!C57)</f>
        <v>42</v>
      </c>
    </row>
    <row r="58" spans="3:7" x14ac:dyDescent="0.25">
      <c r="C58" s="91" t="s">
        <v>435</v>
      </c>
      <c r="D58" s="91" t="s">
        <v>436</v>
      </c>
      <c r="E58" s="90" t="str">
        <f t="shared" si="0"/>
        <v>Dulces y Paquetes-Semanal</v>
      </c>
      <c r="F58" s="96"/>
      <c r="G58">
        <f>+COUNTIF(Tabulación!AK63:AK365,P_21_Cul!C58)</f>
        <v>51</v>
      </c>
    </row>
    <row r="59" spans="3:7" x14ac:dyDescent="0.25">
      <c r="C59" s="91" t="s">
        <v>434</v>
      </c>
      <c r="D59" s="91" t="s">
        <v>442</v>
      </c>
      <c r="E59" s="90" t="str">
        <f t="shared" si="0"/>
        <v>Aseo Personal-Mensual</v>
      </c>
      <c r="F59" s="96"/>
      <c r="G59">
        <f>+COUNTIF(Tabulación!AK64:AK366,P_21_Cul!C59)</f>
        <v>54</v>
      </c>
    </row>
    <row r="60" spans="3:7" x14ac:dyDescent="0.25">
      <c r="C60" s="92" t="s">
        <v>77</v>
      </c>
      <c r="D60" s="92" t="s">
        <v>442</v>
      </c>
      <c r="E60" s="90" t="str">
        <f t="shared" si="0"/>
        <v>Limpieza-Mensual</v>
      </c>
      <c r="F60" s="96"/>
      <c r="G60">
        <f>+COUNTIF(Tabulación!AK65:AK367,P_21_Cul!C60)</f>
        <v>52</v>
      </c>
    </row>
    <row r="61" spans="3:7" x14ac:dyDescent="0.25">
      <c r="C61" s="90" t="s">
        <v>433</v>
      </c>
      <c r="D61" s="90" t="s">
        <v>509</v>
      </c>
      <c r="E61" s="90" t="str">
        <f t="shared" si="0"/>
        <v>Droguería-Quincenal</v>
      </c>
      <c r="F61" s="96"/>
      <c r="G61">
        <f>+COUNTIF(Tabulación!AK66:AK368,P_21_Cul!C61)</f>
        <v>41</v>
      </c>
    </row>
    <row r="62" spans="3:7" x14ac:dyDescent="0.25">
      <c r="C62" s="91" t="s">
        <v>435</v>
      </c>
      <c r="D62" s="91" t="s">
        <v>436</v>
      </c>
      <c r="E62" s="90" t="str">
        <f t="shared" si="0"/>
        <v>Dulces y Paquetes-Semanal</v>
      </c>
      <c r="F62" s="96"/>
      <c r="G62">
        <f>+COUNTIF(Tabulación!AK67:AK369,P_21_Cul!C62)</f>
        <v>50</v>
      </c>
    </row>
    <row r="63" spans="3:7" x14ac:dyDescent="0.25">
      <c r="C63" s="91" t="s">
        <v>434</v>
      </c>
      <c r="D63" s="91" t="s">
        <v>436</v>
      </c>
      <c r="E63" s="90" t="str">
        <f t="shared" si="0"/>
        <v>Aseo Personal-Semanal</v>
      </c>
      <c r="F63" s="96"/>
      <c r="G63">
        <f>+COUNTIF(Tabulación!AK68:AK370,P_21_Cul!C63)</f>
        <v>53</v>
      </c>
    </row>
    <row r="64" spans="3:7" x14ac:dyDescent="0.25">
      <c r="C64" s="91" t="s">
        <v>77</v>
      </c>
      <c r="D64" s="91" t="s">
        <v>436</v>
      </c>
      <c r="E64" s="90" t="str">
        <f t="shared" si="0"/>
        <v>Limpieza-Semanal</v>
      </c>
      <c r="F64" s="96"/>
      <c r="G64">
        <f>+COUNTIF(Tabulación!AK69:AK371,P_21_Cul!C64)</f>
        <v>51</v>
      </c>
    </row>
    <row r="65" spans="3:7" x14ac:dyDescent="0.25">
      <c r="C65" s="90" t="s">
        <v>435</v>
      </c>
      <c r="D65" s="90" t="s">
        <v>436</v>
      </c>
      <c r="E65" s="90" t="str">
        <f t="shared" ref="E65:E122" si="1">CONCATENATE(C65,"-",D65)</f>
        <v>Dulces y Paquetes-Semanal</v>
      </c>
      <c r="F65" s="96"/>
      <c r="G65">
        <f>+COUNTIF(Tabulación!AK72:AK374,P_21_Cul!C65)</f>
        <v>49</v>
      </c>
    </row>
    <row r="66" spans="3:7" x14ac:dyDescent="0.25">
      <c r="C66" s="91" t="s">
        <v>434</v>
      </c>
      <c r="D66" s="91" t="s">
        <v>509</v>
      </c>
      <c r="E66" s="90" t="str">
        <f t="shared" si="1"/>
        <v>Aseo Personal-Quincenal</v>
      </c>
      <c r="F66" s="96"/>
      <c r="G66">
        <f>+COUNTIF(Tabulación!AK73:AK375,P_21_Cul!C66)</f>
        <v>52</v>
      </c>
    </row>
    <row r="67" spans="3:7" x14ac:dyDescent="0.25">
      <c r="C67" s="92" t="s">
        <v>77</v>
      </c>
      <c r="D67" s="92" t="s">
        <v>509</v>
      </c>
      <c r="E67" s="90" t="str">
        <f t="shared" si="1"/>
        <v>Limpieza-Quincenal</v>
      </c>
      <c r="F67" s="96"/>
      <c r="G67">
        <f>+COUNTIF(Tabulación!AK74:AK376,P_21_Cul!C67)</f>
        <v>50</v>
      </c>
    </row>
    <row r="68" spans="3:7" x14ac:dyDescent="0.25">
      <c r="C68" s="90" t="s">
        <v>551</v>
      </c>
      <c r="D68" s="90" t="s">
        <v>436</v>
      </c>
      <c r="E68" s="90" t="str">
        <f t="shared" si="1"/>
        <v>Farmacia-Semanal</v>
      </c>
      <c r="F68" s="96"/>
      <c r="G68">
        <f>+COUNTIF(Tabulación!AK75:AK377,P_21_Cul!C68)</f>
        <v>8</v>
      </c>
    </row>
    <row r="69" spans="3:7" x14ac:dyDescent="0.25">
      <c r="C69" s="91" t="s">
        <v>434</v>
      </c>
      <c r="D69" s="91" t="s">
        <v>436</v>
      </c>
      <c r="E69" s="90" t="str">
        <f t="shared" si="1"/>
        <v>Aseo Personal-Semanal</v>
      </c>
      <c r="F69" s="96"/>
      <c r="G69">
        <f>+COUNTIF(Tabulación!AK76:AK378,P_21_Cul!C69)</f>
        <v>51</v>
      </c>
    </row>
    <row r="70" spans="3:7" x14ac:dyDescent="0.25">
      <c r="C70" s="90" t="s">
        <v>433</v>
      </c>
      <c r="D70" s="90" t="s">
        <v>436</v>
      </c>
      <c r="E70" s="90" t="str">
        <f t="shared" si="1"/>
        <v>Droguería-Semanal</v>
      </c>
      <c r="F70" s="96"/>
      <c r="G70">
        <f>+COUNTIF(Tabulación!AK79:AK381,P_21_Cul!C70)</f>
        <v>40</v>
      </c>
    </row>
    <row r="71" spans="3:7" x14ac:dyDescent="0.25">
      <c r="C71" s="91" t="s">
        <v>435</v>
      </c>
      <c r="D71" s="91" t="s">
        <v>509</v>
      </c>
      <c r="E71" s="90" t="str">
        <f t="shared" si="1"/>
        <v>Dulces y Paquetes-Quincenal</v>
      </c>
      <c r="F71" s="96"/>
      <c r="G71">
        <f>+COUNTIF(Tabulación!AK80:AK382,P_21_Cul!C71)</f>
        <v>48</v>
      </c>
    </row>
    <row r="72" spans="3:7" x14ac:dyDescent="0.25">
      <c r="C72" s="91" t="s">
        <v>434</v>
      </c>
      <c r="D72" s="91" t="s">
        <v>436</v>
      </c>
      <c r="E72" s="90" t="str">
        <f t="shared" si="1"/>
        <v>Aseo Personal-Semanal</v>
      </c>
      <c r="F72" s="96"/>
      <c r="G72">
        <f>+COUNTIF(Tabulación!AK81:AK383,P_21_Cul!C72)</f>
        <v>50</v>
      </c>
    </row>
    <row r="73" spans="3:7" x14ac:dyDescent="0.25">
      <c r="C73" s="92" t="s">
        <v>77</v>
      </c>
      <c r="D73" s="92" t="s">
        <v>436</v>
      </c>
      <c r="E73" s="90" t="str">
        <f t="shared" si="1"/>
        <v>Limpieza-Semanal</v>
      </c>
      <c r="F73" s="96"/>
      <c r="G73">
        <f>+COUNTIF(Tabulación!AK82:AK384,P_21_Cul!C73)</f>
        <v>49</v>
      </c>
    </row>
    <row r="74" spans="3:7" x14ac:dyDescent="0.25">
      <c r="C74" s="90" t="s">
        <v>433</v>
      </c>
      <c r="D74" s="90" t="s">
        <v>436</v>
      </c>
      <c r="E74" s="90" t="str">
        <f t="shared" si="1"/>
        <v>Droguería-Semanal</v>
      </c>
      <c r="F74" s="96"/>
      <c r="G74">
        <f>+COUNTIF(Tabulación!AK83:AK385,P_21_Cul!C74)</f>
        <v>39</v>
      </c>
    </row>
    <row r="75" spans="3:7" x14ac:dyDescent="0.25">
      <c r="C75" s="91" t="s">
        <v>434</v>
      </c>
      <c r="D75" s="91" t="s">
        <v>509</v>
      </c>
      <c r="E75" s="90" t="str">
        <f t="shared" si="1"/>
        <v>Aseo Personal-Quincenal</v>
      </c>
      <c r="F75" s="96"/>
      <c r="G75">
        <f>+COUNTIF(Tabulación!AK84:AK386,P_21_Cul!C75)</f>
        <v>49</v>
      </c>
    </row>
    <row r="76" spans="3:7" x14ac:dyDescent="0.25">
      <c r="C76" s="91" t="s">
        <v>77</v>
      </c>
      <c r="D76" s="91" t="s">
        <v>509</v>
      </c>
      <c r="E76" s="90" t="str">
        <f t="shared" si="1"/>
        <v>Limpieza-Quincenal</v>
      </c>
      <c r="F76" s="96"/>
      <c r="G76">
        <f>+COUNTIF(Tabulación!AK85:AK387,P_21_Cul!C76)</f>
        <v>48</v>
      </c>
    </row>
    <row r="77" spans="3:7" x14ac:dyDescent="0.25">
      <c r="C77" s="90" t="s">
        <v>433</v>
      </c>
      <c r="D77" s="90" t="s">
        <v>442</v>
      </c>
      <c r="E77" s="90" t="str">
        <f t="shared" si="1"/>
        <v>Droguería-Mensual</v>
      </c>
      <c r="F77" s="96"/>
      <c r="G77">
        <f>+COUNTIF(Tabulación!AK87:AK389,P_21_Cul!C77)</f>
        <v>38</v>
      </c>
    </row>
    <row r="78" spans="3:7" x14ac:dyDescent="0.25">
      <c r="C78" s="91" t="s">
        <v>435</v>
      </c>
      <c r="D78" s="91" t="s">
        <v>436</v>
      </c>
      <c r="E78" s="90" t="str">
        <f t="shared" si="1"/>
        <v>Dulces y Paquetes-Semanal</v>
      </c>
      <c r="F78" s="96"/>
      <c r="G78">
        <f>+COUNTIF(Tabulación!AK88:AK390,P_21_Cul!C78)</f>
        <v>47</v>
      </c>
    </row>
    <row r="79" spans="3:7" x14ac:dyDescent="0.25">
      <c r="C79" s="91" t="s">
        <v>434</v>
      </c>
      <c r="D79" s="91" t="s">
        <v>509</v>
      </c>
      <c r="E79" s="90" t="str">
        <f t="shared" si="1"/>
        <v>Aseo Personal-Quincenal</v>
      </c>
      <c r="F79" s="96"/>
      <c r="G79">
        <f>+COUNTIF(Tabulación!AK89:AK391,P_21_Cul!C79)</f>
        <v>48</v>
      </c>
    </row>
    <row r="80" spans="3:7" x14ac:dyDescent="0.25">
      <c r="C80" s="92" t="s">
        <v>77</v>
      </c>
      <c r="D80" s="92" t="s">
        <v>509</v>
      </c>
      <c r="E80" s="90" t="str">
        <f t="shared" si="1"/>
        <v>Limpieza-Quincenal</v>
      </c>
      <c r="F80" s="96"/>
      <c r="G80">
        <f>+COUNTIF(Tabulación!AK90:AK392,P_21_Cul!C80)</f>
        <v>47</v>
      </c>
    </row>
    <row r="81" spans="3:7" x14ac:dyDescent="0.25">
      <c r="C81" s="90" t="s">
        <v>433</v>
      </c>
      <c r="D81" s="90" t="s">
        <v>509</v>
      </c>
      <c r="E81" s="90" t="str">
        <f t="shared" si="1"/>
        <v>Droguería-Quincenal</v>
      </c>
      <c r="F81" s="96"/>
      <c r="G81">
        <f>+COUNTIF(Tabulación!AK91:AK393,P_21_Cul!C81)</f>
        <v>37</v>
      </c>
    </row>
    <row r="82" spans="3:7" x14ac:dyDescent="0.25">
      <c r="C82" s="91" t="s">
        <v>435</v>
      </c>
      <c r="D82" s="91" t="s">
        <v>436</v>
      </c>
      <c r="E82" s="90" t="str">
        <f t="shared" si="1"/>
        <v>Dulces y Paquetes-Semanal</v>
      </c>
      <c r="F82" s="96"/>
      <c r="G82">
        <f>+COUNTIF(Tabulación!AK92:AK394,P_21_Cul!C82)</f>
        <v>46</v>
      </c>
    </row>
    <row r="83" spans="3:7" x14ac:dyDescent="0.25">
      <c r="C83" s="91" t="s">
        <v>434</v>
      </c>
      <c r="D83" s="91" t="s">
        <v>436</v>
      </c>
      <c r="E83" s="90" t="str">
        <f t="shared" si="1"/>
        <v>Aseo Personal-Semanal</v>
      </c>
      <c r="F83" s="96"/>
      <c r="G83">
        <f>+COUNTIF(Tabulación!AK93:AK395,P_21_Cul!C83)</f>
        <v>47</v>
      </c>
    </row>
    <row r="84" spans="3:7" x14ac:dyDescent="0.25">
      <c r="C84" s="92" t="s">
        <v>77</v>
      </c>
      <c r="D84" s="92" t="s">
        <v>436</v>
      </c>
      <c r="E84" s="90" t="str">
        <f t="shared" si="1"/>
        <v>Limpieza-Semanal</v>
      </c>
      <c r="F84" s="96"/>
      <c r="G84">
        <f>+COUNTIF(Tabulación!AK94:AK396,P_21_Cul!C84)</f>
        <v>46</v>
      </c>
    </row>
    <row r="85" spans="3:7" x14ac:dyDescent="0.25">
      <c r="C85" s="90" t="s">
        <v>433</v>
      </c>
      <c r="D85" s="90" t="s">
        <v>442</v>
      </c>
      <c r="E85" s="90" t="str">
        <f t="shared" si="1"/>
        <v>Droguería-Mensual</v>
      </c>
      <c r="F85" s="96"/>
      <c r="G85">
        <f>+COUNTIF(Tabulación!AK95:AK397,P_21_Cul!C85)</f>
        <v>36</v>
      </c>
    </row>
    <row r="86" spans="3:7" x14ac:dyDescent="0.25">
      <c r="C86" s="91" t="s">
        <v>435</v>
      </c>
      <c r="D86" s="91" t="s">
        <v>442</v>
      </c>
      <c r="E86" s="90" t="str">
        <f t="shared" si="1"/>
        <v>Dulces y Paquetes-Mensual</v>
      </c>
      <c r="F86" s="96"/>
      <c r="G86">
        <f>+COUNTIF(Tabulación!AK96:AK398,P_21_Cul!C86)</f>
        <v>45</v>
      </c>
    </row>
    <row r="87" spans="3:7" x14ac:dyDescent="0.25">
      <c r="C87" s="91" t="s">
        <v>434</v>
      </c>
      <c r="D87" s="91" t="s">
        <v>509</v>
      </c>
      <c r="E87" s="90" t="str">
        <f t="shared" si="1"/>
        <v>Aseo Personal-Quincenal</v>
      </c>
      <c r="F87" s="96"/>
      <c r="G87">
        <f>+COUNTIF(Tabulación!AK97:AK399,P_21_Cul!C87)</f>
        <v>46</v>
      </c>
    </row>
    <row r="88" spans="3:7" x14ac:dyDescent="0.25">
      <c r="C88" s="92" t="s">
        <v>77</v>
      </c>
      <c r="D88" s="92" t="s">
        <v>509</v>
      </c>
      <c r="E88" s="90" t="str">
        <f t="shared" si="1"/>
        <v>Limpieza-Quincenal</v>
      </c>
      <c r="F88" s="96"/>
      <c r="G88">
        <f>+COUNTIF(Tabulación!AK98:AK400,P_21_Cul!C88)</f>
        <v>45</v>
      </c>
    </row>
    <row r="89" spans="3:7" x14ac:dyDescent="0.25">
      <c r="C89" s="90" t="s">
        <v>435</v>
      </c>
      <c r="D89" s="90" t="s">
        <v>436</v>
      </c>
      <c r="E89" s="90" t="str">
        <f t="shared" si="1"/>
        <v>Dulces y Paquetes-Semanal</v>
      </c>
      <c r="F89" s="96"/>
      <c r="G89">
        <f>+COUNTIF(Tabulación!AK99:AK401,P_21_Cul!C89)</f>
        <v>44</v>
      </c>
    </row>
    <row r="90" spans="3:7" x14ac:dyDescent="0.25">
      <c r="C90" s="91" t="s">
        <v>434</v>
      </c>
      <c r="D90" s="91" t="s">
        <v>509</v>
      </c>
      <c r="E90" s="90" t="str">
        <f t="shared" si="1"/>
        <v>Aseo Personal-Quincenal</v>
      </c>
      <c r="F90" s="96"/>
      <c r="G90">
        <f>+COUNTIF(Tabulación!AK100:AK402,P_21_Cul!C90)</f>
        <v>45</v>
      </c>
    </row>
    <row r="91" spans="3:7" x14ac:dyDescent="0.25">
      <c r="C91" s="92" t="s">
        <v>77</v>
      </c>
      <c r="D91" s="92" t="s">
        <v>509</v>
      </c>
      <c r="E91" s="90" t="str">
        <f t="shared" si="1"/>
        <v>Limpieza-Quincenal</v>
      </c>
      <c r="F91" s="96"/>
      <c r="G91">
        <f>+COUNTIF(Tabulación!AK101:AK403,P_21_Cul!C91)</f>
        <v>44</v>
      </c>
    </row>
    <row r="92" spans="3:7" x14ac:dyDescent="0.25">
      <c r="C92" s="90" t="s">
        <v>433</v>
      </c>
      <c r="D92" s="90" t="s">
        <v>572</v>
      </c>
      <c r="E92" s="90" t="str">
        <f t="shared" si="1"/>
        <v>Droguería-Depende la provisión</v>
      </c>
      <c r="F92" s="96"/>
      <c r="G92">
        <f>+COUNTIF(Tabulación!AK102:AK404,P_21_Cul!C92)</f>
        <v>35</v>
      </c>
    </row>
    <row r="93" spans="3:7" x14ac:dyDescent="0.25">
      <c r="C93" s="91" t="s">
        <v>435</v>
      </c>
      <c r="D93" s="91" t="s">
        <v>436</v>
      </c>
      <c r="E93" s="90" t="str">
        <f t="shared" si="1"/>
        <v>Dulces y Paquetes-Semanal</v>
      </c>
      <c r="F93" s="96"/>
      <c r="G93">
        <f>+COUNTIF(Tabulación!AK103:AK405,P_21_Cul!C93)</f>
        <v>43</v>
      </c>
    </row>
    <row r="94" spans="3:7" x14ac:dyDescent="0.25">
      <c r="C94" s="91" t="s">
        <v>434</v>
      </c>
      <c r="D94" s="91" t="s">
        <v>509</v>
      </c>
      <c r="E94" s="90" t="str">
        <f t="shared" si="1"/>
        <v>Aseo Personal-Quincenal</v>
      </c>
      <c r="F94" s="96"/>
      <c r="G94">
        <f>+COUNTIF(Tabulación!AK104:AK406,P_21_Cul!C94)</f>
        <v>44</v>
      </c>
    </row>
    <row r="95" spans="3:7" x14ac:dyDescent="0.25">
      <c r="C95" s="92" t="s">
        <v>77</v>
      </c>
      <c r="D95" s="92" t="s">
        <v>442</v>
      </c>
      <c r="E95" s="90" t="str">
        <f t="shared" si="1"/>
        <v>Limpieza-Mensual</v>
      </c>
      <c r="F95" s="96"/>
      <c r="G95">
        <f>+COUNTIF(Tabulación!AK105:AK407,P_21_Cul!C95)</f>
        <v>43</v>
      </c>
    </row>
    <row r="96" spans="3:7" x14ac:dyDescent="0.25">
      <c r="C96" s="90" t="s">
        <v>433</v>
      </c>
      <c r="D96" s="90" t="s">
        <v>442</v>
      </c>
      <c r="E96" s="90" t="str">
        <f t="shared" si="1"/>
        <v>Droguería-Mensual</v>
      </c>
      <c r="F96" s="96"/>
      <c r="G96">
        <f>+COUNTIF(Tabulación!AK106:AK408,P_21_Cul!C96)</f>
        <v>34</v>
      </c>
    </row>
    <row r="97" spans="3:7" x14ac:dyDescent="0.25">
      <c r="C97" s="91" t="s">
        <v>435</v>
      </c>
      <c r="D97" s="91" t="s">
        <v>509</v>
      </c>
      <c r="E97" s="90" t="str">
        <f t="shared" si="1"/>
        <v>Dulces y Paquetes-Quincenal</v>
      </c>
      <c r="F97" s="96"/>
      <c r="G97">
        <f>+COUNTIF(Tabulación!AK107:AK409,P_21_Cul!C97)</f>
        <v>42</v>
      </c>
    </row>
    <row r="98" spans="3:7" x14ac:dyDescent="0.25">
      <c r="C98" s="91" t="s">
        <v>434</v>
      </c>
      <c r="D98" s="91" t="s">
        <v>509</v>
      </c>
      <c r="E98" s="90" t="str">
        <f t="shared" si="1"/>
        <v>Aseo Personal-Quincenal</v>
      </c>
      <c r="F98" s="96"/>
      <c r="G98">
        <f>+COUNTIF(Tabulación!AK108:AK410,P_21_Cul!C98)</f>
        <v>43</v>
      </c>
    </row>
    <row r="99" spans="3:7" x14ac:dyDescent="0.25">
      <c r="C99" s="92" t="s">
        <v>77</v>
      </c>
      <c r="D99" s="92" t="s">
        <v>509</v>
      </c>
      <c r="E99" s="90" t="str">
        <f t="shared" si="1"/>
        <v>Limpieza-Quincenal</v>
      </c>
      <c r="F99" s="96"/>
      <c r="G99">
        <f>+COUNTIF(Tabulación!AK109:AK411,P_21_Cul!C99)</f>
        <v>42</v>
      </c>
    </row>
    <row r="100" spans="3:7" x14ac:dyDescent="0.25">
      <c r="C100" s="90" t="s">
        <v>433</v>
      </c>
      <c r="D100" s="90" t="s">
        <v>572</v>
      </c>
      <c r="E100" s="90" t="str">
        <f t="shared" si="1"/>
        <v>Droguería-Depende la provisión</v>
      </c>
      <c r="F100" s="96"/>
      <c r="G100">
        <f>+COUNTIF(Tabulación!AK110:AK412,P_21_Cul!C100)</f>
        <v>33</v>
      </c>
    </row>
    <row r="101" spans="3:7" x14ac:dyDescent="0.25">
      <c r="C101" s="91" t="s">
        <v>435</v>
      </c>
      <c r="D101" s="91" t="s">
        <v>436</v>
      </c>
      <c r="E101" s="90" t="str">
        <f t="shared" si="1"/>
        <v>Dulces y Paquetes-Semanal</v>
      </c>
      <c r="F101" s="96"/>
      <c r="G101">
        <f>+COUNTIF(Tabulación!AK111:AK413,P_21_Cul!C101)</f>
        <v>41</v>
      </c>
    </row>
    <row r="102" spans="3:7" x14ac:dyDescent="0.25">
      <c r="C102" s="91" t="s">
        <v>434</v>
      </c>
      <c r="D102" s="91" t="s">
        <v>442</v>
      </c>
      <c r="E102" s="90" t="str">
        <f t="shared" si="1"/>
        <v>Aseo Personal-Mensual</v>
      </c>
      <c r="F102" s="96"/>
      <c r="G102">
        <f>+COUNTIF(Tabulación!AK112:AK414,P_21_Cul!C102)</f>
        <v>42</v>
      </c>
    </row>
    <row r="103" spans="3:7" x14ac:dyDescent="0.25">
      <c r="C103" s="92" t="s">
        <v>77</v>
      </c>
      <c r="D103" s="92" t="s">
        <v>442</v>
      </c>
      <c r="E103" s="90" t="str">
        <f t="shared" si="1"/>
        <v>Limpieza-Mensual</v>
      </c>
      <c r="F103" s="96"/>
      <c r="G103">
        <f>+COUNTIF(Tabulación!AK113:AK415,P_21_Cul!C103)</f>
        <v>41</v>
      </c>
    </row>
    <row r="104" spans="3:7" x14ac:dyDescent="0.25">
      <c r="C104" s="90" t="s">
        <v>433</v>
      </c>
      <c r="D104" s="90" t="s">
        <v>509</v>
      </c>
      <c r="E104" s="90" t="str">
        <f t="shared" si="1"/>
        <v>Droguería-Quincenal</v>
      </c>
      <c r="F104" s="96"/>
      <c r="G104">
        <f>+COUNTIF(Tabulación!AK114:AK416,P_21_Cul!C104)</f>
        <v>32</v>
      </c>
    </row>
    <row r="105" spans="3:7" x14ac:dyDescent="0.25">
      <c r="C105" s="91" t="s">
        <v>435</v>
      </c>
      <c r="D105" s="91" t="s">
        <v>436</v>
      </c>
      <c r="E105" s="90" t="str">
        <f t="shared" si="1"/>
        <v>Dulces y Paquetes-Semanal</v>
      </c>
      <c r="F105" s="96"/>
      <c r="G105">
        <f>+COUNTIF(Tabulación!AK115:AK417,P_21_Cul!C105)</f>
        <v>40</v>
      </c>
    </row>
    <row r="106" spans="3:7" x14ac:dyDescent="0.25">
      <c r="C106" s="91" t="s">
        <v>434</v>
      </c>
      <c r="D106" s="91" t="s">
        <v>509</v>
      </c>
      <c r="E106" s="90" t="str">
        <f t="shared" si="1"/>
        <v>Aseo Personal-Quincenal</v>
      </c>
      <c r="F106" s="96"/>
      <c r="G106">
        <f>+COUNTIF(Tabulación!AK116:AK418,P_21_Cul!C106)</f>
        <v>41</v>
      </c>
    </row>
    <row r="107" spans="3:7" x14ac:dyDescent="0.25">
      <c r="C107" s="92" t="s">
        <v>77</v>
      </c>
      <c r="D107" s="92" t="s">
        <v>436</v>
      </c>
      <c r="E107" s="90" t="str">
        <f t="shared" si="1"/>
        <v>Limpieza-Semanal</v>
      </c>
      <c r="F107" s="96"/>
      <c r="G107">
        <f>+COUNTIF(Tabulación!AK117:AK419,P_21_Cul!C107)</f>
        <v>40</v>
      </c>
    </row>
    <row r="108" spans="3:7" x14ac:dyDescent="0.25">
      <c r="C108" s="90" t="s">
        <v>433</v>
      </c>
      <c r="D108" s="90" t="s">
        <v>509</v>
      </c>
      <c r="E108" s="90" t="str">
        <f t="shared" si="1"/>
        <v>Droguería-Quincenal</v>
      </c>
      <c r="F108" s="96"/>
      <c r="G108">
        <f>+COUNTIF(Tabulación!AK118:AK420,P_21_Cul!C108)</f>
        <v>31</v>
      </c>
    </row>
    <row r="109" spans="3:7" x14ac:dyDescent="0.25">
      <c r="C109" s="91" t="s">
        <v>435</v>
      </c>
      <c r="D109" s="91" t="s">
        <v>436</v>
      </c>
      <c r="E109" s="90" t="str">
        <f t="shared" si="1"/>
        <v>Dulces y Paquetes-Semanal</v>
      </c>
      <c r="F109" s="96"/>
      <c r="G109">
        <f>+COUNTIF(Tabulación!AK119:AK421,P_21_Cul!C109)</f>
        <v>39</v>
      </c>
    </row>
    <row r="110" spans="3:7" x14ac:dyDescent="0.25">
      <c r="C110" s="91" t="s">
        <v>434</v>
      </c>
      <c r="D110" s="91" t="s">
        <v>436</v>
      </c>
      <c r="E110" s="90" t="str">
        <f t="shared" si="1"/>
        <v>Aseo Personal-Semanal</v>
      </c>
      <c r="F110" s="96"/>
      <c r="G110">
        <f>+COUNTIF(Tabulación!AK120:AK422,P_21_Cul!C110)</f>
        <v>40</v>
      </c>
    </row>
    <row r="111" spans="3:7" x14ac:dyDescent="0.25">
      <c r="C111" s="92" t="s">
        <v>77</v>
      </c>
      <c r="D111" s="92" t="s">
        <v>436</v>
      </c>
      <c r="E111" s="90" t="str">
        <f t="shared" si="1"/>
        <v>Limpieza-Semanal</v>
      </c>
      <c r="F111" s="96"/>
      <c r="G111">
        <f>+COUNTIF(Tabulación!AK121:AK423,P_21_Cul!C111)</f>
        <v>39</v>
      </c>
    </row>
    <row r="112" spans="3:7" x14ac:dyDescent="0.25">
      <c r="C112" s="90" t="s">
        <v>435</v>
      </c>
      <c r="D112" s="90" t="s">
        <v>436</v>
      </c>
      <c r="E112" s="90" t="str">
        <f t="shared" si="1"/>
        <v>Dulces y Paquetes-Semanal</v>
      </c>
      <c r="F112" s="96"/>
      <c r="G112">
        <f>+COUNTIF(Tabulación!AK122:AK424,P_21_Cul!C112)</f>
        <v>38</v>
      </c>
    </row>
    <row r="113" spans="3:7" x14ac:dyDescent="0.25">
      <c r="C113" s="91" t="s">
        <v>434</v>
      </c>
      <c r="D113" s="91" t="s">
        <v>509</v>
      </c>
      <c r="E113" s="90" t="str">
        <f t="shared" si="1"/>
        <v>Aseo Personal-Quincenal</v>
      </c>
      <c r="F113" s="96"/>
      <c r="G113">
        <f>+COUNTIF(Tabulación!AK123:AK425,P_21_Cul!C113)</f>
        <v>39</v>
      </c>
    </row>
    <row r="114" spans="3:7" x14ac:dyDescent="0.25">
      <c r="C114" s="91" t="s">
        <v>77</v>
      </c>
      <c r="D114" s="91" t="s">
        <v>509</v>
      </c>
      <c r="E114" s="90" t="str">
        <f t="shared" si="1"/>
        <v>Limpieza-Quincenal</v>
      </c>
      <c r="F114" s="96"/>
      <c r="G114">
        <f>+COUNTIF(Tabulación!AK124:AK426,P_21_Cul!C114)</f>
        <v>38</v>
      </c>
    </row>
    <row r="115" spans="3:7" x14ac:dyDescent="0.25">
      <c r="C115" s="92"/>
      <c r="D115" s="92"/>
      <c r="E115" s="90"/>
      <c r="F115" s="96"/>
      <c r="G115">
        <f>+COUNTIF(Tabulación!AK125:AK427,P_21_Cul!C115)</f>
        <v>0</v>
      </c>
    </row>
    <row r="116" spans="3:7" x14ac:dyDescent="0.25">
      <c r="C116" s="90" t="s">
        <v>551</v>
      </c>
      <c r="D116" s="90" t="s">
        <v>436</v>
      </c>
      <c r="E116" s="90" t="str">
        <f t="shared" si="1"/>
        <v>Farmacia-Semanal</v>
      </c>
      <c r="F116" s="96"/>
      <c r="G116">
        <f>+COUNTIF(Tabulación!AK126:AK428,P_21_Cul!C116)</f>
        <v>7</v>
      </c>
    </row>
    <row r="117" spans="3:7" x14ac:dyDescent="0.25">
      <c r="C117" s="91" t="s">
        <v>433</v>
      </c>
      <c r="D117" s="91" t="s">
        <v>436</v>
      </c>
      <c r="E117" s="90" t="str">
        <f t="shared" si="1"/>
        <v>Droguería-Semanal</v>
      </c>
      <c r="F117" s="96"/>
      <c r="G117">
        <f>+COUNTIF(Tabulación!AK127:AK429,P_21_Cul!C117)</f>
        <v>30</v>
      </c>
    </row>
    <row r="118" spans="3:7" x14ac:dyDescent="0.25">
      <c r="C118" s="91" t="s">
        <v>435</v>
      </c>
      <c r="D118" s="91" t="s">
        <v>509</v>
      </c>
      <c r="E118" s="90" t="str">
        <f t="shared" si="1"/>
        <v>Dulces y Paquetes-Quincenal</v>
      </c>
      <c r="F118" s="96"/>
      <c r="G118">
        <f>+COUNTIF(Tabulación!AK128:AK430,P_21_Cul!C118)</f>
        <v>37</v>
      </c>
    </row>
    <row r="119" spans="3:7" x14ac:dyDescent="0.25">
      <c r="C119" s="91" t="s">
        <v>434</v>
      </c>
      <c r="D119" s="91" t="s">
        <v>509</v>
      </c>
      <c r="E119" s="90" t="str">
        <f t="shared" si="1"/>
        <v>Aseo Personal-Quincenal</v>
      </c>
      <c r="F119" s="96"/>
      <c r="G119">
        <f>+COUNTIF(Tabulación!AK129:AK431,P_21_Cul!C119)</f>
        <v>38</v>
      </c>
    </row>
    <row r="120" spans="3:7" x14ac:dyDescent="0.25">
      <c r="C120" s="92" t="s">
        <v>77</v>
      </c>
      <c r="D120" s="91" t="s">
        <v>436</v>
      </c>
      <c r="E120" s="90" t="str">
        <f t="shared" si="1"/>
        <v>Limpieza-Semanal</v>
      </c>
      <c r="F120" s="96"/>
      <c r="G120">
        <f>+COUNTIF(Tabulación!AK130:AK432,P_21_Cul!C120)</f>
        <v>37</v>
      </c>
    </row>
    <row r="121" spans="3:7" x14ac:dyDescent="0.25">
      <c r="C121" s="90" t="s">
        <v>435</v>
      </c>
      <c r="D121" s="90" t="s">
        <v>436</v>
      </c>
      <c r="E121" s="90" t="str">
        <f t="shared" si="1"/>
        <v>Dulces y Paquetes-Semanal</v>
      </c>
      <c r="F121" s="96"/>
      <c r="G121">
        <f>+COUNTIF(Tabulación!AK131:AK433,P_21_Cul!C121)</f>
        <v>36</v>
      </c>
    </row>
    <row r="122" spans="3:7" x14ac:dyDescent="0.25">
      <c r="C122" s="91" t="s">
        <v>77</v>
      </c>
      <c r="D122" s="91" t="s">
        <v>543</v>
      </c>
      <c r="E122" s="90" t="str">
        <f t="shared" si="1"/>
        <v>Limpieza-Depende de la provisión</v>
      </c>
      <c r="F122" s="96"/>
      <c r="G122">
        <f>+COUNTIF(Tabulación!AK132:AK434,P_21_Cul!C122)</f>
        <v>36</v>
      </c>
    </row>
    <row r="123" spans="3:7" x14ac:dyDescent="0.25">
      <c r="C123" s="90" t="s">
        <v>435</v>
      </c>
      <c r="D123" s="90" t="s">
        <v>543</v>
      </c>
      <c r="E123" s="90" t="str">
        <f t="shared" ref="E123:E174" si="2">CONCATENATE(C123,"-",D123)</f>
        <v>Dulces y Paquetes-Depende de la provisión</v>
      </c>
      <c r="F123" s="96"/>
      <c r="G123">
        <f>+COUNTIF(Tabulación!AK135:AK437,P_21_Cul!C123)</f>
        <v>35</v>
      </c>
    </row>
    <row r="124" spans="3:7" x14ac:dyDescent="0.25">
      <c r="C124" s="90" t="s">
        <v>433</v>
      </c>
      <c r="D124" s="90" t="s">
        <v>509</v>
      </c>
      <c r="E124" s="90" t="str">
        <f t="shared" si="2"/>
        <v>Droguería-Quincenal</v>
      </c>
      <c r="F124" s="96"/>
      <c r="G124">
        <f>+COUNTIF(Tabulación!AK138:AK440,P_21_Cul!C124)</f>
        <v>29</v>
      </c>
    </row>
    <row r="125" spans="3:7" x14ac:dyDescent="0.25">
      <c r="C125" s="91" t="s">
        <v>435</v>
      </c>
      <c r="D125" s="91" t="s">
        <v>509</v>
      </c>
      <c r="E125" s="90" t="str">
        <f t="shared" si="2"/>
        <v>Dulces y Paquetes-Quincenal</v>
      </c>
      <c r="F125" s="96"/>
      <c r="G125">
        <f>+COUNTIF(Tabulación!AK139:AK441,P_21_Cul!C125)</f>
        <v>34</v>
      </c>
    </row>
    <row r="126" spans="3:7" x14ac:dyDescent="0.25">
      <c r="C126" s="91" t="s">
        <v>434</v>
      </c>
      <c r="D126" s="91" t="s">
        <v>509</v>
      </c>
      <c r="E126" s="90" t="str">
        <f t="shared" si="2"/>
        <v>Aseo Personal-Quincenal</v>
      </c>
      <c r="F126" s="96"/>
      <c r="G126">
        <f>+COUNTIF(Tabulación!AK140:AK442,P_21_Cul!C126)</f>
        <v>37</v>
      </c>
    </row>
    <row r="127" spans="3:7" x14ac:dyDescent="0.25">
      <c r="C127" s="92" t="s">
        <v>77</v>
      </c>
      <c r="D127" s="92" t="s">
        <v>509</v>
      </c>
      <c r="E127" s="90" t="str">
        <f t="shared" si="2"/>
        <v>Limpieza-Quincenal</v>
      </c>
      <c r="F127" s="96"/>
      <c r="G127">
        <f>+COUNTIF(Tabulación!AK141:AK443,P_21_Cul!C127)</f>
        <v>35</v>
      </c>
    </row>
    <row r="128" spans="3:7" x14ac:dyDescent="0.25">
      <c r="C128" s="90" t="s">
        <v>433</v>
      </c>
      <c r="D128" s="90" t="s">
        <v>436</v>
      </c>
      <c r="E128" s="90" t="str">
        <f t="shared" si="2"/>
        <v>Droguería-Semanal</v>
      </c>
      <c r="F128" s="96"/>
      <c r="G128">
        <f>+COUNTIF(Tabulación!AK142:AK444,P_21_Cul!C128)</f>
        <v>28</v>
      </c>
    </row>
    <row r="129" spans="3:7" x14ac:dyDescent="0.25">
      <c r="C129" s="91" t="s">
        <v>435</v>
      </c>
      <c r="D129" s="91" t="s">
        <v>436</v>
      </c>
      <c r="E129" s="90" t="str">
        <f t="shared" si="2"/>
        <v>Dulces y Paquetes-Semanal</v>
      </c>
      <c r="F129" s="96"/>
      <c r="G129">
        <f>+COUNTIF(Tabulación!AK143:AK445,P_21_Cul!C129)</f>
        <v>33</v>
      </c>
    </row>
    <row r="130" spans="3:7" x14ac:dyDescent="0.25">
      <c r="C130" s="91" t="s">
        <v>434</v>
      </c>
      <c r="D130" s="91" t="s">
        <v>436</v>
      </c>
      <c r="E130" s="90" t="str">
        <f t="shared" si="2"/>
        <v>Aseo Personal-Semanal</v>
      </c>
      <c r="F130" s="96"/>
      <c r="G130">
        <f>+COUNTIF(Tabulación!AK144:AK446,P_21_Cul!C130)</f>
        <v>36</v>
      </c>
    </row>
    <row r="131" spans="3:7" x14ac:dyDescent="0.25">
      <c r="C131" s="92" t="s">
        <v>77</v>
      </c>
      <c r="D131" s="92" t="s">
        <v>436</v>
      </c>
      <c r="E131" s="90" t="str">
        <f t="shared" si="2"/>
        <v>Limpieza-Semanal</v>
      </c>
      <c r="F131" s="96"/>
      <c r="G131">
        <f>+COUNTIF(Tabulación!AK145:AK447,P_21_Cul!C131)</f>
        <v>34</v>
      </c>
    </row>
    <row r="132" spans="3:7" x14ac:dyDescent="0.25">
      <c r="C132" s="90" t="s">
        <v>433</v>
      </c>
      <c r="D132" s="90" t="s">
        <v>543</v>
      </c>
      <c r="E132" s="90" t="str">
        <f t="shared" si="2"/>
        <v>Droguería-Depende de la provisión</v>
      </c>
      <c r="F132" s="96"/>
      <c r="G132">
        <f>+COUNTIF(Tabulación!AK146:AK448,P_21_Cul!C132)</f>
        <v>27</v>
      </c>
    </row>
    <row r="133" spans="3:7" x14ac:dyDescent="0.25">
      <c r="C133" s="91" t="s">
        <v>435</v>
      </c>
      <c r="D133" s="91" t="s">
        <v>436</v>
      </c>
      <c r="E133" s="90" t="str">
        <f t="shared" si="2"/>
        <v>Dulces y Paquetes-Semanal</v>
      </c>
      <c r="F133" s="96"/>
      <c r="G133">
        <f>+COUNTIF(Tabulación!AK147:AK449,P_21_Cul!C133)</f>
        <v>32</v>
      </c>
    </row>
    <row r="134" spans="3:7" x14ac:dyDescent="0.25">
      <c r="C134" s="91" t="s">
        <v>434</v>
      </c>
      <c r="D134" s="91" t="s">
        <v>436</v>
      </c>
      <c r="E134" s="90" t="str">
        <f t="shared" si="2"/>
        <v>Aseo Personal-Semanal</v>
      </c>
      <c r="F134" s="96"/>
      <c r="G134">
        <f>+COUNTIF(Tabulación!AK148:AK450,P_21_Cul!C134)</f>
        <v>35</v>
      </c>
    </row>
    <row r="135" spans="3:7" x14ac:dyDescent="0.25">
      <c r="C135" s="92" t="s">
        <v>77</v>
      </c>
      <c r="D135" s="92" t="s">
        <v>436</v>
      </c>
      <c r="E135" s="90" t="str">
        <f t="shared" si="2"/>
        <v>Limpieza-Semanal</v>
      </c>
      <c r="F135" s="96"/>
      <c r="G135">
        <f>+COUNTIF(Tabulación!AK149:AK451,P_21_Cul!C135)</f>
        <v>33</v>
      </c>
    </row>
    <row r="136" spans="3:7" x14ac:dyDescent="0.25">
      <c r="C136" s="90" t="s">
        <v>433</v>
      </c>
      <c r="D136" s="90" t="s">
        <v>442</v>
      </c>
      <c r="E136" s="90" t="str">
        <f t="shared" si="2"/>
        <v>Droguería-Mensual</v>
      </c>
      <c r="F136" s="96"/>
      <c r="G136">
        <f>+COUNTIF(Tabulación!AK150:AK452,P_21_Cul!C136)</f>
        <v>26</v>
      </c>
    </row>
    <row r="137" spans="3:7" x14ac:dyDescent="0.25">
      <c r="C137" s="91" t="s">
        <v>435</v>
      </c>
      <c r="D137" s="91" t="s">
        <v>436</v>
      </c>
      <c r="E137" s="90" t="str">
        <f t="shared" si="2"/>
        <v>Dulces y Paquetes-Semanal</v>
      </c>
      <c r="F137" s="96"/>
      <c r="G137">
        <f>+COUNTIF(Tabulación!AK151:AK453,P_21_Cul!C137)</f>
        <v>31</v>
      </c>
    </row>
    <row r="138" spans="3:7" x14ac:dyDescent="0.25">
      <c r="C138" s="91" t="s">
        <v>434</v>
      </c>
      <c r="D138" s="91" t="s">
        <v>509</v>
      </c>
      <c r="E138" s="90" t="str">
        <f t="shared" si="2"/>
        <v>Aseo Personal-Quincenal</v>
      </c>
      <c r="F138" s="96"/>
      <c r="G138">
        <f>+COUNTIF(Tabulación!AK152:AK454,P_21_Cul!C138)</f>
        <v>34</v>
      </c>
    </row>
    <row r="139" spans="3:7" x14ac:dyDescent="0.25">
      <c r="C139" s="92" t="s">
        <v>77</v>
      </c>
      <c r="D139" s="92" t="s">
        <v>509</v>
      </c>
      <c r="E139" s="90" t="str">
        <f t="shared" si="2"/>
        <v>Limpieza-Quincenal</v>
      </c>
      <c r="F139" s="96"/>
      <c r="G139">
        <f>+COUNTIF(Tabulación!AK153:AK455,P_21_Cul!C139)</f>
        <v>32</v>
      </c>
    </row>
    <row r="140" spans="3:7" x14ac:dyDescent="0.25">
      <c r="C140" s="90" t="s">
        <v>551</v>
      </c>
      <c r="D140" s="90" t="s">
        <v>509</v>
      </c>
      <c r="E140" s="90" t="str">
        <f t="shared" si="2"/>
        <v>Farmacia-Quincenal</v>
      </c>
      <c r="F140" s="96"/>
      <c r="G140">
        <f>+COUNTIF(Tabulación!AK154:AK456,P_21_Cul!C140)</f>
        <v>6</v>
      </c>
    </row>
    <row r="141" spans="3:7" x14ac:dyDescent="0.25">
      <c r="C141" s="91" t="s">
        <v>433</v>
      </c>
      <c r="D141" s="91" t="s">
        <v>509</v>
      </c>
      <c r="E141" s="90" t="str">
        <f t="shared" si="2"/>
        <v>Droguería-Quincenal</v>
      </c>
      <c r="F141" s="96"/>
      <c r="G141">
        <f>+COUNTIF(Tabulación!AK155:AK457,P_21_Cul!C141)</f>
        <v>25</v>
      </c>
    </row>
    <row r="142" spans="3:7" x14ac:dyDescent="0.25">
      <c r="C142" s="91" t="s">
        <v>435</v>
      </c>
      <c r="D142" s="91" t="s">
        <v>442</v>
      </c>
      <c r="E142" s="90" t="str">
        <f t="shared" si="2"/>
        <v>Dulces y Paquetes-Mensual</v>
      </c>
      <c r="F142" s="96"/>
      <c r="G142">
        <f>+COUNTIF(Tabulación!AK156:AK458,P_21_Cul!C142)</f>
        <v>30</v>
      </c>
    </row>
    <row r="143" spans="3:7" x14ac:dyDescent="0.25">
      <c r="C143" s="91" t="s">
        <v>434</v>
      </c>
      <c r="D143" s="91" t="s">
        <v>442</v>
      </c>
      <c r="E143" s="90" t="str">
        <f t="shared" si="2"/>
        <v>Aseo Personal-Mensual</v>
      </c>
      <c r="F143" s="96"/>
      <c r="G143">
        <f>+COUNTIF(Tabulación!AK157:AK459,P_21_Cul!C143)</f>
        <v>33</v>
      </c>
    </row>
    <row r="144" spans="3:7" x14ac:dyDescent="0.25">
      <c r="C144" s="92" t="s">
        <v>77</v>
      </c>
      <c r="D144" s="92" t="s">
        <v>442</v>
      </c>
      <c r="E144" s="90" t="str">
        <f t="shared" si="2"/>
        <v>Limpieza-Mensual</v>
      </c>
      <c r="F144" s="96"/>
      <c r="G144">
        <f>+COUNTIF(Tabulación!AK158:AK460,P_21_Cul!C144)</f>
        <v>31</v>
      </c>
    </row>
    <row r="145" spans="3:7" x14ac:dyDescent="0.25">
      <c r="C145" s="90" t="s">
        <v>433</v>
      </c>
      <c r="D145" s="90" t="s">
        <v>582</v>
      </c>
      <c r="E145" s="90" t="str">
        <f t="shared" si="2"/>
        <v>Droguería-Depende del la provisión</v>
      </c>
      <c r="F145" s="96"/>
      <c r="G145">
        <f>+COUNTIF(Tabulación!AK159:AK461,P_21_Cul!C145)</f>
        <v>24</v>
      </c>
    </row>
    <row r="146" spans="3:7" x14ac:dyDescent="0.25">
      <c r="C146" s="91" t="s">
        <v>435</v>
      </c>
      <c r="D146" s="91" t="s">
        <v>442</v>
      </c>
      <c r="E146" s="90" t="str">
        <f t="shared" si="2"/>
        <v>Dulces y Paquetes-Mensual</v>
      </c>
      <c r="F146" s="96"/>
      <c r="G146">
        <f>+COUNTIF(Tabulación!AK160:AK462,P_21_Cul!C146)</f>
        <v>29</v>
      </c>
    </row>
    <row r="147" spans="3:7" x14ac:dyDescent="0.25">
      <c r="C147" s="91" t="s">
        <v>434</v>
      </c>
      <c r="D147" s="91" t="s">
        <v>582</v>
      </c>
      <c r="E147" s="90" t="str">
        <f t="shared" si="2"/>
        <v>Aseo Personal-Depende del la provisión</v>
      </c>
      <c r="F147" s="96"/>
      <c r="G147">
        <f>+COUNTIF(Tabulación!AK161:AK463,P_21_Cul!C147)</f>
        <v>32</v>
      </c>
    </row>
    <row r="148" spans="3:7" x14ac:dyDescent="0.25">
      <c r="C148" s="92" t="s">
        <v>77</v>
      </c>
      <c r="D148" s="92" t="s">
        <v>582</v>
      </c>
      <c r="E148" s="90" t="str">
        <f t="shared" si="2"/>
        <v>Limpieza-Depende del la provisión</v>
      </c>
      <c r="F148" s="96"/>
      <c r="G148">
        <f>+COUNTIF(Tabulación!AK162:AK464,P_21_Cul!C148)</f>
        <v>30</v>
      </c>
    </row>
    <row r="149" spans="3:7" x14ac:dyDescent="0.25">
      <c r="C149" s="90" t="s">
        <v>433</v>
      </c>
      <c r="D149" s="90" t="s">
        <v>436</v>
      </c>
      <c r="E149" s="90" t="str">
        <f t="shared" si="2"/>
        <v>Droguería-Semanal</v>
      </c>
      <c r="F149" s="96"/>
      <c r="G149">
        <f>+COUNTIF(Tabulación!AK163:AK465,P_21_Cul!C149)</f>
        <v>23</v>
      </c>
    </row>
    <row r="150" spans="3:7" x14ac:dyDescent="0.25">
      <c r="C150" s="91" t="s">
        <v>435</v>
      </c>
      <c r="D150" s="91" t="s">
        <v>436</v>
      </c>
      <c r="E150" s="90" t="str">
        <f t="shared" si="2"/>
        <v>Dulces y Paquetes-Semanal</v>
      </c>
      <c r="F150" s="96"/>
      <c r="G150">
        <f>+COUNTIF(Tabulación!AK164:AK466,P_21_Cul!C150)</f>
        <v>28</v>
      </c>
    </row>
    <row r="151" spans="3:7" x14ac:dyDescent="0.25">
      <c r="C151" s="91" t="s">
        <v>434</v>
      </c>
      <c r="D151" s="91" t="s">
        <v>509</v>
      </c>
      <c r="E151" s="90" t="str">
        <f t="shared" si="2"/>
        <v>Aseo Personal-Quincenal</v>
      </c>
      <c r="F151" s="96"/>
      <c r="G151">
        <f>+COUNTIF(Tabulación!AK165:AK467,P_21_Cul!C151)</f>
        <v>31</v>
      </c>
    </row>
    <row r="152" spans="3:7" x14ac:dyDescent="0.25">
      <c r="C152" s="92" t="s">
        <v>77</v>
      </c>
      <c r="D152" s="92" t="s">
        <v>509</v>
      </c>
      <c r="E152" s="90" t="str">
        <f t="shared" si="2"/>
        <v>Limpieza-Quincenal</v>
      </c>
      <c r="F152" s="96"/>
      <c r="G152">
        <f>+COUNTIF(Tabulación!AK166:AK468,P_21_Cul!C152)</f>
        <v>29</v>
      </c>
    </row>
    <row r="153" spans="3:7" x14ac:dyDescent="0.25">
      <c r="C153" s="90" t="s">
        <v>433</v>
      </c>
      <c r="D153" s="90" t="s">
        <v>442</v>
      </c>
      <c r="E153" s="90" t="str">
        <f t="shared" si="2"/>
        <v>Droguería-Mensual</v>
      </c>
      <c r="F153" s="96"/>
      <c r="G153">
        <f>+COUNTIF(Tabulación!AK167:AK469,P_21_Cul!C153)</f>
        <v>22</v>
      </c>
    </row>
    <row r="154" spans="3:7" x14ac:dyDescent="0.25">
      <c r="C154" s="91" t="s">
        <v>435</v>
      </c>
      <c r="D154" s="91" t="s">
        <v>509</v>
      </c>
      <c r="E154" s="90" t="str">
        <f t="shared" si="2"/>
        <v>Dulces y Paquetes-Quincenal</v>
      </c>
      <c r="F154" s="96"/>
      <c r="G154">
        <f>+COUNTIF(Tabulación!AK168:AK470,P_21_Cul!C154)</f>
        <v>27</v>
      </c>
    </row>
    <row r="155" spans="3:7" x14ac:dyDescent="0.25">
      <c r="C155" s="91" t="s">
        <v>434</v>
      </c>
      <c r="D155" s="91" t="s">
        <v>509</v>
      </c>
      <c r="E155" s="90" t="str">
        <f t="shared" si="2"/>
        <v>Aseo Personal-Quincenal</v>
      </c>
      <c r="F155" s="96"/>
      <c r="G155">
        <f>+COUNTIF(Tabulación!AK169:AK471,P_21_Cul!C155)</f>
        <v>30</v>
      </c>
    </row>
    <row r="156" spans="3:7" x14ac:dyDescent="0.25">
      <c r="C156" s="92" t="s">
        <v>77</v>
      </c>
      <c r="D156" s="92" t="s">
        <v>436</v>
      </c>
      <c r="E156" s="90" t="str">
        <f t="shared" si="2"/>
        <v>Limpieza-Semanal</v>
      </c>
      <c r="F156" s="96"/>
      <c r="G156">
        <f>+COUNTIF(Tabulación!AK170:AK472,P_21_Cul!C156)</f>
        <v>28</v>
      </c>
    </row>
    <row r="157" spans="3:7" x14ac:dyDescent="0.25">
      <c r="C157" s="90" t="s">
        <v>435</v>
      </c>
      <c r="D157" s="90" t="s">
        <v>582</v>
      </c>
      <c r="E157" s="90" t="str">
        <f t="shared" si="2"/>
        <v>Dulces y Paquetes-Depende del la provisión</v>
      </c>
      <c r="F157" s="96"/>
      <c r="G157">
        <f>+COUNTIF(Tabulación!AK171:AK473,P_21_Cul!C157)</f>
        <v>26</v>
      </c>
    </row>
    <row r="158" spans="3:7" x14ac:dyDescent="0.25">
      <c r="C158" s="91" t="s">
        <v>434</v>
      </c>
      <c r="D158" s="91" t="s">
        <v>582</v>
      </c>
      <c r="E158" s="90" t="str">
        <f t="shared" si="2"/>
        <v>Aseo Personal-Depende del la provisión</v>
      </c>
      <c r="F158" s="96"/>
      <c r="G158">
        <f>+COUNTIF(Tabulación!AK172:AK474,P_21_Cul!C158)</f>
        <v>29</v>
      </c>
    </row>
    <row r="159" spans="3:7" x14ac:dyDescent="0.25">
      <c r="C159" s="91" t="s">
        <v>77</v>
      </c>
      <c r="D159" s="91" t="s">
        <v>582</v>
      </c>
      <c r="E159" s="90" t="str">
        <f t="shared" si="2"/>
        <v>Limpieza-Depende del la provisión</v>
      </c>
      <c r="F159" s="96"/>
      <c r="G159">
        <f>+COUNTIF(Tabulación!AK173:AK475,P_21_Cul!C159)</f>
        <v>27</v>
      </c>
    </row>
    <row r="160" spans="3:7" x14ac:dyDescent="0.25">
      <c r="C160" s="90" t="s">
        <v>433</v>
      </c>
      <c r="D160" s="90" t="s">
        <v>582</v>
      </c>
      <c r="E160" s="90" t="str">
        <f t="shared" si="2"/>
        <v>Droguería-Depende del la provisión</v>
      </c>
      <c r="F160" s="96"/>
      <c r="G160">
        <f>+COUNTIF(Tabulación!AK175:AK477,P_21_Cul!C160)</f>
        <v>21</v>
      </c>
    </row>
    <row r="161" spans="3:7" x14ac:dyDescent="0.25">
      <c r="C161" s="91" t="s">
        <v>435</v>
      </c>
      <c r="D161" s="91" t="s">
        <v>436</v>
      </c>
      <c r="E161" s="90" t="str">
        <f t="shared" si="2"/>
        <v>Dulces y Paquetes-Semanal</v>
      </c>
      <c r="F161" s="96"/>
      <c r="G161">
        <f>+COUNTIF(Tabulación!AK176:AK478,P_21_Cul!C161)</f>
        <v>25</v>
      </c>
    </row>
    <row r="162" spans="3:7" x14ac:dyDescent="0.25">
      <c r="C162" s="91" t="s">
        <v>434</v>
      </c>
      <c r="D162" s="91" t="s">
        <v>509</v>
      </c>
      <c r="E162" s="90" t="str">
        <f t="shared" si="2"/>
        <v>Aseo Personal-Quincenal</v>
      </c>
      <c r="F162" s="96"/>
      <c r="G162">
        <f>+COUNTIF(Tabulación!AK177:AK479,P_21_Cul!C162)</f>
        <v>28</v>
      </c>
    </row>
    <row r="163" spans="3:7" x14ac:dyDescent="0.25">
      <c r="C163" s="92" t="s">
        <v>77</v>
      </c>
      <c r="D163" s="92" t="s">
        <v>442</v>
      </c>
      <c r="E163" s="90" t="str">
        <f t="shared" si="2"/>
        <v>Limpieza-Mensual</v>
      </c>
      <c r="F163" s="96"/>
      <c r="G163">
        <f>+COUNTIF(Tabulación!AK178:AK480,P_21_Cul!C163)</f>
        <v>26</v>
      </c>
    </row>
    <row r="164" spans="3:7" x14ac:dyDescent="0.25">
      <c r="C164" s="90" t="s">
        <v>435</v>
      </c>
      <c r="D164" s="90" t="s">
        <v>509</v>
      </c>
      <c r="E164" s="90" t="str">
        <f t="shared" si="2"/>
        <v>Dulces y Paquetes-Quincenal</v>
      </c>
      <c r="F164" s="96"/>
      <c r="G164">
        <f>+COUNTIF(Tabulación!AK179:AK481,P_21_Cul!C164)</f>
        <v>24</v>
      </c>
    </row>
    <row r="165" spans="3:7" x14ac:dyDescent="0.25">
      <c r="C165" s="91" t="s">
        <v>434</v>
      </c>
      <c r="D165" s="91" t="s">
        <v>442</v>
      </c>
      <c r="E165" s="90" t="str">
        <f t="shared" si="2"/>
        <v>Aseo Personal-Mensual</v>
      </c>
      <c r="F165" s="96"/>
      <c r="G165">
        <f>+COUNTIF(Tabulación!AK180:AK482,P_21_Cul!C165)</f>
        <v>27</v>
      </c>
    </row>
    <row r="166" spans="3:7" x14ac:dyDescent="0.25">
      <c r="C166" s="91" t="s">
        <v>77</v>
      </c>
      <c r="D166" s="91" t="s">
        <v>442</v>
      </c>
      <c r="E166" s="90" t="str">
        <f t="shared" si="2"/>
        <v>Limpieza-Mensual</v>
      </c>
      <c r="F166" s="96"/>
      <c r="G166">
        <f>+COUNTIF(Tabulación!AK181:AK483,P_21_Cul!C166)</f>
        <v>25</v>
      </c>
    </row>
    <row r="167" spans="3:7" x14ac:dyDescent="0.25">
      <c r="C167" s="90" t="s">
        <v>435</v>
      </c>
      <c r="D167" s="90" t="s">
        <v>436</v>
      </c>
      <c r="E167" s="90" t="str">
        <f t="shared" si="2"/>
        <v>Dulces y Paquetes-Semanal</v>
      </c>
      <c r="F167" s="96"/>
      <c r="G167">
        <f>+COUNTIF(Tabulación!AK184:AK486,P_21_Cul!C167)</f>
        <v>23</v>
      </c>
    </row>
    <row r="168" spans="3:7" x14ac:dyDescent="0.25">
      <c r="C168" s="91" t="s">
        <v>434</v>
      </c>
      <c r="D168" s="91" t="s">
        <v>436</v>
      </c>
      <c r="E168" s="90" t="str">
        <f t="shared" si="2"/>
        <v>Aseo Personal-Semanal</v>
      </c>
      <c r="F168" s="96"/>
      <c r="G168">
        <f>+COUNTIF(Tabulación!AK185:AK487,P_21_Cul!C168)</f>
        <v>26</v>
      </c>
    </row>
    <row r="169" spans="3:7" x14ac:dyDescent="0.25">
      <c r="C169" s="91" t="s">
        <v>77</v>
      </c>
      <c r="D169" s="91" t="s">
        <v>436</v>
      </c>
      <c r="E169" s="90" t="str">
        <f t="shared" si="2"/>
        <v>Limpieza-Semanal</v>
      </c>
      <c r="F169" s="96"/>
      <c r="G169">
        <f>+COUNTIF(Tabulación!AK186:AK488,P_21_Cul!C169)</f>
        <v>24</v>
      </c>
    </row>
    <row r="170" spans="3:7" x14ac:dyDescent="0.25">
      <c r="C170" s="90" t="s">
        <v>435</v>
      </c>
      <c r="D170" s="90" t="s">
        <v>436</v>
      </c>
      <c r="E170" s="90" t="str">
        <f t="shared" si="2"/>
        <v>Dulces y Paquetes-Semanal</v>
      </c>
      <c r="F170" s="96"/>
      <c r="G170">
        <f>+COUNTIF(Tabulación!AK190:AK492,P_21_Cul!C170)</f>
        <v>22</v>
      </c>
    </row>
    <row r="171" spans="3:7" x14ac:dyDescent="0.25">
      <c r="C171" s="90" t="s">
        <v>435</v>
      </c>
      <c r="D171" s="90" t="s">
        <v>436</v>
      </c>
      <c r="E171" s="90" t="str">
        <f t="shared" si="2"/>
        <v>Dulces y Paquetes-Semanal</v>
      </c>
      <c r="F171" s="96"/>
      <c r="G171">
        <f>+COUNTIF(Tabulación!AK192:AK494,P_21_Cul!C171)</f>
        <v>21</v>
      </c>
    </row>
    <row r="172" spans="3:7" x14ac:dyDescent="0.25">
      <c r="C172" s="90" t="s">
        <v>435</v>
      </c>
      <c r="D172" s="90" t="s">
        <v>436</v>
      </c>
      <c r="E172" s="90" t="str">
        <f t="shared" si="2"/>
        <v>Dulces y Paquetes-Semanal</v>
      </c>
      <c r="F172" s="96"/>
      <c r="G172">
        <f>+COUNTIF(Tabulación!AK195:AK497,P_21_Cul!C172)</f>
        <v>20</v>
      </c>
    </row>
    <row r="173" spans="3:7" x14ac:dyDescent="0.25">
      <c r="C173" s="90" t="s">
        <v>433</v>
      </c>
      <c r="D173" s="90" t="s">
        <v>509</v>
      </c>
      <c r="E173" s="90" t="str">
        <f t="shared" si="2"/>
        <v>Droguería-Quincenal</v>
      </c>
      <c r="F173" s="96"/>
      <c r="G173">
        <f>+COUNTIF(Tabulación!AK197:AK499,P_21_Cul!C173)</f>
        <v>20</v>
      </c>
    </row>
    <row r="174" spans="3:7" x14ac:dyDescent="0.25">
      <c r="C174" s="91" t="s">
        <v>435</v>
      </c>
      <c r="D174" s="91" t="s">
        <v>436</v>
      </c>
      <c r="E174" s="90" t="str">
        <f t="shared" si="2"/>
        <v>Dulces y Paquetes-Semanal</v>
      </c>
      <c r="F174" s="96"/>
      <c r="G174">
        <f>+COUNTIF(Tabulación!AK198:AK500,P_21_Cul!C174)</f>
        <v>19</v>
      </c>
    </row>
    <row r="175" spans="3:7" x14ac:dyDescent="0.25">
      <c r="C175" s="91" t="s">
        <v>434</v>
      </c>
      <c r="D175" s="91" t="s">
        <v>509</v>
      </c>
      <c r="E175" s="90" t="str">
        <f t="shared" ref="E175:E230" si="3">CONCATENATE(C175,"-",D175)</f>
        <v>Aseo Personal-Quincenal</v>
      </c>
      <c r="F175" s="96"/>
      <c r="G175">
        <f>+COUNTIF(Tabulación!AK199:AK501,P_21_Cul!C175)</f>
        <v>25</v>
      </c>
    </row>
    <row r="176" spans="3:7" x14ac:dyDescent="0.25">
      <c r="C176" s="92" t="s">
        <v>77</v>
      </c>
      <c r="D176" s="92" t="s">
        <v>436</v>
      </c>
      <c r="E176" s="90" t="str">
        <f t="shared" si="3"/>
        <v>Limpieza-Semanal</v>
      </c>
      <c r="F176" s="96"/>
      <c r="G176">
        <f>+COUNTIF(Tabulación!AK200:AK502,P_21_Cul!C176)</f>
        <v>23</v>
      </c>
    </row>
    <row r="177" spans="3:7" x14ac:dyDescent="0.25">
      <c r="C177" s="90" t="s">
        <v>433</v>
      </c>
      <c r="D177" s="90" t="s">
        <v>509</v>
      </c>
      <c r="E177" s="90" t="str">
        <f t="shared" si="3"/>
        <v>Droguería-Quincenal</v>
      </c>
      <c r="F177" s="96"/>
      <c r="G177">
        <f>+COUNTIF(Tabulación!AK201:AK503,P_21_Cul!C177)</f>
        <v>19</v>
      </c>
    </row>
    <row r="178" spans="3:7" x14ac:dyDescent="0.25">
      <c r="C178" s="91" t="s">
        <v>435</v>
      </c>
      <c r="D178" s="91" t="s">
        <v>436</v>
      </c>
      <c r="E178" s="90" t="str">
        <f t="shared" si="3"/>
        <v>Dulces y Paquetes-Semanal</v>
      </c>
      <c r="F178" s="96"/>
      <c r="G178">
        <f>+COUNTIF(Tabulación!AK202:AK504,P_21_Cul!C178)</f>
        <v>18</v>
      </c>
    </row>
    <row r="179" spans="3:7" x14ac:dyDescent="0.25">
      <c r="C179" s="91" t="s">
        <v>434</v>
      </c>
      <c r="D179" s="91" t="s">
        <v>509</v>
      </c>
      <c r="E179" s="90" t="str">
        <f t="shared" si="3"/>
        <v>Aseo Personal-Quincenal</v>
      </c>
      <c r="F179" s="96"/>
      <c r="G179">
        <f>+COUNTIF(Tabulación!AK203:AK505,P_21_Cul!C179)</f>
        <v>24</v>
      </c>
    </row>
    <row r="180" spans="3:7" x14ac:dyDescent="0.25">
      <c r="C180" s="92" t="s">
        <v>77</v>
      </c>
      <c r="D180" s="92" t="s">
        <v>509</v>
      </c>
      <c r="E180" s="90" t="str">
        <f t="shared" si="3"/>
        <v>Limpieza-Quincenal</v>
      </c>
      <c r="F180" s="96"/>
      <c r="G180">
        <f>+COUNTIF(Tabulación!AK204:AK506,P_21_Cul!C180)</f>
        <v>22</v>
      </c>
    </row>
    <row r="181" spans="3:7" x14ac:dyDescent="0.25">
      <c r="C181" s="90" t="s">
        <v>433</v>
      </c>
      <c r="D181" s="90" t="s">
        <v>509</v>
      </c>
      <c r="E181" s="90" t="str">
        <f t="shared" si="3"/>
        <v>Droguería-Quincenal</v>
      </c>
      <c r="F181" s="96"/>
      <c r="G181">
        <f>+COUNTIF(Tabulación!AK205:AK507,P_21_Cul!C181)</f>
        <v>18</v>
      </c>
    </row>
    <row r="182" spans="3:7" x14ac:dyDescent="0.25">
      <c r="C182" s="91" t="s">
        <v>435</v>
      </c>
      <c r="D182" s="91" t="s">
        <v>436</v>
      </c>
      <c r="E182" s="90" t="str">
        <f t="shared" si="3"/>
        <v>Dulces y Paquetes-Semanal</v>
      </c>
      <c r="F182" s="96"/>
      <c r="G182">
        <f>+COUNTIF(Tabulación!AK206:AK508,P_21_Cul!C182)</f>
        <v>17</v>
      </c>
    </row>
    <row r="183" spans="3:7" x14ac:dyDescent="0.25">
      <c r="C183" s="91" t="s">
        <v>434</v>
      </c>
      <c r="D183" s="91" t="s">
        <v>509</v>
      </c>
      <c r="E183" s="90" t="str">
        <f t="shared" si="3"/>
        <v>Aseo Personal-Quincenal</v>
      </c>
      <c r="F183" s="96"/>
      <c r="G183">
        <f>+COUNTIF(Tabulación!AK207:AK509,P_21_Cul!C183)</f>
        <v>23</v>
      </c>
    </row>
    <row r="184" spans="3:7" x14ac:dyDescent="0.25">
      <c r="C184" s="92" t="s">
        <v>77</v>
      </c>
      <c r="D184" s="92" t="s">
        <v>436</v>
      </c>
      <c r="E184" s="90" t="str">
        <f t="shared" si="3"/>
        <v>Limpieza-Semanal</v>
      </c>
      <c r="F184" s="96"/>
      <c r="G184">
        <f>+COUNTIF(Tabulación!AK208:AK510,P_21_Cul!C184)</f>
        <v>21</v>
      </c>
    </row>
    <row r="185" spans="3:7" x14ac:dyDescent="0.25">
      <c r="C185" s="90" t="s">
        <v>434</v>
      </c>
      <c r="D185" s="90" t="s">
        <v>509</v>
      </c>
      <c r="E185" s="90" t="str">
        <f t="shared" si="3"/>
        <v>Aseo Personal-Quincenal</v>
      </c>
      <c r="F185" s="96"/>
      <c r="G185">
        <f>+COUNTIF(Tabulación!AK209:AK511,P_21_Cul!C185)</f>
        <v>22</v>
      </c>
    </row>
    <row r="186" spans="3:7" x14ac:dyDescent="0.25">
      <c r="C186" s="92" t="s">
        <v>77</v>
      </c>
      <c r="D186" s="92" t="s">
        <v>442</v>
      </c>
      <c r="E186" s="90" t="str">
        <f t="shared" si="3"/>
        <v>Limpieza-Mensual</v>
      </c>
      <c r="F186" s="96"/>
      <c r="G186">
        <f>+COUNTIF(Tabulación!AK210:AK512,P_21_Cul!C186)</f>
        <v>20</v>
      </c>
    </row>
    <row r="187" spans="3:7" x14ac:dyDescent="0.25">
      <c r="C187" s="90" t="s">
        <v>435</v>
      </c>
      <c r="D187" s="90" t="s">
        <v>543</v>
      </c>
      <c r="E187" s="90" t="str">
        <f t="shared" si="3"/>
        <v>Dulces y Paquetes-Depende de la provisión</v>
      </c>
      <c r="F187" s="96"/>
      <c r="G187">
        <f>+COUNTIF(Tabulación!AK211:AK513,P_21_Cul!C187)</f>
        <v>16</v>
      </c>
    </row>
    <row r="188" spans="3:7" x14ac:dyDescent="0.25">
      <c r="C188" s="91" t="s">
        <v>434</v>
      </c>
      <c r="D188" s="91" t="s">
        <v>543</v>
      </c>
      <c r="E188" s="90" t="str">
        <f t="shared" si="3"/>
        <v>Aseo Personal-Depende de la provisión</v>
      </c>
      <c r="F188" s="96"/>
      <c r="G188">
        <f>+COUNTIF(Tabulación!AK212:AK514,P_21_Cul!C188)</f>
        <v>21</v>
      </c>
    </row>
    <row r="189" spans="3:7" x14ac:dyDescent="0.25">
      <c r="C189" s="91" t="s">
        <v>77</v>
      </c>
      <c r="D189" s="91" t="s">
        <v>543</v>
      </c>
      <c r="E189" s="90" t="str">
        <f t="shared" si="3"/>
        <v>Limpieza-Depende de la provisión</v>
      </c>
      <c r="F189" s="96"/>
      <c r="G189">
        <f>+COUNTIF(Tabulación!AK213:AK515,P_21_Cul!C189)</f>
        <v>19</v>
      </c>
    </row>
    <row r="190" spans="3:7" x14ac:dyDescent="0.25">
      <c r="C190" s="90" t="s">
        <v>433</v>
      </c>
      <c r="D190" s="90" t="s">
        <v>543</v>
      </c>
      <c r="E190" s="90" t="str">
        <f t="shared" si="3"/>
        <v>Droguería-Depende de la provisión</v>
      </c>
      <c r="F190" s="96"/>
      <c r="G190">
        <f>+COUNTIF(Tabulación!AK216:AK518,P_21_Cul!C190)</f>
        <v>17</v>
      </c>
    </row>
    <row r="191" spans="3:7" x14ac:dyDescent="0.25">
      <c r="C191" s="91" t="s">
        <v>434</v>
      </c>
      <c r="D191" s="91" t="s">
        <v>442</v>
      </c>
      <c r="E191" s="90" t="str">
        <f t="shared" si="3"/>
        <v>Aseo Personal-Mensual</v>
      </c>
      <c r="F191" s="96"/>
      <c r="G191">
        <f>+COUNTIF(Tabulación!AK217:AK519,P_21_Cul!C191)</f>
        <v>20</v>
      </c>
    </row>
    <row r="192" spans="3:7" x14ac:dyDescent="0.25">
      <c r="C192" s="90" t="s">
        <v>433</v>
      </c>
      <c r="D192" s="90" t="s">
        <v>543</v>
      </c>
      <c r="E192" s="90" t="str">
        <f t="shared" si="3"/>
        <v>Droguería-Depende de la provisión</v>
      </c>
      <c r="F192" s="96"/>
      <c r="G192">
        <f>+COUNTIF(Tabulación!AK219:AK521,P_21_Cul!C192)</f>
        <v>16</v>
      </c>
    </row>
    <row r="193" spans="3:7" x14ac:dyDescent="0.25">
      <c r="C193" s="91" t="s">
        <v>435</v>
      </c>
      <c r="D193" s="91" t="s">
        <v>442</v>
      </c>
      <c r="E193" s="90" t="str">
        <f t="shared" si="3"/>
        <v>Dulces y Paquetes-Mensual</v>
      </c>
      <c r="F193" s="96"/>
      <c r="G193">
        <f>+COUNTIF(Tabulación!AK220:AK522,P_21_Cul!C193)</f>
        <v>15</v>
      </c>
    </row>
    <row r="194" spans="3:7" x14ac:dyDescent="0.25">
      <c r="C194" s="91" t="s">
        <v>434</v>
      </c>
      <c r="D194" s="91" t="s">
        <v>442</v>
      </c>
      <c r="E194" s="90" t="str">
        <f t="shared" si="3"/>
        <v>Aseo Personal-Mensual</v>
      </c>
      <c r="F194" s="96"/>
      <c r="G194">
        <f>+COUNTIF(Tabulación!AK221:AK523,P_21_Cul!C194)</f>
        <v>19</v>
      </c>
    </row>
    <row r="195" spans="3:7" x14ac:dyDescent="0.25">
      <c r="C195" s="92" t="s">
        <v>77</v>
      </c>
      <c r="D195" s="92" t="s">
        <v>436</v>
      </c>
      <c r="E195" s="90" t="str">
        <f t="shared" si="3"/>
        <v>Limpieza-Semanal</v>
      </c>
      <c r="F195" s="96"/>
      <c r="G195">
        <f>+COUNTIF(Tabulación!AK222:AK524,P_21_Cul!C195)</f>
        <v>18</v>
      </c>
    </row>
    <row r="196" spans="3:7" x14ac:dyDescent="0.25">
      <c r="C196" s="90" t="s">
        <v>433</v>
      </c>
      <c r="D196" s="90" t="s">
        <v>509</v>
      </c>
      <c r="E196" s="90" t="str">
        <f t="shared" si="3"/>
        <v>Droguería-Quincenal</v>
      </c>
      <c r="F196" s="96"/>
      <c r="G196">
        <f>+COUNTIF(Tabulación!AK223:AK525,P_21_Cul!C196)</f>
        <v>15</v>
      </c>
    </row>
    <row r="197" spans="3:7" x14ac:dyDescent="0.25">
      <c r="C197" s="91" t="s">
        <v>435</v>
      </c>
      <c r="D197" s="91" t="s">
        <v>509</v>
      </c>
      <c r="E197" s="90" t="str">
        <f t="shared" si="3"/>
        <v>Dulces y Paquetes-Quincenal</v>
      </c>
      <c r="F197" s="96"/>
      <c r="G197">
        <f>+COUNTIF(Tabulación!AK224:AK526,P_21_Cul!C197)</f>
        <v>14</v>
      </c>
    </row>
    <row r="198" spans="3:7" x14ac:dyDescent="0.25">
      <c r="C198" s="91" t="s">
        <v>434</v>
      </c>
      <c r="D198" s="91" t="s">
        <v>509</v>
      </c>
      <c r="E198" s="90" t="str">
        <f t="shared" si="3"/>
        <v>Aseo Personal-Quincenal</v>
      </c>
      <c r="F198" s="96"/>
      <c r="G198">
        <f>+COUNTIF(Tabulación!AK225:AK527,P_21_Cul!C198)</f>
        <v>18</v>
      </c>
    </row>
    <row r="199" spans="3:7" x14ac:dyDescent="0.25">
      <c r="C199" s="92" t="s">
        <v>77</v>
      </c>
      <c r="D199" s="92" t="s">
        <v>509</v>
      </c>
      <c r="E199" s="90" t="str">
        <f t="shared" si="3"/>
        <v>Limpieza-Quincenal</v>
      </c>
      <c r="F199" s="96"/>
      <c r="G199">
        <f>+COUNTIF(Tabulación!AK226:AK528,P_21_Cul!C199)</f>
        <v>17</v>
      </c>
    </row>
    <row r="200" spans="3:7" x14ac:dyDescent="0.25">
      <c r="C200" s="90" t="s">
        <v>433</v>
      </c>
      <c r="D200" s="90" t="s">
        <v>543</v>
      </c>
      <c r="E200" s="90" t="str">
        <f t="shared" si="3"/>
        <v>Droguería-Depende de la provisión</v>
      </c>
      <c r="F200" s="96"/>
      <c r="G200">
        <f>+COUNTIF(Tabulación!AK227:AK529,P_21_Cul!C200)</f>
        <v>14</v>
      </c>
    </row>
    <row r="201" spans="3:7" x14ac:dyDescent="0.25">
      <c r="C201" s="91" t="s">
        <v>435</v>
      </c>
      <c r="D201" s="91" t="s">
        <v>436</v>
      </c>
      <c r="E201" s="90" t="str">
        <f t="shared" si="3"/>
        <v>Dulces y Paquetes-Semanal</v>
      </c>
      <c r="F201" s="96"/>
      <c r="G201">
        <f>+COUNTIF(Tabulación!AK228:AK530,P_21_Cul!C201)</f>
        <v>13</v>
      </c>
    </row>
    <row r="202" spans="3:7" x14ac:dyDescent="0.25">
      <c r="C202" s="91" t="s">
        <v>434</v>
      </c>
      <c r="D202" s="91" t="s">
        <v>509</v>
      </c>
      <c r="E202" s="90" t="str">
        <f t="shared" si="3"/>
        <v>Aseo Personal-Quincenal</v>
      </c>
      <c r="F202" s="96"/>
      <c r="G202">
        <f>+COUNTIF(Tabulación!AK229:AK531,P_21_Cul!C202)</f>
        <v>17</v>
      </c>
    </row>
    <row r="203" spans="3:7" x14ac:dyDescent="0.25">
      <c r="C203" s="92" t="s">
        <v>77</v>
      </c>
      <c r="D203" s="92" t="s">
        <v>509</v>
      </c>
      <c r="E203" s="90" t="str">
        <f t="shared" si="3"/>
        <v>Limpieza-Quincenal</v>
      </c>
      <c r="F203" s="96"/>
      <c r="G203">
        <f>+COUNTIF(Tabulación!AK230:AK532,P_21_Cul!C203)</f>
        <v>16</v>
      </c>
    </row>
    <row r="204" spans="3:7" x14ac:dyDescent="0.25">
      <c r="C204" s="90" t="s">
        <v>433</v>
      </c>
      <c r="D204" s="90" t="s">
        <v>509</v>
      </c>
      <c r="E204" s="90" t="str">
        <f t="shared" si="3"/>
        <v>Droguería-Quincenal</v>
      </c>
      <c r="F204" s="96"/>
      <c r="G204">
        <f>+COUNTIF(Tabulación!AK231:AK533,P_21_Cul!C204)</f>
        <v>13</v>
      </c>
    </row>
    <row r="205" spans="3:7" x14ac:dyDescent="0.25">
      <c r="C205" s="91" t="s">
        <v>435</v>
      </c>
      <c r="D205" s="91" t="s">
        <v>436</v>
      </c>
      <c r="E205" s="90" t="str">
        <f t="shared" si="3"/>
        <v>Dulces y Paquetes-Semanal</v>
      </c>
      <c r="F205" s="96"/>
      <c r="G205">
        <f>+COUNTIF(Tabulación!AK232:AK534,P_21_Cul!C205)</f>
        <v>12</v>
      </c>
    </row>
    <row r="206" spans="3:7" x14ac:dyDescent="0.25">
      <c r="C206" s="91" t="s">
        <v>434</v>
      </c>
      <c r="D206" s="91" t="s">
        <v>436</v>
      </c>
      <c r="E206" s="90" t="str">
        <f t="shared" si="3"/>
        <v>Aseo Personal-Semanal</v>
      </c>
      <c r="F206" s="96"/>
      <c r="G206">
        <f>+COUNTIF(Tabulación!AK233:AK535,P_21_Cul!C206)</f>
        <v>16</v>
      </c>
    </row>
    <row r="207" spans="3:7" x14ac:dyDescent="0.25">
      <c r="C207" s="92" t="s">
        <v>77</v>
      </c>
      <c r="D207" s="92" t="s">
        <v>436</v>
      </c>
      <c r="E207" s="90" t="str">
        <f t="shared" si="3"/>
        <v>Limpieza-Semanal</v>
      </c>
      <c r="F207" s="96"/>
      <c r="G207">
        <f>+COUNTIF(Tabulación!AK234:AK536,P_21_Cul!C207)</f>
        <v>15</v>
      </c>
    </row>
    <row r="208" spans="3:7" x14ac:dyDescent="0.25">
      <c r="C208" s="90" t="s">
        <v>433</v>
      </c>
      <c r="D208" s="90" t="s">
        <v>436</v>
      </c>
      <c r="E208" s="90" t="str">
        <f t="shared" si="3"/>
        <v>Droguería-Semanal</v>
      </c>
      <c r="F208" s="96"/>
      <c r="G208">
        <f>+COUNTIF(Tabulación!AK235:AK537,P_21_Cul!C208)</f>
        <v>12</v>
      </c>
    </row>
    <row r="209" spans="3:7" x14ac:dyDescent="0.25">
      <c r="C209" s="91" t="s">
        <v>434</v>
      </c>
      <c r="D209" s="91" t="s">
        <v>509</v>
      </c>
      <c r="E209" s="90" t="str">
        <f t="shared" si="3"/>
        <v>Aseo Personal-Quincenal</v>
      </c>
      <c r="F209" s="96"/>
      <c r="G209">
        <f>+COUNTIF(Tabulación!AK236:AK538,P_21_Cul!C209)</f>
        <v>15</v>
      </c>
    </row>
    <row r="210" spans="3:7" x14ac:dyDescent="0.25">
      <c r="C210" s="91" t="s">
        <v>77</v>
      </c>
      <c r="D210" s="91" t="s">
        <v>509</v>
      </c>
      <c r="E210" s="90" t="str">
        <f t="shared" si="3"/>
        <v>Limpieza-Quincenal</v>
      </c>
      <c r="F210" s="96"/>
      <c r="G210">
        <f>+COUNTIF(Tabulación!AK237:AK539,P_21_Cul!C210)</f>
        <v>14</v>
      </c>
    </row>
    <row r="211" spans="3:7" x14ac:dyDescent="0.25">
      <c r="C211" s="90" t="s">
        <v>433</v>
      </c>
      <c r="D211" s="90" t="s">
        <v>543</v>
      </c>
      <c r="E211" s="90" t="str">
        <f t="shared" si="3"/>
        <v>Droguería-Depende de la provisión</v>
      </c>
      <c r="F211" s="96"/>
      <c r="G211">
        <f>+COUNTIF(Tabulación!AK239:AK541,P_21_Cul!C211)</f>
        <v>11</v>
      </c>
    </row>
    <row r="212" spans="3:7" x14ac:dyDescent="0.25">
      <c r="C212" s="91" t="s">
        <v>435</v>
      </c>
      <c r="D212" s="91" t="s">
        <v>436</v>
      </c>
      <c r="E212" s="90" t="str">
        <f t="shared" si="3"/>
        <v>Dulces y Paquetes-Semanal</v>
      </c>
      <c r="F212" s="96"/>
      <c r="G212">
        <f>+COUNTIF(Tabulación!AK240:AK542,P_21_Cul!C212)</f>
        <v>11</v>
      </c>
    </row>
    <row r="213" spans="3:7" x14ac:dyDescent="0.25">
      <c r="C213" s="91" t="s">
        <v>434</v>
      </c>
      <c r="D213" s="91" t="s">
        <v>442</v>
      </c>
      <c r="E213" s="90" t="str">
        <f t="shared" si="3"/>
        <v>Aseo Personal-Mensual</v>
      </c>
      <c r="F213" s="96"/>
      <c r="G213">
        <f>+COUNTIF(Tabulación!AK241:AK543,P_21_Cul!C213)</f>
        <v>14</v>
      </c>
    </row>
    <row r="214" spans="3:7" x14ac:dyDescent="0.25">
      <c r="C214" s="92" t="s">
        <v>77</v>
      </c>
      <c r="D214" s="92" t="s">
        <v>442</v>
      </c>
      <c r="E214" s="90" t="str">
        <f t="shared" si="3"/>
        <v>Limpieza-Mensual</v>
      </c>
      <c r="F214" s="96"/>
      <c r="G214">
        <f>+COUNTIF(Tabulación!AK242:AK544,P_21_Cul!C214)</f>
        <v>13</v>
      </c>
    </row>
    <row r="215" spans="3:7" x14ac:dyDescent="0.25">
      <c r="C215" s="90" t="s">
        <v>551</v>
      </c>
      <c r="D215" s="90" t="s">
        <v>442</v>
      </c>
      <c r="E215" s="90" t="str">
        <f t="shared" si="3"/>
        <v>Farmacia-Mensual</v>
      </c>
      <c r="F215" s="96"/>
      <c r="G215">
        <f>+COUNTIF(Tabulación!AK243:AK545,P_21_Cul!C215)</f>
        <v>5</v>
      </c>
    </row>
    <row r="216" spans="3:7" x14ac:dyDescent="0.25">
      <c r="C216" s="91" t="s">
        <v>433</v>
      </c>
      <c r="D216" s="91" t="s">
        <v>543</v>
      </c>
      <c r="E216" s="90" t="str">
        <f t="shared" si="3"/>
        <v>Droguería-Depende de la provisión</v>
      </c>
      <c r="F216" s="96"/>
      <c r="G216">
        <f>+COUNTIF(Tabulación!AK244:AK546,P_21_Cul!C216)</f>
        <v>10</v>
      </c>
    </row>
    <row r="217" spans="3:7" x14ac:dyDescent="0.25">
      <c r="C217" s="91" t="s">
        <v>435</v>
      </c>
      <c r="D217" s="91" t="s">
        <v>442</v>
      </c>
      <c r="E217" s="90" t="str">
        <f t="shared" si="3"/>
        <v>Dulces y Paquetes-Mensual</v>
      </c>
      <c r="F217" s="96"/>
      <c r="G217">
        <f>+COUNTIF(Tabulación!AK245:AK547,P_21_Cul!C217)</f>
        <v>10</v>
      </c>
    </row>
    <row r="218" spans="3:7" x14ac:dyDescent="0.25">
      <c r="C218" s="92" t="s">
        <v>434</v>
      </c>
      <c r="D218" s="92" t="s">
        <v>543</v>
      </c>
      <c r="E218" s="90" t="str">
        <f t="shared" si="3"/>
        <v>Aseo Personal-Depende de la provisión</v>
      </c>
      <c r="F218" s="96"/>
      <c r="G218">
        <f>+COUNTIF(Tabulación!AK246:AK548,P_21_Cul!C218)</f>
        <v>13</v>
      </c>
    </row>
    <row r="219" spans="3:7" x14ac:dyDescent="0.25">
      <c r="C219" s="90" t="s">
        <v>435</v>
      </c>
      <c r="D219" s="90" t="s">
        <v>436</v>
      </c>
      <c r="E219" s="90" t="str">
        <f t="shared" si="3"/>
        <v>Dulces y Paquetes-Semanal</v>
      </c>
      <c r="F219" s="96"/>
      <c r="G219">
        <f>+COUNTIF(Tabulación!AK247:AK549,P_21_Cul!C219)</f>
        <v>9</v>
      </c>
    </row>
    <row r="220" spans="3:7" x14ac:dyDescent="0.25">
      <c r="C220" s="91" t="s">
        <v>434</v>
      </c>
      <c r="D220" s="91" t="s">
        <v>436</v>
      </c>
      <c r="E220" s="90" t="str">
        <f t="shared" si="3"/>
        <v>Aseo Personal-Semanal</v>
      </c>
      <c r="F220" s="96"/>
      <c r="G220">
        <f>+COUNTIF(Tabulación!AK248:AK550,P_21_Cul!C220)</f>
        <v>12</v>
      </c>
    </row>
    <row r="221" spans="3:7" x14ac:dyDescent="0.25">
      <c r="C221" s="90" t="s">
        <v>433</v>
      </c>
      <c r="D221" s="90" t="s">
        <v>543</v>
      </c>
      <c r="E221" s="90" t="str">
        <f t="shared" si="3"/>
        <v>Droguería-Depende de la provisión</v>
      </c>
      <c r="F221" s="96"/>
      <c r="G221">
        <f>+COUNTIF(Tabulación!AK253:AK555,P_21_Cul!C221)</f>
        <v>9</v>
      </c>
    </row>
    <row r="222" spans="3:7" x14ac:dyDescent="0.25">
      <c r="C222" s="91" t="s">
        <v>435</v>
      </c>
      <c r="D222" s="91" t="s">
        <v>442</v>
      </c>
      <c r="E222" s="90" t="str">
        <f t="shared" si="3"/>
        <v>Dulces y Paquetes-Mensual</v>
      </c>
      <c r="F222" s="96"/>
      <c r="G222">
        <f>+COUNTIF(Tabulación!AK254:AK556,P_21_Cul!C222)</f>
        <v>8</v>
      </c>
    </row>
    <row r="223" spans="3:7" x14ac:dyDescent="0.25">
      <c r="C223" s="91" t="s">
        <v>434</v>
      </c>
      <c r="D223" s="91" t="s">
        <v>442</v>
      </c>
      <c r="E223" s="90" t="str">
        <f t="shared" si="3"/>
        <v>Aseo Personal-Mensual</v>
      </c>
      <c r="F223" s="96"/>
      <c r="G223">
        <f>+COUNTIF(Tabulación!AK255:AK557,P_21_Cul!C223)</f>
        <v>11</v>
      </c>
    </row>
    <row r="224" spans="3:7" x14ac:dyDescent="0.25">
      <c r="C224" s="92" t="s">
        <v>77</v>
      </c>
      <c r="D224" s="92" t="s">
        <v>442</v>
      </c>
      <c r="E224" s="90" t="str">
        <f t="shared" si="3"/>
        <v>Limpieza-Mensual</v>
      </c>
      <c r="F224" s="96"/>
      <c r="G224">
        <f>+COUNTIF(Tabulación!AK256:AK558,P_21_Cul!C224)</f>
        <v>12</v>
      </c>
    </row>
    <row r="225" spans="3:7" x14ac:dyDescent="0.25">
      <c r="C225" s="90" t="s">
        <v>433</v>
      </c>
      <c r="D225" s="90" t="s">
        <v>543</v>
      </c>
      <c r="E225" s="90" t="str">
        <f t="shared" si="3"/>
        <v>Droguería-Depende de la provisión</v>
      </c>
      <c r="F225" s="96"/>
      <c r="G225">
        <f>+COUNTIF(Tabulación!AK257:AK559,P_21_Cul!C225)</f>
        <v>8</v>
      </c>
    </row>
    <row r="226" spans="3:7" x14ac:dyDescent="0.25">
      <c r="C226" s="91" t="s">
        <v>435</v>
      </c>
      <c r="D226" s="91" t="s">
        <v>436</v>
      </c>
      <c r="E226" s="90" t="str">
        <f t="shared" si="3"/>
        <v>Dulces y Paquetes-Semanal</v>
      </c>
      <c r="F226" s="96"/>
      <c r="G226">
        <f>+COUNTIF(Tabulación!AK258:AK560,P_21_Cul!C226)</f>
        <v>7</v>
      </c>
    </row>
    <row r="227" spans="3:7" x14ac:dyDescent="0.25">
      <c r="C227" s="91" t="s">
        <v>434</v>
      </c>
      <c r="D227" s="91" t="s">
        <v>442</v>
      </c>
      <c r="E227" s="90" t="str">
        <f t="shared" si="3"/>
        <v>Aseo Personal-Mensual</v>
      </c>
      <c r="F227" s="96"/>
      <c r="G227">
        <f>+COUNTIF(Tabulación!AK259:AK561,P_21_Cul!C227)</f>
        <v>10</v>
      </c>
    </row>
    <row r="228" spans="3:7" x14ac:dyDescent="0.25">
      <c r="C228" s="92" t="s">
        <v>77</v>
      </c>
      <c r="D228" s="92" t="s">
        <v>436</v>
      </c>
      <c r="E228" s="90" t="str">
        <f t="shared" si="3"/>
        <v>Limpieza-Semanal</v>
      </c>
      <c r="F228" s="96"/>
      <c r="G228">
        <f>+COUNTIF(Tabulación!AK260:AK562,P_21_Cul!C228)</f>
        <v>11</v>
      </c>
    </row>
    <row r="229" spans="3:7" x14ac:dyDescent="0.25">
      <c r="C229" s="90" t="s">
        <v>433</v>
      </c>
      <c r="D229" s="90" t="s">
        <v>442</v>
      </c>
      <c r="E229" s="90" t="str">
        <f t="shared" si="3"/>
        <v>Droguería-Mensual</v>
      </c>
      <c r="F229" s="96"/>
      <c r="G229">
        <f>+COUNTIF(Tabulación!AK261:AK563,P_21_Cul!C229)</f>
        <v>7</v>
      </c>
    </row>
    <row r="230" spans="3:7" x14ac:dyDescent="0.25">
      <c r="C230" s="91" t="s">
        <v>435</v>
      </c>
      <c r="D230" s="91" t="s">
        <v>436</v>
      </c>
      <c r="E230" s="90" t="str">
        <f t="shared" si="3"/>
        <v>Dulces y Paquetes-Semanal</v>
      </c>
      <c r="F230" s="96"/>
      <c r="G230">
        <f>+COUNTIF(Tabulación!AK262:AK564,P_21_Cul!C230)</f>
        <v>6</v>
      </c>
    </row>
    <row r="231" spans="3:7" x14ac:dyDescent="0.25">
      <c r="C231" s="91" t="s">
        <v>434</v>
      </c>
      <c r="D231" s="91" t="s">
        <v>442</v>
      </c>
      <c r="E231" s="90" t="str">
        <f t="shared" ref="E231:E264" si="4">CONCATENATE(C231,"-",D231)</f>
        <v>Aseo Personal-Mensual</v>
      </c>
      <c r="F231" s="96"/>
      <c r="G231">
        <f>+COUNTIF(Tabulación!AK263:AK565,P_21_Cul!C231)</f>
        <v>9</v>
      </c>
    </row>
    <row r="232" spans="3:7" x14ac:dyDescent="0.25">
      <c r="C232" s="92" t="s">
        <v>77</v>
      </c>
      <c r="D232" s="92" t="s">
        <v>442</v>
      </c>
      <c r="E232" s="90" t="str">
        <f t="shared" si="4"/>
        <v>Limpieza-Mensual</v>
      </c>
      <c r="F232" s="96"/>
      <c r="G232">
        <f>+COUNTIF(Tabulación!AK264:AK566,P_21_Cul!C232)</f>
        <v>10</v>
      </c>
    </row>
    <row r="233" spans="3:7" x14ac:dyDescent="0.25">
      <c r="C233" s="90" t="s">
        <v>433</v>
      </c>
      <c r="D233" s="90" t="s">
        <v>436</v>
      </c>
      <c r="E233" s="90" t="str">
        <f t="shared" si="4"/>
        <v>Droguería-Semanal</v>
      </c>
      <c r="F233" s="96"/>
      <c r="G233">
        <f>+COUNTIF(Tabulación!AK265:AK567,P_21_Cul!C233)</f>
        <v>6</v>
      </c>
    </row>
    <row r="234" spans="3:7" x14ac:dyDescent="0.25">
      <c r="C234" s="91" t="s">
        <v>434</v>
      </c>
      <c r="D234" s="91" t="s">
        <v>509</v>
      </c>
      <c r="E234" s="90" t="str">
        <f t="shared" si="4"/>
        <v>Aseo Personal-Quincenal</v>
      </c>
      <c r="F234" s="96"/>
      <c r="G234">
        <f>+COUNTIF(Tabulación!AK266:AK568,P_21_Cul!C234)</f>
        <v>8</v>
      </c>
    </row>
    <row r="235" spans="3:7" x14ac:dyDescent="0.25">
      <c r="C235" s="90" t="s">
        <v>551</v>
      </c>
      <c r="D235" s="90" t="s">
        <v>509</v>
      </c>
      <c r="E235" s="90" t="str">
        <f t="shared" si="4"/>
        <v>Farmacia-Quincenal</v>
      </c>
      <c r="F235" s="96"/>
      <c r="G235">
        <f>+COUNTIF(Tabulación!AK271:AK573,P_21_Cul!C235)</f>
        <v>4</v>
      </c>
    </row>
    <row r="236" spans="3:7" x14ac:dyDescent="0.25">
      <c r="C236" s="91" t="s">
        <v>433</v>
      </c>
      <c r="D236" s="91" t="s">
        <v>509</v>
      </c>
      <c r="E236" s="90" t="str">
        <f t="shared" si="4"/>
        <v>Droguería-Quincenal</v>
      </c>
      <c r="F236" s="96"/>
      <c r="G236">
        <f>+COUNTIF(Tabulación!AK272:AK574,P_21_Cul!C236)</f>
        <v>5</v>
      </c>
    </row>
    <row r="237" spans="3:7" x14ac:dyDescent="0.25">
      <c r="C237" s="91" t="s">
        <v>435</v>
      </c>
      <c r="D237" s="91" t="s">
        <v>436</v>
      </c>
      <c r="E237" s="90" t="str">
        <f t="shared" si="4"/>
        <v>Dulces y Paquetes-Semanal</v>
      </c>
      <c r="F237" s="96"/>
      <c r="G237">
        <f>+COUNTIF(Tabulación!AK273:AK575,P_21_Cul!C237)</f>
        <v>5</v>
      </c>
    </row>
    <row r="238" spans="3:7" x14ac:dyDescent="0.25">
      <c r="C238" s="91" t="s">
        <v>434</v>
      </c>
      <c r="D238" s="91" t="s">
        <v>436</v>
      </c>
      <c r="E238" s="90" t="str">
        <f t="shared" si="4"/>
        <v>Aseo Personal-Semanal</v>
      </c>
      <c r="F238" s="96"/>
      <c r="G238">
        <f>+COUNTIF(Tabulación!AK274:AK576,P_21_Cul!C238)</f>
        <v>7</v>
      </c>
    </row>
    <row r="239" spans="3:7" x14ac:dyDescent="0.25">
      <c r="C239" s="92" t="s">
        <v>77</v>
      </c>
      <c r="D239" s="92" t="s">
        <v>436</v>
      </c>
      <c r="E239" s="90" t="str">
        <f t="shared" si="4"/>
        <v>Limpieza-Semanal</v>
      </c>
      <c r="F239" s="96"/>
      <c r="G239">
        <f>+COUNTIF(Tabulación!AK275:AK577,P_21_Cul!C239)</f>
        <v>9</v>
      </c>
    </row>
    <row r="240" spans="3:7" x14ac:dyDescent="0.25">
      <c r="C240" s="90" t="s">
        <v>551</v>
      </c>
      <c r="D240" s="90" t="s">
        <v>436</v>
      </c>
      <c r="E240" s="90" t="str">
        <f t="shared" si="4"/>
        <v>Farmacia-Semanal</v>
      </c>
      <c r="F240" s="96"/>
      <c r="G240">
        <f>+COUNTIF(Tabulación!AK276:AK578,P_21_Cul!C240)</f>
        <v>3</v>
      </c>
    </row>
    <row r="241" spans="3:7" x14ac:dyDescent="0.25">
      <c r="C241" s="91" t="s">
        <v>433</v>
      </c>
      <c r="D241" s="91" t="s">
        <v>509</v>
      </c>
      <c r="E241" s="90" t="str">
        <f t="shared" si="4"/>
        <v>Droguería-Quincenal</v>
      </c>
      <c r="F241" s="96"/>
      <c r="G241">
        <f>+COUNTIF(Tabulación!AK277:AK579,P_21_Cul!C241)</f>
        <v>4</v>
      </c>
    </row>
    <row r="242" spans="3:7" x14ac:dyDescent="0.25">
      <c r="C242" s="91" t="s">
        <v>435</v>
      </c>
      <c r="D242" s="91" t="s">
        <v>436</v>
      </c>
      <c r="E242" s="90" t="str">
        <f t="shared" si="4"/>
        <v>Dulces y Paquetes-Semanal</v>
      </c>
      <c r="F242" s="96"/>
      <c r="G242">
        <f>+COUNTIF(Tabulación!AK278:AK580,P_21_Cul!C242)</f>
        <v>4</v>
      </c>
    </row>
    <row r="243" spans="3:7" x14ac:dyDescent="0.25">
      <c r="C243" s="92" t="s">
        <v>434</v>
      </c>
      <c r="D243" s="92" t="s">
        <v>509</v>
      </c>
      <c r="E243" s="90" t="str">
        <f t="shared" si="4"/>
        <v>Aseo Personal-Quincenal</v>
      </c>
      <c r="F243" s="96"/>
      <c r="G243">
        <f>+COUNTIF(Tabulación!AK279:AK581,P_21_Cul!C243)</f>
        <v>6</v>
      </c>
    </row>
    <row r="244" spans="3:7" x14ac:dyDescent="0.25">
      <c r="C244" s="90" t="s">
        <v>551</v>
      </c>
      <c r="D244" s="90" t="s">
        <v>509</v>
      </c>
      <c r="E244" s="90" t="str">
        <f t="shared" si="4"/>
        <v>Farmacia-Quincenal</v>
      </c>
      <c r="F244" s="96"/>
      <c r="G244">
        <f>+COUNTIF(Tabulación!AK280:AK582,P_21_Cul!C244)</f>
        <v>2</v>
      </c>
    </row>
    <row r="245" spans="3:7" x14ac:dyDescent="0.25">
      <c r="C245" s="91" t="s">
        <v>433</v>
      </c>
      <c r="D245" s="91" t="s">
        <v>509</v>
      </c>
      <c r="E245" s="90" t="str">
        <f t="shared" si="4"/>
        <v>Droguería-Quincenal</v>
      </c>
      <c r="F245" s="96"/>
      <c r="G245">
        <f>+COUNTIF(Tabulación!AK281:AK583,P_21_Cul!C245)</f>
        <v>3</v>
      </c>
    </row>
    <row r="246" spans="3:7" x14ac:dyDescent="0.25">
      <c r="C246" s="91" t="s">
        <v>435</v>
      </c>
      <c r="D246" s="91" t="s">
        <v>436</v>
      </c>
      <c r="E246" s="90" t="str">
        <f t="shared" si="4"/>
        <v>Dulces y Paquetes-Semanal</v>
      </c>
      <c r="F246" s="96"/>
      <c r="G246">
        <f>+COUNTIF(Tabulación!AK282:AK584,P_21_Cul!C246)</f>
        <v>3</v>
      </c>
    </row>
    <row r="247" spans="3:7" x14ac:dyDescent="0.25">
      <c r="C247" s="91" t="s">
        <v>434</v>
      </c>
      <c r="D247" s="91" t="s">
        <v>436</v>
      </c>
      <c r="E247" s="90" t="str">
        <f t="shared" si="4"/>
        <v>Aseo Personal-Semanal</v>
      </c>
      <c r="F247" s="96"/>
      <c r="G247">
        <f>+COUNTIF(Tabulación!AK283:AK585,P_21_Cul!C247)</f>
        <v>5</v>
      </c>
    </row>
    <row r="248" spans="3:7" x14ac:dyDescent="0.25">
      <c r="C248" s="91" t="s">
        <v>77</v>
      </c>
      <c r="D248" s="91" t="s">
        <v>509</v>
      </c>
      <c r="E248" s="90" t="str">
        <f t="shared" si="4"/>
        <v>Limpieza-Quincenal</v>
      </c>
      <c r="F248" s="96"/>
      <c r="G248">
        <f>+COUNTIF(Tabulación!AK284:AK586,P_21_Cul!C248)</f>
        <v>8</v>
      </c>
    </row>
    <row r="249" spans="3:7" x14ac:dyDescent="0.25">
      <c r="C249" s="90" t="s">
        <v>551</v>
      </c>
      <c r="D249" s="90" t="s">
        <v>442</v>
      </c>
      <c r="E249" s="90" t="str">
        <f t="shared" si="4"/>
        <v>Farmacia-Mensual</v>
      </c>
      <c r="F249" s="96"/>
      <c r="G249">
        <f>+COUNTIF(Tabulación!AK286:AK588,P_21_Cul!C249)</f>
        <v>1</v>
      </c>
    </row>
    <row r="250" spans="3:7" x14ac:dyDescent="0.25">
      <c r="C250" s="91" t="s">
        <v>433</v>
      </c>
      <c r="D250" s="91" t="s">
        <v>509</v>
      </c>
      <c r="E250" s="90" t="str">
        <f t="shared" si="4"/>
        <v>Droguería-Quincenal</v>
      </c>
      <c r="F250" s="96"/>
      <c r="G250">
        <f>+COUNTIF(Tabulación!AK287:AK589,P_21_Cul!C250)</f>
        <v>2</v>
      </c>
    </row>
    <row r="251" spans="3:7" x14ac:dyDescent="0.25">
      <c r="C251" s="91" t="s">
        <v>435</v>
      </c>
      <c r="D251" s="91" t="s">
        <v>436</v>
      </c>
      <c r="E251" s="90" t="str">
        <f t="shared" si="4"/>
        <v>Dulces y Paquetes-Semanal</v>
      </c>
      <c r="F251" s="96"/>
      <c r="G251">
        <f>+COUNTIF(Tabulación!AK288:AK590,P_21_Cul!C251)</f>
        <v>2</v>
      </c>
    </row>
    <row r="252" spans="3:7" x14ac:dyDescent="0.25">
      <c r="C252" s="91" t="s">
        <v>434</v>
      </c>
      <c r="D252" s="91" t="s">
        <v>436</v>
      </c>
      <c r="E252" s="90" t="str">
        <f t="shared" si="4"/>
        <v>Aseo Personal-Semanal</v>
      </c>
      <c r="F252" s="96"/>
      <c r="G252">
        <f>+COUNTIF(Tabulación!AK289:AK591,P_21_Cul!C252)</f>
        <v>4</v>
      </c>
    </row>
    <row r="253" spans="3:7" x14ac:dyDescent="0.25">
      <c r="C253" s="92" t="s">
        <v>77</v>
      </c>
      <c r="D253" s="92" t="s">
        <v>436</v>
      </c>
      <c r="E253" s="90" t="str">
        <f t="shared" si="4"/>
        <v>Limpieza-Semanal</v>
      </c>
      <c r="F253" s="96"/>
      <c r="G253">
        <f>+COUNTIF(Tabulación!AK290:AK592,P_21_Cul!C253)</f>
        <v>7</v>
      </c>
    </row>
    <row r="254" spans="3:7" x14ac:dyDescent="0.25">
      <c r="C254" s="90" t="s">
        <v>77</v>
      </c>
      <c r="D254" s="90" t="s">
        <v>436</v>
      </c>
      <c r="E254" s="90" t="str">
        <f t="shared" si="4"/>
        <v>Limpieza-Semanal</v>
      </c>
      <c r="F254" s="96"/>
      <c r="G254">
        <f>+COUNTIF(Tabulación!AK291:AK593,P_21_Cul!C254)</f>
        <v>6</v>
      </c>
    </row>
    <row r="255" spans="3:7" x14ac:dyDescent="0.25">
      <c r="C255" s="90" t="s">
        <v>433</v>
      </c>
      <c r="D255" s="90" t="s">
        <v>543</v>
      </c>
      <c r="E255" s="90" t="str">
        <f t="shared" si="4"/>
        <v>Droguería-Depende de la provisión</v>
      </c>
      <c r="F255" s="96"/>
      <c r="G255">
        <f>+COUNTIF(Tabulación!AK295:AK597,P_21_Cul!C255)</f>
        <v>1</v>
      </c>
    </row>
    <row r="256" spans="3:7" x14ac:dyDescent="0.25">
      <c r="C256" s="91" t="s">
        <v>435</v>
      </c>
      <c r="D256" s="91" t="s">
        <v>436</v>
      </c>
      <c r="E256" s="90" t="str">
        <f t="shared" si="4"/>
        <v>Dulces y Paquetes-Semanal</v>
      </c>
      <c r="F256" s="96"/>
      <c r="G256">
        <f>+COUNTIF(Tabulación!AK296:AK598,P_21_Cul!C256)</f>
        <v>1</v>
      </c>
    </row>
    <row r="257" spans="3:7" x14ac:dyDescent="0.25">
      <c r="C257" s="91" t="s">
        <v>434</v>
      </c>
      <c r="D257" s="91" t="s">
        <v>442</v>
      </c>
      <c r="E257" s="90" t="str">
        <f t="shared" si="4"/>
        <v>Aseo Personal-Mensual</v>
      </c>
      <c r="F257" s="96"/>
      <c r="G257">
        <f>+COUNTIF(Tabulación!AK297:AK599,P_21_Cul!C257)</f>
        <v>3</v>
      </c>
    </row>
    <row r="258" spans="3:7" x14ac:dyDescent="0.25">
      <c r="C258" s="92" t="s">
        <v>77</v>
      </c>
      <c r="D258" s="92" t="s">
        <v>442</v>
      </c>
      <c r="E258" s="90" t="str">
        <f t="shared" si="4"/>
        <v>Limpieza-Mensual</v>
      </c>
      <c r="F258" s="96"/>
      <c r="G258">
        <f>+COUNTIF(Tabulación!AK298:AK600,P_21_Cul!C258)</f>
        <v>5</v>
      </c>
    </row>
    <row r="259" spans="3:7" x14ac:dyDescent="0.25">
      <c r="C259" s="97" t="s">
        <v>77</v>
      </c>
      <c r="D259" s="97" t="s">
        <v>442</v>
      </c>
      <c r="E259" s="90" t="str">
        <f t="shared" si="4"/>
        <v>Limpieza-Mensual</v>
      </c>
      <c r="F259" s="96"/>
      <c r="G259">
        <f>+COUNTIF(Tabulación!AK299:AK601,P_21_Cul!C259)</f>
        <v>4</v>
      </c>
    </row>
    <row r="260" spans="3:7" x14ac:dyDescent="0.25">
      <c r="C260" s="90" t="s">
        <v>434</v>
      </c>
      <c r="D260" s="90" t="s">
        <v>442</v>
      </c>
      <c r="E260" s="90" t="str">
        <f t="shared" si="4"/>
        <v>Aseo Personal-Mensual</v>
      </c>
      <c r="F260" s="96"/>
      <c r="G260">
        <f>+COUNTIF(Tabulación!AK300:AK602,P_21_Cul!C260)</f>
        <v>2</v>
      </c>
    </row>
    <row r="261" spans="3:7" x14ac:dyDescent="0.25">
      <c r="C261" s="92" t="s">
        <v>77</v>
      </c>
      <c r="D261" s="92" t="s">
        <v>442</v>
      </c>
      <c r="E261" s="90" t="str">
        <f t="shared" si="4"/>
        <v>Limpieza-Mensual</v>
      </c>
      <c r="F261" s="96"/>
      <c r="G261">
        <f>+COUNTIF(Tabulación!AK301:AK603,P_21_Cul!C261)</f>
        <v>3</v>
      </c>
    </row>
    <row r="262" spans="3:7" x14ac:dyDescent="0.25">
      <c r="C262" s="90" t="s">
        <v>434</v>
      </c>
      <c r="D262" s="90" t="s">
        <v>436</v>
      </c>
      <c r="E262" s="90" t="str">
        <f t="shared" si="4"/>
        <v>Aseo Personal-Semanal</v>
      </c>
      <c r="F262" s="96"/>
      <c r="G262">
        <f>+COUNTIF(Tabulación!AK302:AK604,P_21_Cul!C262)</f>
        <v>1</v>
      </c>
    </row>
    <row r="263" spans="3:7" x14ac:dyDescent="0.25">
      <c r="C263" s="91" t="s">
        <v>77</v>
      </c>
      <c r="D263" s="91" t="s">
        <v>436</v>
      </c>
      <c r="E263" s="90" t="str">
        <f t="shared" si="4"/>
        <v>Limpieza-Semanal</v>
      </c>
      <c r="F263" s="96"/>
      <c r="G263">
        <f>+COUNTIF(Tabulación!AK303:AK605,P_21_Cul!C263)</f>
        <v>2</v>
      </c>
    </row>
    <row r="264" spans="3:7" x14ac:dyDescent="0.25">
      <c r="C264" s="90" t="s">
        <v>77</v>
      </c>
      <c r="D264" s="98" t="s">
        <v>543</v>
      </c>
      <c r="E264" s="90" t="str">
        <f t="shared" si="4"/>
        <v>Limpieza-Depende de la provisión</v>
      </c>
      <c r="F264" s="96"/>
      <c r="G264">
        <f>+COUNTIF(Tabulación!AK306:AK608,P_21_Cul!C264)</f>
        <v>1</v>
      </c>
    </row>
  </sheetData>
  <autoFilter ref="O3:P3">
    <sortState ref="O4:P23">
      <sortCondition ref="P3"/>
    </sortState>
  </autoFilter>
  <sortState ref="O4:O306">
    <sortCondition ref="O4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Tabulación</vt:lpstr>
      <vt:lpstr>Procesamiento_Info</vt:lpstr>
      <vt:lpstr>P_14_Cual</vt:lpstr>
      <vt:lpstr>P_15B</vt:lpstr>
      <vt:lpstr>P_16A&amp;B</vt:lpstr>
      <vt:lpstr>P_17_Cual</vt:lpstr>
      <vt:lpstr>P_18_Cual</vt:lpstr>
      <vt:lpstr>P_19_Cual</vt:lpstr>
      <vt:lpstr>P_21_Cul</vt:lpstr>
      <vt:lpstr>P_22_Cual</vt:lpstr>
      <vt:lpstr>P_37_Cual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Juancho</dc:creator>
  <cp:lastModifiedBy>Juan Pablo Cruz Rojas</cp:lastModifiedBy>
  <cp:lastPrinted>2023-01-19T17:11:08Z</cp:lastPrinted>
  <dcterms:created xsi:type="dcterms:W3CDTF">2022-08-29T01:56:04Z</dcterms:created>
  <dcterms:modified xsi:type="dcterms:W3CDTF">2023-01-19T17:11:20Z</dcterms:modified>
</cp:coreProperties>
</file>