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3.xml" ContentType="application/vnd.openxmlformats-officedocument.drawing+xml"/>
  <Override PartName="/xl/charts/chart22.xml" ContentType="application/vnd.openxmlformats-officedocument.drawingml.chart+xml"/>
  <Override PartName="/xl/charts/style1.xml" ContentType="application/vnd.ms-office.chartstyle+xml"/>
  <Override PartName="/xl/charts/colors1.xml" ContentType="application/vnd.ms-office.chartcolorstyle+xml"/>
  <Override PartName="/xl/charts/chart2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24.xml" ContentType="application/vnd.openxmlformats-officedocument.drawingml.chart+xml"/>
  <Override PartName="/xl/drawings/drawing16.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https://universidadeaneduco.sharepoint.com/sites/TrabajodeGradoMaestria639/Documentos compartidos/General/Entrega Final Corrección y Sustentación/Entrega Final/"/>
    </mc:Choice>
  </mc:AlternateContent>
  <xr:revisionPtr revIDLastSave="13" documentId="13_ncr:1_{714411FB-1120-484C-94F0-A19E83539FB1}" xr6:coauthVersionLast="47" xr6:coauthVersionMax="47" xr10:uidLastSave="{24E4ACF5-65EC-445A-8FF7-75920139A357}"/>
  <bookViews>
    <workbookView xWindow="-108" yWindow="-108" windowWidth="23256" windowHeight="12456" tabRatio="830" firstSheet="6" activeTab="15" xr2:uid="{A517FB7F-553F-439A-B2B0-70A8CA7C2AAB}"/>
  </bookViews>
  <sheets>
    <sheet name="Contenido" sheetId="62" r:id="rId1"/>
    <sheet name="Instrucciones" sheetId="64" r:id="rId2"/>
    <sheet name="Variables" sheetId="36" r:id="rId3"/>
    <sheet name="Estados y analisis" sheetId="40" r:id="rId4"/>
    <sheet name="Balance" sheetId="1" r:id="rId5"/>
    <sheet name="Vertical Balance" sheetId="19" state="hidden" r:id="rId6"/>
    <sheet name="Resumen balance" sheetId="43" r:id="rId7"/>
    <sheet name="Estado Resultados" sheetId="2" state="hidden" r:id="rId8"/>
    <sheet name="AnVert. Resultados" sheetId="44" state="hidden" r:id="rId9"/>
    <sheet name="Resumen resultados" sheetId="46" r:id="rId10"/>
    <sheet name="Actividad" sheetId="48" r:id="rId11"/>
    <sheet name="Endeudamiento" sheetId="47" r:id="rId12"/>
    <sheet name="Rentabilidad" sheetId="49" r:id="rId13"/>
    <sheet name="Crecimiento Sostenible" sheetId="68" r:id="rId14"/>
    <sheet name="Costo capital" sheetId="50" r:id="rId15"/>
    <sheet name="Generacion de Valor" sheetId="51" r:id="rId16"/>
    <sheet name="Liquidez" sheetId="23" r:id="rId17"/>
    <sheet name="Flujo" sheetId="66" r:id="rId18"/>
    <sheet name="AnHoriz Balance" sheetId="21" state="hidden" r:id="rId19"/>
    <sheet name="AnHoriz Resultados" sheetId="45" state="hidden" r:id="rId20"/>
    <sheet name="Cambios Patrimonio" sheetId="37" r:id="rId21"/>
    <sheet name="Cambios" sheetId="67" r:id="rId22"/>
    <sheet name="Fuentes y aplicaciones" sheetId="38" r:id="rId23"/>
    <sheet name="Analisis metas" sheetId="39" r:id="rId24"/>
    <sheet name="Tablero de control" sheetId="61" r:id="rId25"/>
  </sheets>
  <externalReferences>
    <externalReference r:id="rId26"/>
    <externalReference r:id="rId27"/>
    <externalReference r:id="rId28"/>
    <externalReference r:id="rId29"/>
    <externalReference r:id="rId30"/>
    <externalReference r:id="rId31"/>
    <externalReference r:id="rId32"/>
  </externalReferences>
  <definedNames>
    <definedName name="activocorriente">Balance!$B$11:$F$16</definedName>
    <definedName name="activolargoplazo">Balance!$B$28:$F$31</definedName>
    <definedName name="_xlnm.Print_Area" localSheetId="10">Actividad!$P$20:$T$25</definedName>
    <definedName name="_xlnm.Print_Area" localSheetId="18">'AnHoriz Balance'!$B$3:$L$74</definedName>
    <definedName name="_xlnm.Print_Area" localSheetId="19">'AnHoriz Resultados'!$B$3:$H$29</definedName>
    <definedName name="_xlnm.Print_Area" localSheetId="8">'AnVert. Resultados'!$B$3:$F$28</definedName>
    <definedName name="_xlnm.Print_Area" localSheetId="4">Balance!$B$3:$F$73</definedName>
    <definedName name="_xlnm.Print_Area" localSheetId="20">'Cambios Patrimonio'!$B$3:$F$47</definedName>
    <definedName name="_xlnm.Print_Area" localSheetId="14">'Costo capital'!#REF!</definedName>
    <definedName name="_xlnm.Print_Area" localSheetId="11">Endeudamiento!#REF!</definedName>
    <definedName name="_xlnm.Print_Area" localSheetId="7">'Estado Resultados'!$B$3:$F$28</definedName>
    <definedName name="_xlnm.Print_Area" localSheetId="3">'Estados y analisis'!$B$3:$Z$83</definedName>
    <definedName name="_xlnm.Print_Area" localSheetId="17">Flujo!#REF!</definedName>
    <definedName name="_xlnm.Print_Area" localSheetId="22">'Fuentes y aplicaciones'!$B$1:$G$75</definedName>
    <definedName name="_xlnm.Print_Area" localSheetId="15">'Generacion de Valor'!#REF!</definedName>
    <definedName name="_xlnm.Print_Area" localSheetId="16">Liquidez!#REF!</definedName>
    <definedName name="_xlnm.Print_Area" localSheetId="12">Rentabilidad!#REF!</definedName>
    <definedName name="_xlnm.Print_Area" localSheetId="6">'Resumen balance'!$B$3:$H$8</definedName>
    <definedName name="_xlnm.Print_Area" localSheetId="9">'Resumen resultados'!$B$3:$H$8</definedName>
    <definedName name="_xlnm.Print_Area" localSheetId="24">'Tablero de control'!#REF!</definedName>
    <definedName name="_xlnm.Print_Area" localSheetId="2">Variables!$C$1:$G$101</definedName>
    <definedName name="_xlnm.Print_Area" localSheetId="5">'Vertical Balance'!$B$3:$F$69</definedName>
    <definedName name="costos">'Estado Resultados'!$B$10:$F$10</definedName>
    <definedName name="gastoperativo">'Estado Resultados'!$B$14:$F$15</definedName>
    <definedName name="otrosnooperativos">'Estado Resultados'!$B$19:$F$22</definedName>
    <definedName name="pasivocorriente">Balance!$B$41:$F$46</definedName>
    <definedName name="pasivolargoplazo">Balance!$B$50:$F$54</definedName>
    <definedName name="patrimonio">Balance!$B$62:$F$69</definedName>
    <definedName name="totalactivos">Balance!$B$36:$F$36</definedName>
    <definedName name="totalpasivos">Balance!$B$58:$F$58</definedName>
    <definedName name="totalpasivoypatrimonio">Balance!$B$73:$F$73</definedName>
    <definedName name="totalpatrimonio">Balance!$B$71:$F$71</definedName>
    <definedName name="utilidadneta">'Estado Resultados'!$B$28:$F$28</definedName>
    <definedName name="utilidadoperativa">'Estado Resultados'!$B$17:$F$17</definedName>
    <definedName name="ventas">'Estado Resultados'!$B$8:$F$8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1" i="40" l="1"/>
  <c r="L26" i="49"/>
  <c r="L25" i="49"/>
  <c r="E100" i="68"/>
  <c r="E104" i="68" s="1"/>
  <c r="F104" i="68" s="1"/>
  <c r="E37" i="49"/>
  <c r="K33" i="23"/>
  <c r="F33" i="23"/>
  <c r="E33" i="23"/>
  <c r="C39" i="68"/>
  <c r="C38" i="68"/>
  <c r="E37" i="68"/>
  <c r="D37" i="68"/>
  <c r="C37" i="68"/>
  <c r="B2" i="68"/>
  <c r="E8" i="68"/>
  <c r="D8" i="68"/>
  <c r="C8" i="68"/>
  <c r="E7" i="68"/>
  <c r="D7" i="68"/>
  <c r="C7" i="68"/>
  <c r="K36" i="49"/>
  <c r="H36" i="49"/>
  <c r="G36" i="49"/>
  <c r="F36" i="49"/>
  <c r="E36" i="49"/>
  <c r="G11" i="46"/>
  <c r="G16" i="46"/>
  <c r="G27" i="46"/>
  <c r="G21" i="46"/>
  <c r="E99" i="68" l="1"/>
  <c r="E106" i="68" s="1"/>
  <c r="E110" i="68" s="1"/>
  <c r="F110" i="68" s="1"/>
  <c r="C9" i="68"/>
  <c r="D9" i="68"/>
  <c r="E9" i="68"/>
  <c r="D23" i="61" l="1"/>
  <c r="E23" i="61"/>
  <c r="F23" i="61"/>
  <c r="D24" i="61"/>
  <c r="E24" i="61"/>
  <c r="F24" i="61"/>
  <c r="D25" i="61"/>
  <c r="E25" i="61"/>
  <c r="F25" i="61"/>
  <c r="D26" i="61"/>
  <c r="D18" i="61"/>
  <c r="D19" i="61"/>
  <c r="E19" i="61"/>
  <c r="E14" i="61"/>
  <c r="D14" i="61"/>
  <c r="G13" i="61"/>
  <c r="F13" i="61"/>
  <c r="E13" i="61"/>
  <c r="D13" i="61"/>
  <c r="D12" i="61"/>
  <c r="C14" i="61"/>
  <c r="C13" i="61"/>
  <c r="C12" i="61"/>
  <c r="D10" i="61"/>
  <c r="D11" i="61"/>
  <c r="H6" i="61"/>
  <c r="G6" i="61"/>
  <c r="F6" i="61"/>
  <c r="E6" i="61"/>
  <c r="D6" i="61"/>
  <c r="C6" i="61"/>
  <c r="Q44" i="39"/>
  <c r="Q45" i="39"/>
  <c r="R45" i="39"/>
  <c r="Q46" i="39"/>
  <c r="R46" i="39"/>
  <c r="S46" i="39"/>
  <c r="Q36" i="39"/>
  <c r="Q37" i="39"/>
  <c r="Q38" i="39"/>
  <c r="Q39" i="39"/>
  <c r="R39" i="39"/>
  <c r="S39" i="39"/>
  <c r="T39" i="39"/>
  <c r="Q40" i="39"/>
  <c r="R40" i="39"/>
  <c r="Q35" i="39"/>
  <c r="Q34" i="39"/>
  <c r="Q33" i="39"/>
  <c r="Q32" i="39"/>
  <c r="P35" i="39"/>
  <c r="P34" i="39"/>
  <c r="P33" i="39"/>
  <c r="T49" i="39"/>
  <c r="U49" i="39"/>
  <c r="T42" i="39"/>
  <c r="U42" i="39"/>
  <c r="T30" i="39"/>
  <c r="U30" i="39"/>
  <c r="Q26" i="39"/>
  <c r="R26" i="39"/>
  <c r="S26" i="39"/>
  <c r="Q27" i="39"/>
  <c r="R27" i="39"/>
  <c r="S27" i="39"/>
  <c r="Q23" i="39"/>
  <c r="R23" i="39"/>
  <c r="S23" i="39"/>
  <c r="Q24" i="39"/>
  <c r="R24" i="39"/>
  <c r="S24" i="39"/>
  <c r="Q19" i="39"/>
  <c r="R19" i="39"/>
  <c r="S19" i="39"/>
  <c r="U19" i="39"/>
  <c r="Q20" i="39"/>
  <c r="R20" i="39"/>
  <c r="S20" i="39"/>
  <c r="T20" i="39"/>
  <c r="Q21" i="39"/>
  <c r="R21" i="39"/>
  <c r="S21" i="39"/>
  <c r="Q15" i="39"/>
  <c r="R15" i="39"/>
  <c r="Q16" i="39"/>
  <c r="R16" i="39"/>
  <c r="T16" i="39"/>
  <c r="Q17" i="39"/>
  <c r="R17" i="39"/>
  <c r="S17" i="39"/>
  <c r="Q12" i="39"/>
  <c r="Q13" i="39"/>
  <c r="R13" i="39"/>
  <c r="Q8" i="39"/>
  <c r="Q9" i="39"/>
  <c r="R9" i="39"/>
  <c r="Q10" i="39"/>
  <c r="R10" i="39"/>
  <c r="S10" i="39"/>
  <c r="U6" i="39"/>
  <c r="T6" i="39"/>
  <c r="F66" i="40"/>
  <c r="E66" i="40"/>
  <c r="D66" i="40"/>
  <c r="I51" i="36"/>
  <c r="F54" i="36"/>
  <c r="C66" i="40"/>
  <c r="E50" i="36"/>
  <c r="F50" i="36"/>
  <c r="G50" i="36"/>
  <c r="D50" i="36"/>
  <c r="I62" i="40"/>
  <c r="P53" i="40" s="1"/>
  <c r="C62" i="40"/>
  <c r="E54" i="36"/>
  <c r="M46" i="67"/>
  <c r="M42" i="67"/>
  <c r="M40" i="67"/>
  <c r="M39" i="67"/>
  <c r="M36" i="67"/>
  <c r="M32" i="67"/>
  <c r="M30" i="67"/>
  <c r="M29" i="67"/>
  <c r="M26" i="67"/>
  <c r="M22" i="67"/>
  <c r="M20" i="67"/>
  <c r="M19" i="67"/>
  <c r="M10" i="67"/>
  <c r="M11" i="67"/>
  <c r="M12" i="67"/>
  <c r="M13" i="67"/>
  <c r="M14" i="67"/>
  <c r="M15" i="67"/>
  <c r="M16" i="67"/>
  <c r="M9" i="67"/>
  <c r="M8" i="67" s="1"/>
  <c r="F55" i="38"/>
  <c r="K36" i="67"/>
  <c r="K32" i="67"/>
  <c r="K30" i="67"/>
  <c r="K29" i="67"/>
  <c r="I36" i="67"/>
  <c r="I35" i="67"/>
  <c r="I32" i="67"/>
  <c r="I31" i="67"/>
  <c r="I30" i="67"/>
  <c r="I29" i="67"/>
  <c r="G36" i="67"/>
  <c r="G35" i="67"/>
  <c r="G33" i="67"/>
  <c r="G32" i="67"/>
  <c r="G31" i="67"/>
  <c r="G30" i="67"/>
  <c r="G29" i="67"/>
  <c r="E36" i="67"/>
  <c r="E35" i="67"/>
  <c r="E33" i="67"/>
  <c r="E32" i="67"/>
  <c r="E31" i="67"/>
  <c r="E30" i="67"/>
  <c r="E29" i="67"/>
  <c r="K26" i="67"/>
  <c r="K22" i="67"/>
  <c r="K20" i="67"/>
  <c r="K19" i="67"/>
  <c r="I26" i="67"/>
  <c r="I25" i="67"/>
  <c r="I22" i="67"/>
  <c r="I21" i="67"/>
  <c r="I20" i="67"/>
  <c r="I19" i="67"/>
  <c r="G26" i="67"/>
  <c r="G25" i="67"/>
  <c r="G23" i="67"/>
  <c r="G22" i="67"/>
  <c r="G21" i="67"/>
  <c r="G20" i="67"/>
  <c r="G19" i="67"/>
  <c r="E26" i="67"/>
  <c r="E25" i="67"/>
  <c r="E23" i="67"/>
  <c r="E22" i="67"/>
  <c r="E21" i="67"/>
  <c r="E20" i="67"/>
  <c r="E19" i="67"/>
  <c r="C30" i="67"/>
  <c r="C31" i="67"/>
  <c r="C32" i="67"/>
  <c r="C33" i="67"/>
  <c r="C35" i="67"/>
  <c r="C36" i="67"/>
  <c r="C20" i="67"/>
  <c r="C21" i="67"/>
  <c r="C22" i="67"/>
  <c r="C23" i="67"/>
  <c r="C25" i="67"/>
  <c r="C26" i="67"/>
  <c r="C29" i="67"/>
  <c r="C19" i="67"/>
  <c r="C8" i="67"/>
  <c r="K39" i="67"/>
  <c r="K40" i="67"/>
  <c r="K42" i="67"/>
  <c r="K46" i="67"/>
  <c r="K16" i="67"/>
  <c r="K15" i="67"/>
  <c r="K12" i="67"/>
  <c r="K11" i="67"/>
  <c r="K10" i="67"/>
  <c r="K9" i="67"/>
  <c r="I16" i="67"/>
  <c r="I15" i="67"/>
  <c r="I13" i="67"/>
  <c r="I12" i="67"/>
  <c r="I11" i="67"/>
  <c r="I10" i="67"/>
  <c r="I9" i="67"/>
  <c r="G16" i="67"/>
  <c r="G15" i="67"/>
  <c r="G13" i="67"/>
  <c r="G12" i="67"/>
  <c r="G11" i="67"/>
  <c r="G10" i="67"/>
  <c r="G9" i="67"/>
  <c r="I39" i="67"/>
  <c r="I40" i="67"/>
  <c r="I41" i="67"/>
  <c r="I42" i="67"/>
  <c r="I45" i="67"/>
  <c r="I46" i="67"/>
  <c r="G39" i="67"/>
  <c r="G40" i="67"/>
  <c r="G41" i="67"/>
  <c r="G42" i="67"/>
  <c r="G43" i="67"/>
  <c r="G45" i="67"/>
  <c r="G46" i="67"/>
  <c r="E39" i="67"/>
  <c r="E40" i="67"/>
  <c r="E41" i="67"/>
  <c r="E42" i="67"/>
  <c r="E43" i="67"/>
  <c r="E45" i="67"/>
  <c r="E46" i="67"/>
  <c r="C40" i="67"/>
  <c r="C41" i="67"/>
  <c r="C42" i="67"/>
  <c r="C43" i="67"/>
  <c r="C44" i="67"/>
  <c r="E14" i="67" s="1"/>
  <c r="E8" i="67" s="1"/>
  <c r="C45" i="67"/>
  <c r="E15" i="67" s="1"/>
  <c r="C46" i="67"/>
  <c r="C39" i="67"/>
  <c r="E9" i="67" s="1"/>
  <c r="E16" i="67"/>
  <c r="E13" i="67"/>
  <c r="E12" i="67"/>
  <c r="E11" i="67"/>
  <c r="E10" i="67"/>
  <c r="C16" i="67"/>
  <c r="C15" i="67"/>
  <c r="C14" i="67"/>
  <c r="C13" i="67"/>
  <c r="C12" i="67"/>
  <c r="C11" i="67"/>
  <c r="C10" i="67"/>
  <c r="C9" i="67"/>
  <c r="K6" i="67"/>
  <c r="I6" i="67"/>
  <c r="G6" i="67"/>
  <c r="E6" i="67"/>
  <c r="C6" i="67"/>
  <c r="B3" i="67"/>
  <c r="F49" i="38"/>
  <c r="F47" i="38"/>
  <c r="F46" i="38"/>
  <c r="F45" i="38"/>
  <c r="C49" i="38"/>
  <c r="C47" i="38"/>
  <c r="C46" i="38"/>
  <c r="C45" i="38"/>
  <c r="C44" i="38"/>
  <c r="F44" i="38"/>
  <c r="F43" i="38"/>
  <c r="F42" i="38"/>
  <c r="F41" i="38"/>
  <c r="C41" i="38"/>
  <c r="C42" i="38"/>
  <c r="C43" i="38"/>
  <c r="F37" i="38"/>
  <c r="F34" i="38"/>
  <c r="F33" i="38"/>
  <c r="F32" i="38"/>
  <c r="F31" i="38"/>
  <c r="F30" i="38"/>
  <c r="F29" i="38"/>
  <c r="F28" i="38"/>
  <c r="C28" i="38"/>
  <c r="C37" i="38"/>
  <c r="C34" i="38"/>
  <c r="C33" i="38"/>
  <c r="C32" i="38"/>
  <c r="C31" i="38"/>
  <c r="C30" i="38"/>
  <c r="C29" i="38"/>
  <c r="B5" i="38"/>
  <c r="F66" i="1"/>
  <c r="G65" i="21"/>
  <c r="H65" i="21" s="1"/>
  <c r="E66" i="1"/>
  <c r="D66" i="1"/>
  <c r="C66" i="1"/>
  <c r="E44" i="1"/>
  <c r="D44" i="1"/>
  <c r="C44" i="1"/>
  <c r="C43" i="21" s="1"/>
  <c r="D43" i="21" s="1"/>
  <c r="P83" i="40"/>
  <c r="P82" i="40"/>
  <c r="P81" i="40"/>
  <c r="P80" i="40"/>
  <c r="P79" i="40"/>
  <c r="P78" i="40"/>
  <c r="P77" i="40"/>
  <c r="P76" i="40"/>
  <c r="P75" i="40"/>
  <c r="P74" i="40"/>
  <c r="P73" i="40"/>
  <c r="P72" i="40"/>
  <c r="P71" i="40"/>
  <c r="I82" i="40"/>
  <c r="I80" i="40"/>
  <c r="I79" i="40"/>
  <c r="I78" i="40"/>
  <c r="I77" i="40"/>
  <c r="I75" i="40"/>
  <c r="I76" i="40" s="1"/>
  <c r="I74" i="40"/>
  <c r="I73" i="40"/>
  <c r="I72" i="40"/>
  <c r="I71" i="40"/>
  <c r="I69" i="40"/>
  <c r="P69" i="40" s="1"/>
  <c r="P5" i="40"/>
  <c r="P6" i="40"/>
  <c r="P7" i="40"/>
  <c r="P8" i="40"/>
  <c r="P9" i="40"/>
  <c r="P10" i="40"/>
  <c r="P11" i="40"/>
  <c r="P13" i="40"/>
  <c r="P31" i="40" s="1"/>
  <c r="P23" i="40"/>
  <c r="P24" i="40"/>
  <c r="P25" i="40"/>
  <c r="P26" i="40"/>
  <c r="P27" i="40"/>
  <c r="P29" i="40"/>
  <c r="P34" i="40"/>
  <c r="P35" i="40"/>
  <c r="P36" i="40"/>
  <c r="P37" i="40"/>
  <c r="P38" i="40"/>
  <c r="P39" i="40"/>
  <c r="P41" i="40"/>
  <c r="P43" i="40"/>
  <c r="P44" i="40"/>
  <c r="P45" i="40"/>
  <c r="P46" i="40"/>
  <c r="P47" i="40"/>
  <c r="P49" i="40"/>
  <c r="P54" i="40"/>
  <c r="P58" i="40"/>
  <c r="P60" i="40"/>
  <c r="I60" i="40"/>
  <c r="I59" i="40"/>
  <c r="I58" i="40"/>
  <c r="I57" i="40"/>
  <c r="I56" i="40"/>
  <c r="I55" i="40"/>
  <c r="I54" i="40"/>
  <c r="I53" i="40"/>
  <c r="I47" i="40"/>
  <c r="I46" i="40"/>
  <c r="I45" i="40"/>
  <c r="I44" i="40"/>
  <c r="I43" i="40"/>
  <c r="I41" i="40"/>
  <c r="I39" i="40"/>
  <c r="I38" i="40"/>
  <c r="I37" i="40"/>
  <c r="I36" i="40"/>
  <c r="I35" i="40"/>
  <c r="I34" i="40"/>
  <c r="I27" i="40"/>
  <c r="I26" i="40"/>
  <c r="I25" i="40"/>
  <c r="I24" i="40"/>
  <c r="I29" i="40" s="1"/>
  <c r="I31" i="40" s="1"/>
  <c r="I23" i="40"/>
  <c r="I22" i="40"/>
  <c r="I21" i="40"/>
  <c r="I20" i="40"/>
  <c r="I19" i="40"/>
  <c r="I18" i="40"/>
  <c r="I17" i="40"/>
  <c r="I16" i="40"/>
  <c r="I15" i="40"/>
  <c r="I13" i="40"/>
  <c r="I7" i="40"/>
  <c r="I8" i="40"/>
  <c r="I9" i="40"/>
  <c r="I10" i="40"/>
  <c r="I11" i="40"/>
  <c r="I6" i="40"/>
  <c r="I5" i="40"/>
  <c r="S79" i="40"/>
  <c r="T79" i="40" s="1"/>
  <c r="K72" i="40"/>
  <c r="M69" i="40"/>
  <c r="I57" i="36"/>
  <c r="I65" i="36"/>
  <c r="H82" i="40" s="1"/>
  <c r="F82" i="40"/>
  <c r="E82" i="40"/>
  <c r="D82" i="40"/>
  <c r="C82" i="40"/>
  <c r="J82" i="40" s="1"/>
  <c r="F80" i="40"/>
  <c r="E80" i="40"/>
  <c r="S80" i="40" s="1"/>
  <c r="T80" i="40" s="1"/>
  <c r="D80" i="40"/>
  <c r="F79" i="40"/>
  <c r="E79" i="40"/>
  <c r="D79" i="40"/>
  <c r="F78" i="40"/>
  <c r="E78" i="40"/>
  <c r="D78" i="40"/>
  <c r="F77" i="40"/>
  <c r="E77" i="40"/>
  <c r="D77" i="40"/>
  <c r="C80" i="40"/>
  <c r="C79" i="40"/>
  <c r="C78" i="40"/>
  <c r="J78" i="40" s="1"/>
  <c r="C77" i="40"/>
  <c r="J77" i="40" s="1"/>
  <c r="F75" i="40"/>
  <c r="E75" i="40"/>
  <c r="S75" i="40" s="1"/>
  <c r="T75" i="40" s="1"/>
  <c r="D75" i="40"/>
  <c r="Q75" i="40" s="1"/>
  <c r="R75" i="40" s="1"/>
  <c r="F74" i="40"/>
  <c r="E74" i="40"/>
  <c r="D74" i="40"/>
  <c r="C75" i="40"/>
  <c r="C74" i="40"/>
  <c r="G72" i="40"/>
  <c r="F72" i="40"/>
  <c r="E72" i="40"/>
  <c r="L72" i="40" s="1"/>
  <c r="D72" i="40"/>
  <c r="C72" i="40"/>
  <c r="H69" i="40"/>
  <c r="O69" i="40" s="1"/>
  <c r="G69" i="40"/>
  <c r="N69" i="40" s="1"/>
  <c r="F69" i="40"/>
  <c r="E69" i="40"/>
  <c r="L69" i="40" s="1"/>
  <c r="D69" i="40"/>
  <c r="C69" i="40"/>
  <c r="H71" i="40"/>
  <c r="O71" i="40" s="1"/>
  <c r="F71" i="40"/>
  <c r="E71" i="40"/>
  <c r="D71" i="40"/>
  <c r="C71" i="40"/>
  <c r="J71" i="40" s="1"/>
  <c r="H60" i="40"/>
  <c r="G60" i="40"/>
  <c r="F60" i="40"/>
  <c r="E60" i="40"/>
  <c r="D60" i="40"/>
  <c r="G59" i="40"/>
  <c r="F59" i="40"/>
  <c r="E59" i="40"/>
  <c r="D59" i="40"/>
  <c r="G58" i="40"/>
  <c r="F58" i="40"/>
  <c r="F62" i="40" s="1"/>
  <c r="D58" i="40"/>
  <c r="H56" i="40"/>
  <c r="G56" i="40"/>
  <c r="F56" i="40"/>
  <c r="E56" i="40"/>
  <c r="D56" i="40"/>
  <c r="G55" i="40"/>
  <c r="F55" i="40"/>
  <c r="E55" i="40"/>
  <c r="D55" i="40"/>
  <c r="H54" i="40"/>
  <c r="G54" i="40"/>
  <c r="F54" i="40"/>
  <c r="E54" i="40"/>
  <c r="D54" i="40"/>
  <c r="H53" i="40"/>
  <c r="G53" i="40"/>
  <c r="F53" i="40"/>
  <c r="E53" i="40"/>
  <c r="D53" i="40"/>
  <c r="C60" i="40"/>
  <c r="C59" i="40"/>
  <c r="C58" i="40"/>
  <c r="C56" i="40"/>
  <c r="C55" i="40"/>
  <c r="C54" i="40"/>
  <c r="C53" i="40"/>
  <c r="D43" i="40"/>
  <c r="E43" i="40"/>
  <c r="G43" i="40"/>
  <c r="D44" i="40"/>
  <c r="E44" i="40"/>
  <c r="F44" i="40"/>
  <c r="G44" i="40"/>
  <c r="H44" i="40"/>
  <c r="Y44" i="40" s="1"/>
  <c r="Z44" i="40" s="1"/>
  <c r="D45" i="40"/>
  <c r="E45" i="40"/>
  <c r="F45" i="40"/>
  <c r="G45" i="40"/>
  <c r="H45" i="40"/>
  <c r="D46" i="40"/>
  <c r="E46" i="40"/>
  <c r="F46" i="40"/>
  <c r="G46" i="40"/>
  <c r="H46" i="40"/>
  <c r="Y46" i="40" s="1"/>
  <c r="Z46" i="40" s="1"/>
  <c r="D47" i="40"/>
  <c r="E47" i="40"/>
  <c r="F47" i="40"/>
  <c r="G47" i="40"/>
  <c r="H47" i="40"/>
  <c r="C47" i="40"/>
  <c r="C46" i="40"/>
  <c r="C45" i="40"/>
  <c r="C44" i="40"/>
  <c r="C43" i="40"/>
  <c r="D34" i="40"/>
  <c r="E34" i="40"/>
  <c r="G34" i="40"/>
  <c r="D35" i="40"/>
  <c r="E35" i="40"/>
  <c r="G35" i="40"/>
  <c r="D36" i="40"/>
  <c r="E36" i="40"/>
  <c r="G36" i="40"/>
  <c r="D38" i="40"/>
  <c r="E38" i="40"/>
  <c r="D39" i="40"/>
  <c r="E39" i="40"/>
  <c r="C39" i="40"/>
  <c r="C38" i="40"/>
  <c r="C36" i="40"/>
  <c r="C35" i="40"/>
  <c r="C34" i="40"/>
  <c r="D15" i="40"/>
  <c r="E15" i="40"/>
  <c r="F15" i="40"/>
  <c r="G15" i="40"/>
  <c r="H15" i="40"/>
  <c r="D16" i="40"/>
  <c r="E16" i="40"/>
  <c r="F16" i="40"/>
  <c r="G16" i="40"/>
  <c r="H16" i="40"/>
  <c r="D17" i="40"/>
  <c r="E17" i="40"/>
  <c r="F17" i="40"/>
  <c r="D18" i="40"/>
  <c r="E18" i="40"/>
  <c r="F18" i="40"/>
  <c r="D19" i="40"/>
  <c r="E19" i="40"/>
  <c r="F19" i="40"/>
  <c r="G19" i="40"/>
  <c r="H19" i="40"/>
  <c r="D20" i="40"/>
  <c r="E20" i="40"/>
  <c r="F20" i="40"/>
  <c r="G20" i="40"/>
  <c r="H20" i="40"/>
  <c r="D21" i="40"/>
  <c r="E21" i="40"/>
  <c r="F21" i="40"/>
  <c r="G21" i="40"/>
  <c r="H21" i="40"/>
  <c r="D22" i="40"/>
  <c r="E22" i="40"/>
  <c r="F22" i="40"/>
  <c r="D23" i="40"/>
  <c r="E23" i="40"/>
  <c r="F23" i="40"/>
  <c r="D24" i="40"/>
  <c r="E24" i="40"/>
  <c r="G24" i="40"/>
  <c r="D25" i="40"/>
  <c r="E25" i="40"/>
  <c r="F25" i="40"/>
  <c r="G25" i="40"/>
  <c r="H25" i="40"/>
  <c r="D26" i="40"/>
  <c r="E26" i="40"/>
  <c r="F26" i="40"/>
  <c r="G26" i="40"/>
  <c r="D27" i="40"/>
  <c r="E27" i="40"/>
  <c r="C27" i="40"/>
  <c r="C26" i="40"/>
  <c r="C25" i="40"/>
  <c r="C24" i="40"/>
  <c r="C23" i="40"/>
  <c r="C22" i="40"/>
  <c r="C21" i="40"/>
  <c r="C20" i="40"/>
  <c r="C19" i="40"/>
  <c r="C18" i="40"/>
  <c r="C17" i="40"/>
  <c r="C16" i="40"/>
  <c r="C15" i="40"/>
  <c r="D11" i="40"/>
  <c r="G10" i="40"/>
  <c r="E10" i="40"/>
  <c r="D10" i="40"/>
  <c r="G9" i="40"/>
  <c r="F9" i="40"/>
  <c r="E9" i="40"/>
  <c r="D9" i="40"/>
  <c r="D8" i="40"/>
  <c r="G7" i="40"/>
  <c r="F7" i="40"/>
  <c r="E7" i="40"/>
  <c r="S7" i="40" s="1"/>
  <c r="T7" i="40" s="1"/>
  <c r="D7" i="40"/>
  <c r="G6" i="40"/>
  <c r="E6" i="40"/>
  <c r="D6" i="40"/>
  <c r="Q6" i="40" s="1"/>
  <c r="R6" i="40" s="1"/>
  <c r="C7" i="40"/>
  <c r="C8" i="40"/>
  <c r="C9" i="40"/>
  <c r="C10" i="40"/>
  <c r="C11" i="40"/>
  <c r="C6" i="40"/>
  <c r="H5" i="40"/>
  <c r="O5" i="40" s="1"/>
  <c r="Y5" i="40" s="1"/>
  <c r="Y69" i="40" s="1"/>
  <c r="G5" i="40"/>
  <c r="N5" i="40" s="1"/>
  <c r="F5" i="40"/>
  <c r="M5" i="40" s="1"/>
  <c r="U5" i="40" s="1"/>
  <c r="U69" i="40" s="1"/>
  <c r="E5" i="40"/>
  <c r="L5" i="40" s="1"/>
  <c r="D5" i="40"/>
  <c r="C5" i="40"/>
  <c r="K68" i="21"/>
  <c r="L68" i="21" s="1"/>
  <c r="J68" i="21"/>
  <c r="I68" i="21"/>
  <c r="H68" i="21"/>
  <c r="G68" i="21"/>
  <c r="E68" i="21"/>
  <c r="F68" i="21" s="1"/>
  <c r="C68" i="21"/>
  <c r="D68" i="21" s="1"/>
  <c r="J67" i="21"/>
  <c r="I67" i="21"/>
  <c r="G67" i="21"/>
  <c r="H67" i="21" s="1"/>
  <c r="E67" i="21"/>
  <c r="F67" i="21" s="1"/>
  <c r="D67" i="21"/>
  <c r="C67" i="21"/>
  <c r="E65" i="21"/>
  <c r="F65" i="21" s="1"/>
  <c r="K64" i="21"/>
  <c r="L64" i="21" s="1"/>
  <c r="J64" i="21"/>
  <c r="I64" i="21"/>
  <c r="H64" i="21"/>
  <c r="G64" i="21"/>
  <c r="E64" i="21"/>
  <c r="F64" i="21" s="1"/>
  <c r="C64" i="21"/>
  <c r="D64" i="21" s="1"/>
  <c r="J63" i="21"/>
  <c r="I63" i="21"/>
  <c r="G63" i="21"/>
  <c r="H63" i="21" s="1"/>
  <c r="E63" i="21"/>
  <c r="F63" i="21" s="1"/>
  <c r="D63" i="21"/>
  <c r="C63" i="21"/>
  <c r="L62" i="21"/>
  <c r="K62" i="21"/>
  <c r="I62" i="21"/>
  <c r="J62" i="21" s="1"/>
  <c r="G62" i="21"/>
  <c r="H62" i="21" s="1"/>
  <c r="F62" i="21"/>
  <c r="E62" i="21"/>
  <c r="D62" i="21"/>
  <c r="C62" i="21"/>
  <c r="K61" i="21"/>
  <c r="L61" i="21" s="1"/>
  <c r="I61" i="21"/>
  <c r="J61" i="21" s="1"/>
  <c r="G61" i="21"/>
  <c r="H61" i="21" s="1"/>
  <c r="E61" i="21"/>
  <c r="F61" i="21" s="1"/>
  <c r="C61" i="21"/>
  <c r="D61" i="21" s="1"/>
  <c r="E55" i="21"/>
  <c r="F55" i="21" s="1"/>
  <c r="C55" i="21"/>
  <c r="D55" i="21" s="1"/>
  <c r="L53" i="21"/>
  <c r="K53" i="21"/>
  <c r="I53" i="21"/>
  <c r="J53" i="21" s="1"/>
  <c r="H53" i="21"/>
  <c r="G53" i="21"/>
  <c r="E53" i="21"/>
  <c r="F53" i="21" s="1"/>
  <c r="D53" i="21"/>
  <c r="C53" i="21"/>
  <c r="K52" i="21"/>
  <c r="L52" i="21" s="1"/>
  <c r="J52" i="21"/>
  <c r="I52" i="21"/>
  <c r="G52" i="21"/>
  <c r="H52" i="21" s="1"/>
  <c r="F52" i="21"/>
  <c r="E52" i="21"/>
  <c r="C52" i="21"/>
  <c r="D52" i="21" s="1"/>
  <c r="L51" i="21"/>
  <c r="K51" i="21"/>
  <c r="I51" i="21"/>
  <c r="J51" i="21" s="1"/>
  <c r="H51" i="21"/>
  <c r="G51" i="21"/>
  <c r="E51" i="21"/>
  <c r="F51" i="21" s="1"/>
  <c r="D51" i="21"/>
  <c r="C51" i="21"/>
  <c r="K50" i="21"/>
  <c r="L50" i="21" s="1"/>
  <c r="J50" i="21"/>
  <c r="I50" i="21"/>
  <c r="G50" i="21"/>
  <c r="H50" i="21" s="1"/>
  <c r="F50" i="21"/>
  <c r="E50" i="21"/>
  <c r="C50" i="21"/>
  <c r="D50" i="21" s="1"/>
  <c r="E49" i="21"/>
  <c r="F49" i="21" s="1"/>
  <c r="D49" i="21"/>
  <c r="C49" i="21"/>
  <c r="E45" i="21"/>
  <c r="F45" i="21" s="1"/>
  <c r="C45" i="21"/>
  <c r="D45" i="21" s="1"/>
  <c r="E44" i="21"/>
  <c r="F44" i="21" s="1"/>
  <c r="C44" i="21"/>
  <c r="D44" i="21" s="1"/>
  <c r="E43" i="21"/>
  <c r="F43" i="21" s="1"/>
  <c r="E42" i="21"/>
  <c r="F42" i="21" s="1"/>
  <c r="C42" i="21"/>
  <c r="D42" i="21" s="1"/>
  <c r="E41" i="21"/>
  <c r="F41" i="21" s="1"/>
  <c r="C41" i="21"/>
  <c r="D41" i="21" s="1"/>
  <c r="E40" i="21"/>
  <c r="F40" i="21" s="1"/>
  <c r="C40" i="21"/>
  <c r="D40" i="21" s="1"/>
  <c r="C35" i="21"/>
  <c r="D35" i="21" s="1"/>
  <c r="E33" i="21"/>
  <c r="F33" i="21" s="1"/>
  <c r="C33" i="21"/>
  <c r="D33" i="21" s="1"/>
  <c r="C20" i="21"/>
  <c r="D20" i="21"/>
  <c r="E20" i="21"/>
  <c r="F20" i="21"/>
  <c r="G20" i="21"/>
  <c r="H20" i="21" s="1"/>
  <c r="I20" i="21"/>
  <c r="J20" i="21" s="1"/>
  <c r="K20" i="21"/>
  <c r="L20" i="21"/>
  <c r="C21" i="21"/>
  <c r="D21" i="21" s="1"/>
  <c r="E21" i="21"/>
  <c r="F21" i="21" s="1"/>
  <c r="G21" i="21"/>
  <c r="H21" i="21" s="1"/>
  <c r="C22" i="21"/>
  <c r="D22" i="21" s="1"/>
  <c r="E22" i="21"/>
  <c r="F22" i="21" s="1"/>
  <c r="G22" i="21"/>
  <c r="H22" i="21" s="1"/>
  <c r="C23" i="21"/>
  <c r="D23" i="21"/>
  <c r="E23" i="21"/>
  <c r="F23" i="21" s="1"/>
  <c r="G23" i="21"/>
  <c r="H23" i="21" s="1"/>
  <c r="I23" i="21"/>
  <c r="J23" i="21" s="1"/>
  <c r="K23" i="21"/>
  <c r="L23" i="21" s="1"/>
  <c r="C24" i="21"/>
  <c r="D24" i="21" s="1"/>
  <c r="E24" i="21"/>
  <c r="F24" i="21" s="1"/>
  <c r="G24" i="21"/>
  <c r="H24" i="21" s="1"/>
  <c r="I24" i="21"/>
  <c r="J24" i="21"/>
  <c r="K24" i="21"/>
  <c r="L24" i="21"/>
  <c r="C25" i="21"/>
  <c r="D25" i="21" s="1"/>
  <c r="E25" i="21"/>
  <c r="F25" i="21" s="1"/>
  <c r="G25" i="21"/>
  <c r="H25" i="21"/>
  <c r="I25" i="21"/>
  <c r="J25" i="21" s="1"/>
  <c r="K25" i="21"/>
  <c r="L25" i="21" s="1"/>
  <c r="C26" i="21"/>
  <c r="D26" i="21" s="1"/>
  <c r="E26" i="21"/>
  <c r="F26" i="21" s="1"/>
  <c r="G26" i="21"/>
  <c r="H26" i="21"/>
  <c r="C27" i="21"/>
  <c r="D27" i="21" s="1"/>
  <c r="E27" i="21"/>
  <c r="F27" i="21"/>
  <c r="G27" i="21"/>
  <c r="H27" i="21" s="1"/>
  <c r="C28" i="21"/>
  <c r="D28" i="21" s="1"/>
  <c r="E28" i="21"/>
  <c r="F28" i="21"/>
  <c r="C29" i="21"/>
  <c r="D29" i="21"/>
  <c r="E29" i="21"/>
  <c r="F29" i="21" s="1"/>
  <c r="G29" i="21"/>
  <c r="H29" i="21"/>
  <c r="I29" i="21"/>
  <c r="J29" i="21" s="1"/>
  <c r="K29" i="21"/>
  <c r="L29" i="21" s="1"/>
  <c r="C30" i="21"/>
  <c r="D30" i="21" s="1"/>
  <c r="E30" i="21"/>
  <c r="F30" i="21" s="1"/>
  <c r="G30" i="21"/>
  <c r="H30" i="21" s="1"/>
  <c r="I30" i="21"/>
  <c r="J30" i="21" s="1"/>
  <c r="C31" i="21"/>
  <c r="D31" i="21"/>
  <c r="E31" i="21"/>
  <c r="F31" i="21"/>
  <c r="L19" i="21"/>
  <c r="K19" i="21"/>
  <c r="I19" i="21"/>
  <c r="J19" i="21" s="1"/>
  <c r="H19" i="21"/>
  <c r="G19" i="21"/>
  <c r="E19" i="21"/>
  <c r="F19" i="21" s="1"/>
  <c r="C19" i="21"/>
  <c r="D19" i="21" s="1"/>
  <c r="D17" i="21"/>
  <c r="C17" i="21"/>
  <c r="J11" i="21"/>
  <c r="J13" i="21"/>
  <c r="H13" i="21"/>
  <c r="F11" i="21"/>
  <c r="D11" i="21"/>
  <c r="D13" i="21"/>
  <c r="I11" i="21"/>
  <c r="I13" i="21"/>
  <c r="G11" i="21"/>
  <c r="H11" i="21" s="1"/>
  <c r="G13" i="21"/>
  <c r="E11" i="21"/>
  <c r="E13" i="21"/>
  <c r="F13" i="21" s="1"/>
  <c r="E14" i="21"/>
  <c r="F14" i="21" s="1"/>
  <c r="E10" i="21"/>
  <c r="C11" i="21"/>
  <c r="C12" i="21"/>
  <c r="D12" i="21" s="1"/>
  <c r="C13" i="21"/>
  <c r="C14" i="21"/>
  <c r="D14" i="21" s="1"/>
  <c r="C15" i="21"/>
  <c r="D15" i="21" s="1"/>
  <c r="K6" i="21"/>
  <c r="I6" i="21"/>
  <c r="G6" i="21"/>
  <c r="E6" i="21"/>
  <c r="E6" i="45"/>
  <c r="E29" i="45"/>
  <c r="F29" i="45" s="1"/>
  <c r="E27" i="45"/>
  <c r="F27" i="45" s="1"/>
  <c r="E25" i="45"/>
  <c r="F25" i="45" s="1"/>
  <c r="E23" i="45"/>
  <c r="F23" i="45" s="1"/>
  <c r="E22" i="45"/>
  <c r="F22" i="45" s="1"/>
  <c r="E21" i="45"/>
  <c r="F21" i="45" s="1"/>
  <c r="E20" i="45"/>
  <c r="F20" i="45" s="1"/>
  <c r="E18" i="45"/>
  <c r="F18" i="45" s="1"/>
  <c r="E16" i="45"/>
  <c r="F16" i="45" s="1"/>
  <c r="E15" i="45"/>
  <c r="F15" i="45" s="1"/>
  <c r="E13" i="45"/>
  <c r="F13" i="45" s="1"/>
  <c r="E11" i="45"/>
  <c r="F11" i="45" s="1"/>
  <c r="E9" i="45"/>
  <c r="E32" i="45" s="1"/>
  <c r="I44" i="67" l="1"/>
  <c r="K14" i="67" s="1"/>
  <c r="G44" i="67"/>
  <c r="E58" i="40"/>
  <c r="C38" i="67"/>
  <c r="C34" i="67"/>
  <c r="C28" i="67" s="1"/>
  <c r="D62" i="40"/>
  <c r="C24" i="67"/>
  <c r="C18" i="67" s="1"/>
  <c r="P59" i="40"/>
  <c r="P56" i="40"/>
  <c r="P57" i="40"/>
  <c r="P55" i="40"/>
  <c r="C65" i="21"/>
  <c r="D65" i="21" s="1"/>
  <c r="I81" i="40"/>
  <c r="I83" i="40" s="1"/>
  <c r="I49" i="40"/>
  <c r="I50" i="40" s="1"/>
  <c r="I64" i="40"/>
  <c r="J79" i="40"/>
  <c r="L78" i="40"/>
  <c r="L82" i="40"/>
  <c r="U45" i="40"/>
  <c r="V45" i="40" s="1"/>
  <c r="Y53" i="40"/>
  <c r="Z53" i="40" s="1"/>
  <c r="U55" i="40"/>
  <c r="V55" i="40" s="1"/>
  <c r="K75" i="40"/>
  <c r="M78" i="40"/>
  <c r="S77" i="40"/>
  <c r="T77" i="40" s="1"/>
  <c r="C29" i="40"/>
  <c r="J27" i="40" s="1"/>
  <c r="W58" i="40"/>
  <c r="X58" i="40" s="1"/>
  <c r="S60" i="40"/>
  <c r="T60" i="40" s="1"/>
  <c r="Q27" i="40"/>
  <c r="R27" i="40" s="1"/>
  <c r="J26" i="40"/>
  <c r="S36" i="40"/>
  <c r="T36" i="40" s="1"/>
  <c r="S43" i="40"/>
  <c r="T43" i="40" s="1"/>
  <c r="Q36" i="40"/>
  <c r="R36" i="40" s="1"/>
  <c r="Y47" i="40"/>
  <c r="Z47" i="40" s="1"/>
  <c r="W44" i="40"/>
  <c r="X44" i="40" s="1"/>
  <c r="Q53" i="40"/>
  <c r="R53" i="40" s="1"/>
  <c r="S56" i="40"/>
  <c r="T56" i="40" s="1"/>
  <c r="U60" i="40"/>
  <c r="V60" i="40" s="1"/>
  <c r="K82" i="40"/>
  <c r="Q82" i="40"/>
  <c r="R82" i="40" s="1"/>
  <c r="S72" i="40"/>
  <c r="T72" i="40" s="1"/>
  <c r="S9" i="40"/>
  <c r="T9" i="40" s="1"/>
  <c r="S34" i="40"/>
  <c r="T34" i="40" s="1"/>
  <c r="Q46" i="40"/>
  <c r="R46" i="40" s="1"/>
  <c r="S53" i="40"/>
  <c r="T53" i="40" s="1"/>
  <c r="Q59" i="40"/>
  <c r="R59" i="40" s="1"/>
  <c r="S6" i="40"/>
  <c r="T6" i="40" s="1"/>
  <c r="Q11" i="40"/>
  <c r="R11" i="40" s="1"/>
  <c r="W26" i="40"/>
  <c r="X26" i="40" s="1"/>
  <c r="U23" i="40"/>
  <c r="V23" i="40" s="1"/>
  <c r="U47" i="40"/>
  <c r="V47" i="40" s="1"/>
  <c r="S44" i="40"/>
  <c r="T44" i="40" s="1"/>
  <c r="U53" i="40"/>
  <c r="V53" i="40" s="1"/>
  <c r="W56" i="40"/>
  <c r="X56" i="40" s="1"/>
  <c r="Y60" i="40"/>
  <c r="Z60" i="40" s="1"/>
  <c r="Q80" i="40"/>
  <c r="R80" i="40" s="1"/>
  <c r="D37" i="40"/>
  <c r="S78" i="40"/>
  <c r="T78" i="40" s="1"/>
  <c r="W9" i="40"/>
  <c r="X9" i="40" s="1"/>
  <c r="U26" i="40"/>
  <c r="V26" i="40" s="1"/>
  <c r="S23" i="40"/>
  <c r="T23" i="40" s="1"/>
  <c r="Q38" i="40"/>
  <c r="R38" i="40" s="1"/>
  <c r="S47" i="40"/>
  <c r="T47" i="40" s="1"/>
  <c r="W45" i="40"/>
  <c r="X45" i="40" s="1"/>
  <c r="W53" i="40"/>
  <c r="X53" i="40" s="1"/>
  <c r="S55" i="40"/>
  <c r="T55" i="40" s="1"/>
  <c r="Y56" i="40"/>
  <c r="Z56" i="40" s="1"/>
  <c r="U59" i="40"/>
  <c r="V59" i="40" s="1"/>
  <c r="S71" i="40"/>
  <c r="T71" i="40" s="1"/>
  <c r="L71" i="40"/>
  <c r="J74" i="40"/>
  <c r="Q77" i="40"/>
  <c r="R77" i="40" s="1"/>
  <c r="K77" i="40"/>
  <c r="L80" i="40"/>
  <c r="E37" i="40"/>
  <c r="L75" i="40"/>
  <c r="Q8" i="40"/>
  <c r="R8" i="40" s="1"/>
  <c r="W47" i="40"/>
  <c r="X47" i="40" s="1"/>
  <c r="Y54" i="40"/>
  <c r="Z54" i="40" s="1"/>
  <c r="J75" i="40"/>
  <c r="S26" i="40"/>
  <c r="T26" i="40" s="1"/>
  <c r="Q23" i="40"/>
  <c r="R23" i="40" s="1"/>
  <c r="K23" i="40"/>
  <c r="S35" i="40"/>
  <c r="T35" i="40" s="1"/>
  <c r="Q47" i="40"/>
  <c r="R47" i="40" s="1"/>
  <c r="Q58" i="40"/>
  <c r="R58" i="40" s="1"/>
  <c r="W59" i="40"/>
  <c r="X59" i="40" s="1"/>
  <c r="D29" i="40"/>
  <c r="U71" i="40"/>
  <c r="V71" i="40" s="1"/>
  <c r="M71" i="40"/>
  <c r="U75" i="40"/>
  <c r="V75" i="40" s="1"/>
  <c r="M75" i="40"/>
  <c r="L77" i="40"/>
  <c r="U80" i="40"/>
  <c r="V80" i="40" s="1"/>
  <c r="M80" i="40"/>
  <c r="W25" i="40"/>
  <c r="X25" i="40" s="1"/>
  <c r="U46" i="40"/>
  <c r="V46" i="40" s="1"/>
  <c r="U54" i="40"/>
  <c r="V54" i="40" s="1"/>
  <c r="E41" i="40"/>
  <c r="L38" i="40" s="1"/>
  <c r="J24" i="40"/>
  <c r="Q43" i="40"/>
  <c r="R43" i="40" s="1"/>
  <c r="K78" i="40"/>
  <c r="Q78" i="40"/>
  <c r="R78" i="40" s="1"/>
  <c r="U44" i="40"/>
  <c r="V44" i="40" s="1"/>
  <c r="U9" i="40"/>
  <c r="V9" i="40" s="1"/>
  <c r="Y45" i="40"/>
  <c r="Z45" i="40" s="1"/>
  <c r="J80" i="40"/>
  <c r="W5" i="40"/>
  <c r="W69" i="40" s="1"/>
  <c r="Q10" i="40"/>
  <c r="R10" i="40" s="1"/>
  <c r="Q26" i="40"/>
  <c r="R26" i="40" s="1"/>
  <c r="S39" i="40"/>
  <c r="T39" i="40" s="1"/>
  <c r="Q35" i="40"/>
  <c r="R35" i="40" s="1"/>
  <c r="S45" i="40"/>
  <c r="T45" i="40" s="1"/>
  <c r="Q54" i="40"/>
  <c r="R54" i="40" s="1"/>
  <c r="W55" i="40"/>
  <c r="X55" i="40" s="1"/>
  <c r="E29" i="40"/>
  <c r="L23" i="40" s="1"/>
  <c r="J72" i="40"/>
  <c r="K74" i="40"/>
  <c r="Q74" i="40"/>
  <c r="R74" i="40" s="1"/>
  <c r="U77" i="40"/>
  <c r="V77" i="40" s="1"/>
  <c r="M77" i="40"/>
  <c r="Q79" i="40"/>
  <c r="R79" i="40" s="1"/>
  <c r="K79" i="40"/>
  <c r="C37" i="40"/>
  <c r="Q44" i="40"/>
  <c r="R44" i="40" s="1"/>
  <c r="Q24" i="40"/>
  <c r="R24" i="40" s="1"/>
  <c r="K24" i="40"/>
  <c r="U7" i="40"/>
  <c r="V7" i="40" s="1"/>
  <c r="Q9" i="40"/>
  <c r="R9" i="40" s="1"/>
  <c r="S46" i="40"/>
  <c r="T46" i="40" s="1"/>
  <c r="W54" i="40"/>
  <c r="X54" i="40" s="1"/>
  <c r="U72" i="40"/>
  <c r="V72" i="40" s="1"/>
  <c r="M72" i="40"/>
  <c r="W7" i="40"/>
  <c r="X7" i="40" s="1"/>
  <c r="L25" i="40"/>
  <c r="S25" i="40"/>
  <c r="T25" i="40" s="1"/>
  <c r="U56" i="40"/>
  <c r="V56" i="40" s="1"/>
  <c r="W60" i="40"/>
  <c r="X60" i="40" s="1"/>
  <c r="W72" i="40"/>
  <c r="X72" i="40" s="1"/>
  <c r="F73" i="40"/>
  <c r="Q25" i="40"/>
  <c r="R25" i="40" s="1"/>
  <c r="K25" i="40"/>
  <c r="S38" i="40"/>
  <c r="T38" i="40" s="1"/>
  <c r="Q34" i="40"/>
  <c r="R34" i="40" s="1"/>
  <c r="Q55" i="40"/>
  <c r="R55" i="40" s="1"/>
  <c r="S59" i="40"/>
  <c r="T59" i="40" s="1"/>
  <c r="Q71" i="40"/>
  <c r="R71" i="40" s="1"/>
  <c r="K71" i="40"/>
  <c r="U78" i="40"/>
  <c r="V78" i="40" s="1"/>
  <c r="U82" i="40"/>
  <c r="V82" i="40" s="1"/>
  <c r="M82" i="40"/>
  <c r="Q7" i="40"/>
  <c r="R7" i="40" s="1"/>
  <c r="S10" i="40"/>
  <c r="T10" i="40" s="1"/>
  <c r="Y25" i="40"/>
  <c r="Z25" i="40" s="1"/>
  <c r="S24" i="40"/>
  <c r="T24" i="40" s="1"/>
  <c r="Q39" i="40"/>
  <c r="R39" i="40" s="1"/>
  <c r="W46" i="40"/>
  <c r="X46" i="40" s="1"/>
  <c r="Q45" i="40"/>
  <c r="R45" i="40" s="1"/>
  <c r="S54" i="40"/>
  <c r="T54" i="40" s="1"/>
  <c r="U58" i="40"/>
  <c r="V58" i="40" s="1"/>
  <c r="Q60" i="40"/>
  <c r="R60" i="40" s="1"/>
  <c r="Q72" i="40"/>
  <c r="R72" i="40" s="1"/>
  <c r="L74" i="40"/>
  <c r="L79" i="40"/>
  <c r="O82" i="40"/>
  <c r="K80" i="40"/>
  <c r="S82" i="40"/>
  <c r="T82" i="40" s="1"/>
  <c r="S74" i="40"/>
  <c r="T74" i="40" s="1"/>
  <c r="J23" i="40"/>
  <c r="U74" i="40"/>
  <c r="V74" i="40" s="1"/>
  <c r="M74" i="40"/>
  <c r="U79" i="40"/>
  <c r="V79" i="40" s="1"/>
  <c r="M79" i="40"/>
  <c r="S27" i="40"/>
  <c r="T27" i="40" s="1"/>
  <c r="L27" i="40"/>
  <c r="Q56" i="40"/>
  <c r="R56" i="40" s="1"/>
  <c r="U25" i="40"/>
  <c r="V25" i="40" s="1"/>
  <c r="F76" i="40"/>
  <c r="E49" i="40"/>
  <c r="L46" i="40" s="1"/>
  <c r="G49" i="40"/>
  <c r="N47" i="40" s="1"/>
  <c r="E73" i="40"/>
  <c r="F10" i="21"/>
  <c r="F77" i="21"/>
  <c r="F76" i="21"/>
  <c r="E77" i="21"/>
  <c r="E76" i="21"/>
  <c r="F9" i="45"/>
  <c r="E31" i="45"/>
  <c r="I14" i="67" l="1"/>
  <c r="G38" i="67"/>
  <c r="E62" i="40"/>
  <c r="E44" i="67"/>
  <c r="S58" i="40"/>
  <c r="T58" i="40" s="1"/>
  <c r="I65" i="40"/>
  <c r="P50" i="40"/>
  <c r="P62" i="40"/>
  <c r="P64" i="40" s="1"/>
  <c r="J25" i="40"/>
  <c r="L43" i="40"/>
  <c r="L47" i="40"/>
  <c r="L44" i="40"/>
  <c r="N44" i="40"/>
  <c r="L45" i="40"/>
  <c r="F81" i="40"/>
  <c r="M76" i="40"/>
  <c r="E50" i="40"/>
  <c r="L49" i="40"/>
  <c r="L41" i="40"/>
  <c r="Q37" i="40"/>
  <c r="R37" i="40" s="1"/>
  <c r="L36" i="40"/>
  <c r="L39" i="40"/>
  <c r="N46" i="40"/>
  <c r="L34" i="40"/>
  <c r="S29" i="40"/>
  <c r="T29" i="40" s="1"/>
  <c r="L24" i="40"/>
  <c r="E76" i="40"/>
  <c r="U76" i="40" s="1"/>
  <c r="V76" i="40" s="1"/>
  <c r="L73" i="40"/>
  <c r="L37" i="40"/>
  <c r="S37" i="40"/>
  <c r="T37" i="40" s="1"/>
  <c r="Q29" i="40"/>
  <c r="R29" i="40" s="1"/>
  <c r="L35" i="40"/>
  <c r="L26" i="40"/>
  <c r="U73" i="40"/>
  <c r="V73" i="40" s="1"/>
  <c r="M73" i="40"/>
  <c r="K27" i="40"/>
  <c r="N43" i="40"/>
  <c r="K26" i="40"/>
  <c r="N45" i="40"/>
  <c r="F32" i="45"/>
  <c r="F31" i="45"/>
  <c r="F30" i="23"/>
  <c r="D68" i="36"/>
  <c r="G7" i="66"/>
  <c r="H7" i="66"/>
  <c r="I7" i="66"/>
  <c r="J7" i="66"/>
  <c r="K24" i="51"/>
  <c r="K25" i="51"/>
  <c r="K26" i="51"/>
  <c r="D22" i="51"/>
  <c r="D21" i="51"/>
  <c r="K21" i="51"/>
  <c r="K19" i="51"/>
  <c r="K15" i="51"/>
  <c r="F13" i="51"/>
  <c r="G13" i="51"/>
  <c r="H13" i="51"/>
  <c r="K13" i="51"/>
  <c r="F8" i="51"/>
  <c r="F12" i="51" s="1"/>
  <c r="K8" i="51"/>
  <c r="K9" i="51" s="1"/>
  <c r="J73" i="50"/>
  <c r="K49" i="49" s="1"/>
  <c r="J69" i="50"/>
  <c r="I69" i="50"/>
  <c r="H69" i="50"/>
  <c r="G69" i="50"/>
  <c r="F69" i="50"/>
  <c r="E69" i="50"/>
  <c r="J65" i="50"/>
  <c r="I65" i="50"/>
  <c r="H65" i="50"/>
  <c r="G65" i="50"/>
  <c r="F65" i="50"/>
  <c r="E65" i="50"/>
  <c r="D65" i="50"/>
  <c r="J61" i="50"/>
  <c r="I61" i="50"/>
  <c r="H61" i="50"/>
  <c r="G61" i="50"/>
  <c r="F61" i="50"/>
  <c r="E61" i="50"/>
  <c r="D61" i="50"/>
  <c r="J57" i="50"/>
  <c r="I57" i="50"/>
  <c r="H57" i="50"/>
  <c r="G57" i="50"/>
  <c r="F57" i="50"/>
  <c r="E57" i="50"/>
  <c r="J53" i="50"/>
  <c r="I53" i="50"/>
  <c r="H53" i="50"/>
  <c r="G53" i="50"/>
  <c r="F53" i="50"/>
  <c r="E53" i="50"/>
  <c r="J49" i="50"/>
  <c r="I49" i="50"/>
  <c r="H49" i="50"/>
  <c r="G49" i="50"/>
  <c r="F49" i="50"/>
  <c r="E49" i="50"/>
  <c r="J45" i="50"/>
  <c r="I45" i="50"/>
  <c r="H45" i="50"/>
  <c r="G45" i="50"/>
  <c r="F45" i="50"/>
  <c r="E45" i="50"/>
  <c r="D45" i="50"/>
  <c r="J41" i="50"/>
  <c r="I41" i="50"/>
  <c r="H41" i="50"/>
  <c r="G41" i="50"/>
  <c r="F41" i="50"/>
  <c r="E41" i="50"/>
  <c r="D41" i="50"/>
  <c r="J37" i="50"/>
  <c r="I37" i="50"/>
  <c r="H37" i="50"/>
  <c r="G37" i="50"/>
  <c r="F37" i="50"/>
  <c r="E37" i="50"/>
  <c r="D37" i="50"/>
  <c r="J33" i="50"/>
  <c r="I33" i="50"/>
  <c r="H33" i="50"/>
  <c r="G33" i="50"/>
  <c r="F33" i="50"/>
  <c r="E33" i="50"/>
  <c r="D33" i="50"/>
  <c r="I29" i="50"/>
  <c r="H29" i="50"/>
  <c r="G29" i="50"/>
  <c r="J25" i="50"/>
  <c r="I25" i="50"/>
  <c r="H25" i="50"/>
  <c r="G25" i="50"/>
  <c r="J24" i="50"/>
  <c r="J28" i="50"/>
  <c r="J32" i="50"/>
  <c r="J36" i="50"/>
  <c r="J40" i="50"/>
  <c r="J44" i="50"/>
  <c r="J48" i="50"/>
  <c r="J52" i="50"/>
  <c r="J56" i="50"/>
  <c r="J60" i="50"/>
  <c r="J64" i="50"/>
  <c r="J68" i="50"/>
  <c r="J71" i="50"/>
  <c r="J67" i="50"/>
  <c r="E63" i="50"/>
  <c r="F63" i="50"/>
  <c r="G63" i="50"/>
  <c r="H63" i="50"/>
  <c r="I63" i="50"/>
  <c r="J63" i="50"/>
  <c r="E59" i="50"/>
  <c r="F59" i="50"/>
  <c r="G59" i="50"/>
  <c r="H59" i="50"/>
  <c r="I59" i="50"/>
  <c r="J59" i="50"/>
  <c r="E55" i="50"/>
  <c r="F55" i="50"/>
  <c r="G55" i="50"/>
  <c r="H55" i="50"/>
  <c r="I55" i="50"/>
  <c r="J55" i="50"/>
  <c r="E51" i="50"/>
  <c r="F51" i="50"/>
  <c r="G51" i="50"/>
  <c r="H51" i="50"/>
  <c r="I51" i="50"/>
  <c r="J51" i="50"/>
  <c r="E47" i="50"/>
  <c r="F47" i="50"/>
  <c r="H47" i="50"/>
  <c r="J47" i="50"/>
  <c r="E43" i="50"/>
  <c r="F43" i="50"/>
  <c r="J43" i="50"/>
  <c r="E39" i="50"/>
  <c r="F39" i="50"/>
  <c r="J39" i="50"/>
  <c r="E35" i="50"/>
  <c r="F35" i="50"/>
  <c r="J35" i="50"/>
  <c r="E31" i="50"/>
  <c r="F31" i="50"/>
  <c r="H31" i="50"/>
  <c r="J31" i="50"/>
  <c r="E27" i="50"/>
  <c r="F27" i="50"/>
  <c r="H27" i="50"/>
  <c r="J27" i="50"/>
  <c r="H23" i="50"/>
  <c r="J23" i="50"/>
  <c r="F46" i="49"/>
  <c r="G46" i="49"/>
  <c r="H46" i="49"/>
  <c r="I46" i="49"/>
  <c r="J46" i="49"/>
  <c r="K46" i="49"/>
  <c r="F34" i="49"/>
  <c r="K34" i="49"/>
  <c r="F33" i="49"/>
  <c r="G33" i="49"/>
  <c r="H33" i="49"/>
  <c r="K33" i="49"/>
  <c r="K30" i="49"/>
  <c r="K32" i="49" s="1"/>
  <c r="H30" i="49"/>
  <c r="I30" i="49"/>
  <c r="J30" i="49"/>
  <c r="K29" i="49"/>
  <c r="K28" i="49"/>
  <c r="J28" i="49"/>
  <c r="I28" i="49"/>
  <c r="H28" i="49"/>
  <c r="G28" i="49"/>
  <c r="F28" i="49"/>
  <c r="K27" i="49"/>
  <c r="H27" i="49"/>
  <c r="K24" i="49"/>
  <c r="K23" i="49"/>
  <c r="K48" i="49" s="1"/>
  <c r="F23" i="49"/>
  <c r="Q52" i="39" s="1"/>
  <c r="E23" i="49"/>
  <c r="K21" i="49"/>
  <c r="F21" i="49"/>
  <c r="F20" i="49"/>
  <c r="G20" i="49"/>
  <c r="H20" i="49"/>
  <c r="K20" i="49"/>
  <c r="K19" i="49"/>
  <c r="H19" i="49"/>
  <c r="G19" i="49"/>
  <c r="F19" i="49"/>
  <c r="F18" i="49"/>
  <c r="G18" i="49"/>
  <c r="H18" i="49"/>
  <c r="K18" i="49"/>
  <c r="F17" i="49"/>
  <c r="G17" i="49"/>
  <c r="H17" i="49"/>
  <c r="K17" i="49"/>
  <c r="F16" i="49"/>
  <c r="G16" i="49"/>
  <c r="H16" i="49"/>
  <c r="K16" i="49"/>
  <c r="K15" i="49"/>
  <c r="H15" i="49"/>
  <c r="G15" i="49"/>
  <c r="F15" i="49"/>
  <c r="F14" i="49"/>
  <c r="Q54" i="39" s="1"/>
  <c r="G14" i="49"/>
  <c r="R54" i="39" s="1"/>
  <c r="H14" i="49"/>
  <c r="S54" i="39" s="1"/>
  <c r="K14" i="49"/>
  <c r="K42" i="49" s="1"/>
  <c r="F13" i="49"/>
  <c r="G13" i="49"/>
  <c r="H13" i="49"/>
  <c r="K13" i="49"/>
  <c r="F12" i="49"/>
  <c r="Q53" i="39" s="1"/>
  <c r="G12" i="49"/>
  <c r="R53" i="39" s="1"/>
  <c r="H12" i="49"/>
  <c r="S53" i="39" s="1"/>
  <c r="K12" i="49"/>
  <c r="K41" i="49" s="1"/>
  <c r="F11" i="49"/>
  <c r="G11" i="49"/>
  <c r="H11" i="49"/>
  <c r="K11" i="49"/>
  <c r="G10" i="49"/>
  <c r="F21" i="50" s="1"/>
  <c r="G7" i="51" s="1"/>
  <c r="G23" i="51" s="1"/>
  <c r="H10" i="49"/>
  <c r="G21" i="50" s="1"/>
  <c r="H7" i="51" s="1"/>
  <c r="H23" i="51" s="1"/>
  <c r="I10" i="49"/>
  <c r="H21" i="50" s="1"/>
  <c r="I7" i="51" s="1"/>
  <c r="I23" i="51" s="1"/>
  <c r="J10" i="49"/>
  <c r="I21" i="50" s="1"/>
  <c r="J7" i="51" s="1"/>
  <c r="J23" i="51" s="1"/>
  <c r="K10" i="49"/>
  <c r="K40" i="49" s="1"/>
  <c r="K45" i="49" s="1"/>
  <c r="H26" i="47"/>
  <c r="I26" i="47"/>
  <c r="J26" i="47"/>
  <c r="G26" i="47"/>
  <c r="K24" i="47"/>
  <c r="K23" i="47"/>
  <c r="K22" i="47"/>
  <c r="H22" i="47"/>
  <c r="G22" i="47"/>
  <c r="F22" i="47"/>
  <c r="K21" i="47"/>
  <c r="K20" i="47"/>
  <c r="K18" i="47"/>
  <c r="F25" i="49"/>
  <c r="F8" i="66" s="1"/>
  <c r="F9" i="66" s="1"/>
  <c r="F10" i="66" s="1"/>
  <c r="G25" i="49"/>
  <c r="G8" i="66" s="1"/>
  <c r="H25" i="49"/>
  <c r="H8" i="66" s="1"/>
  <c r="K25" i="49"/>
  <c r="K8" i="66" s="1"/>
  <c r="K9" i="66" s="1"/>
  <c r="E25" i="49"/>
  <c r="E18" i="47" s="1"/>
  <c r="P47" i="39" s="1"/>
  <c r="F17" i="47"/>
  <c r="G17" i="47"/>
  <c r="H17" i="47"/>
  <c r="K17" i="47"/>
  <c r="F16" i="47"/>
  <c r="G16" i="47"/>
  <c r="H16" i="47"/>
  <c r="K16" i="47"/>
  <c r="K15" i="47"/>
  <c r="K14" i="47"/>
  <c r="K13" i="47"/>
  <c r="K12" i="47"/>
  <c r="K11" i="47"/>
  <c r="K10" i="47"/>
  <c r="K9" i="47"/>
  <c r="K8" i="47"/>
  <c r="K7" i="47"/>
  <c r="J6" i="47"/>
  <c r="K6" i="47"/>
  <c r="H6" i="47"/>
  <c r="I6" i="47"/>
  <c r="G6" i="47"/>
  <c r="I41" i="48"/>
  <c r="H41" i="48"/>
  <c r="L39" i="48"/>
  <c r="L37" i="48"/>
  <c r="M37" i="48"/>
  <c r="N15" i="48"/>
  <c r="N14" i="48"/>
  <c r="N12" i="48"/>
  <c r="J12" i="48"/>
  <c r="J40" i="48" s="1"/>
  <c r="H69" i="36"/>
  <c r="G69" i="36"/>
  <c r="F69" i="36"/>
  <c r="E69" i="36"/>
  <c r="H12" i="48"/>
  <c r="H40" i="48" s="1"/>
  <c r="N10" i="48"/>
  <c r="E29" i="36"/>
  <c r="F15" i="36"/>
  <c r="E11" i="40" s="1"/>
  <c r="F12" i="36"/>
  <c r="I15" i="36"/>
  <c r="H11" i="40" s="1"/>
  <c r="I12" i="36"/>
  <c r="H13" i="1" s="1"/>
  <c r="C22" i="48" s="1"/>
  <c r="H15" i="36"/>
  <c r="H12" i="36"/>
  <c r="G8" i="40" s="1"/>
  <c r="G15" i="36"/>
  <c r="G12" i="36"/>
  <c r="F8" i="40" s="1"/>
  <c r="E12" i="36"/>
  <c r="N9" i="48"/>
  <c r="D13" i="1"/>
  <c r="F12" i="23" s="1"/>
  <c r="L8" i="48"/>
  <c r="M8" i="48"/>
  <c r="N8" i="48"/>
  <c r="I39" i="23"/>
  <c r="J39" i="23"/>
  <c r="H16" i="1"/>
  <c r="I7" i="23"/>
  <c r="I34" i="23"/>
  <c r="J7" i="23"/>
  <c r="J34" i="23"/>
  <c r="D32" i="1"/>
  <c r="E16" i="1"/>
  <c r="E15" i="21" s="1"/>
  <c r="F15" i="21" s="1"/>
  <c r="D16" i="1"/>
  <c r="K26" i="23"/>
  <c r="K12" i="23"/>
  <c r="K16" i="23" s="1"/>
  <c r="K14" i="23"/>
  <c r="K15" i="23"/>
  <c r="F7" i="23"/>
  <c r="G7" i="23"/>
  <c r="H7" i="23"/>
  <c r="E7" i="23"/>
  <c r="H58" i="46"/>
  <c r="H57" i="46"/>
  <c r="H56" i="46"/>
  <c r="C56" i="46"/>
  <c r="H55" i="46"/>
  <c r="H53" i="46"/>
  <c r="C53" i="46"/>
  <c r="H52" i="46"/>
  <c r="G52" i="46"/>
  <c r="F52" i="46"/>
  <c r="D52" i="46"/>
  <c r="C52" i="46"/>
  <c r="I12" i="2"/>
  <c r="I17" i="2" s="1"/>
  <c r="N11" i="46"/>
  <c r="N33" i="46" s="1"/>
  <c r="N7" i="46"/>
  <c r="N32" i="46"/>
  <c r="D25" i="46"/>
  <c r="H25" i="46"/>
  <c r="J25" i="46"/>
  <c r="N25" i="46"/>
  <c r="D19" i="46"/>
  <c r="H19" i="46"/>
  <c r="J19" i="46"/>
  <c r="N19" i="46"/>
  <c r="D14" i="46"/>
  <c r="H14" i="46" s="1"/>
  <c r="D9" i="46"/>
  <c r="H9" i="46"/>
  <c r="L9" i="46" s="1"/>
  <c r="J9" i="46"/>
  <c r="N9" i="46" s="1"/>
  <c r="L7" i="46"/>
  <c r="J7" i="46"/>
  <c r="H7" i="46"/>
  <c r="F7" i="46"/>
  <c r="J32" i="46"/>
  <c r="L32" i="46"/>
  <c r="L25" i="46"/>
  <c r="L19" i="46"/>
  <c r="J7" i="43"/>
  <c r="I19" i="36"/>
  <c r="H17" i="40" s="1"/>
  <c r="I20" i="36"/>
  <c r="I24" i="36"/>
  <c r="H22" i="40" s="1"/>
  <c r="I26" i="36"/>
  <c r="I28" i="36"/>
  <c r="H26" i="40" s="1"/>
  <c r="Y26" i="40" s="1"/>
  <c r="I10" i="36"/>
  <c r="I11" i="36"/>
  <c r="I13" i="36"/>
  <c r="I14" i="36"/>
  <c r="I48" i="36"/>
  <c r="H55" i="40" s="1"/>
  <c r="I52" i="36"/>
  <c r="I32" i="36"/>
  <c r="I33" i="36"/>
  <c r="I34" i="36"/>
  <c r="I35" i="36"/>
  <c r="I36" i="36"/>
  <c r="I37" i="36"/>
  <c r="I39" i="36"/>
  <c r="J63" i="43"/>
  <c r="J43" i="43"/>
  <c r="J8" i="43"/>
  <c r="L7" i="43"/>
  <c r="L63" i="43"/>
  <c r="L43" i="43"/>
  <c r="L8" i="43"/>
  <c r="H35" i="36"/>
  <c r="H36" i="36"/>
  <c r="H37" i="36"/>
  <c r="G32" i="36"/>
  <c r="F34" i="40" s="1"/>
  <c r="G33" i="36"/>
  <c r="G34" i="36"/>
  <c r="G35" i="36"/>
  <c r="G36" i="36"/>
  <c r="G37" i="36"/>
  <c r="G39" i="36"/>
  <c r="F43" i="40" s="1"/>
  <c r="H19" i="36"/>
  <c r="H20" i="36"/>
  <c r="H24" i="36"/>
  <c r="G26" i="36"/>
  <c r="G10" i="36"/>
  <c r="F6" i="40" s="1"/>
  <c r="G14" i="36"/>
  <c r="F10" i="40" s="1"/>
  <c r="F15" i="1"/>
  <c r="I21" i="19"/>
  <c r="G6" i="19"/>
  <c r="G6" i="2" s="1"/>
  <c r="G6" i="44" s="1"/>
  <c r="I14" i="2"/>
  <c r="N16" i="46" s="1"/>
  <c r="N34" i="46" s="1"/>
  <c r="I66" i="1"/>
  <c r="I52" i="19" s="1"/>
  <c r="I69" i="1"/>
  <c r="I55" i="19" s="1"/>
  <c r="I46" i="1"/>
  <c r="I32" i="1"/>
  <c r="H26" i="2"/>
  <c r="I64" i="36"/>
  <c r="I63" i="36"/>
  <c r="I60" i="36"/>
  <c r="I59" i="36"/>
  <c r="H74" i="40" s="1"/>
  <c r="I61" i="36"/>
  <c r="I62" i="36"/>
  <c r="I58" i="36"/>
  <c r="H57" i="36"/>
  <c r="G76" i="36"/>
  <c r="F76" i="36"/>
  <c r="E76" i="36"/>
  <c r="H64" i="36"/>
  <c r="H63" i="36"/>
  <c r="H60" i="36"/>
  <c r="G75" i="40" s="1"/>
  <c r="H59" i="36"/>
  <c r="H61" i="36"/>
  <c r="H62" i="36"/>
  <c r="H30" i="1"/>
  <c r="G62" i="1"/>
  <c r="H62" i="1"/>
  <c r="G63" i="1"/>
  <c r="H63" i="1"/>
  <c r="G64" i="1"/>
  <c r="G65" i="1"/>
  <c r="H65" i="1"/>
  <c r="G67" i="1"/>
  <c r="G68" i="1"/>
  <c r="G69" i="1"/>
  <c r="H69" i="1"/>
  <c r="G41" i="1"/>
  <c r="G42" i="1"/>
  <c r="G43" i="1"/>
  <c r="G50" i="1"/>
  <c r="G56" i="1" s="1"/>
  <c r="G38" i="19" s="1"/>
  <c r="G51" i="1"/>
  <c r="H51" i="1"/>
  <c r="G52" i="1"/>
  <c r="H52" i="1"/>
  <c r="G53" i="1"/>
  <c r="H53" i="1"/>
  <c r="G54" i="1"/>
  <c r="H54" i="1"/>
  <c r="G7" i="1"/>
  <c r="H7" i="1"/>
  <c r="H6" i="19" s="1"/>
  <c r="H6" i="2" s="1"/>
  <c r="H6" i="44" s="1"/>
  <c r="G11" i="1"/>
  <c r="G12" i="1"/>
  <c r="G14" i="1"/>
  <c r="G15" i="1"/>
  <c r="G20" i="1"/>
  <c r="H20" i="1"/>
  <c r="G21" i="1"/>
  <c r="H21" i="1"/>
  <c r="G24" i="1"/>
  <c r="H24" i="1"/>
  <c r="G25" i="1"/>
  <c r="H25" i="1"/>
  <c r="G26" i="1"/>
  <c r="H26" i="1"/>
  <c r="G29" i="1"/>
  <c r="G30" i="1"/>
  <c r="G31" i="1"/>
  <c r="G10" i="2"/>
  <c r="F53" i="46" s="1"/>
  <c r="H10" i="2"/>
  <c r="E37" i="36"/>
  <c r="E36" i="36"/>
  <c r="E35" i="36"/>
  <c r="E34" i="36"/>
  <c r="E39" i="36"/>
  <c r="E32" i="36"/>
  <c r="E20" i="36"/>
  <c r="E62" i="36"/>
  <c r="E64" i="36"/>
  <c r="E63" i="36"/>
  <c r="E60" i="36"/>
  <c r="E59" i="36"/>
  <c r="E57" i="36"/>
  <c r="I99" i="36"/>
  <c r="H99" i="36"/>
  <c r="I92" i="36"/>
  <c r="H92" i="36"/>
  <c r="E68" i="36"/>
  <c r="F68" i="36"/>
  <c r="G68" i="36"/>
  <c r="H68" i="36"/>
  <c r="E67" i="36"/>
  <c r="F67" i="36"/>
  <c r="G67" i="36"/>
  <c r="H67" i="36"/>
  <c r="E56" i="36"/>
  <c r="F56" i="36"/>
  <c r="G56" i="36"/>
  <c r="H56" i="36"/>
  <c r="E66" i="36"/>
  <c r="F66" i="36"/>
  <c r="G66" i="36"/>
  <c r="H66" i="36"/>
  <c r="G55" i="36"/>
  <c r="F55" i="36"/>
  <c r="D37" i="36"/>
  <c r="D36" i="36"/>
  <c r="D35" i="36"/>
  <c r="D34" i="36"/>
  <c r="D39" i="36"/>
  <c r="D32" i="36"/>
  <c r="D20" i="36"/>
  <c r="H39" i="36"/>
  <c r="H32" i="36"/>
  <c r="E9" i="36"/>
  <c r="K27" i="23"/>
  <c r="I34" i="1"/>
  <c r="I20" i="19" s="1"/>
  <c r="I18" i="1"/>
  <c r="K8" i="23" s="1"/>
  <c r="I48" i="1"/>
  <c r="K25" i="23" s="1"/>
  <c r="I56" i="1"/>
  <c r="I38" i="19" s="1"/>
  <c r="I58" i="1"/>
  <c r="I36" i="19" s="1"/>
  <c r="K10" i="23"/>
  <c r="K22" i="23"/>
  <c r="K20" i="23"/>
  <c r="I26" i="44"/>
  <c r="I22" i="44"/>
  <c r="I21" i="44"/>
  <c r="I20" i="44"/>
  <c r="I19" i="44"/>
  <c r="I15" i="44"/>
  <c r="I12" i="44"/>
  <c r="I10" i="44"/>
  <c r="I8" i="44"/>
  <c r="K17" i="23"/>
  <c r="N13" i="43"/>
  <c r="I71" i="1"/>
  <c r="N33" i="43"/>
  <c r="N27" i="43"/>
  <c r="N45" i="43" s="1"/>
  <c r="N8" i="43"/>
  <c r="N43" i="43"/>
  <c r="I44" i="19"/>
  <c r="I42" i="19"/>
  <c r="I41" i="19"/>
  <c r="I40" i="19"/>
  <c r="I39" i="19"/>
  <c r="I34" i="19"/>
  <c r="I33" i="19"/>
  <c r="I32" i="19"/>
  <c r="I31" i="19"/>
  <c r="I30" i="19"/>
  <c r="I29" i="19"/>
  <c r="I13" i="19"/>
  <c r="I12" i="19"/>
  <c r="I11" i="19"/>
  <c r="I10" i="19"/>
  <c r="I9" i="19"/>
  <c r="I8" i="19"/>
  <c r="N63" i="43"/>
  <c r="F29" i="50"/>
  <c r="F25" i="50"/>
  <c r="F32" i="46"/>
  <c r="F63" i="43"/>
  <c r="F43" i="43"/>
  <c r="G99" i="36"/>
  <c r="G92" i="36"/>
  <c r="G30" i="49"/>
  <c r="E21" i="2"/>
  <c r="E8" i="2"/>
  <c r="E14" i="44" s="1"/>
  <c r="E26" i="2"/>
  <c r="D58" i="46" s="1"/>
  <c r="E15" i="2"/>
  <c r="D55" i="46" s="1"/>
  <c r="E14" i="2"/>
  <c r="D54" i="46" s="1"/>
  <c r="E10" i="2"/>
  <c r="D53" i="46" s="1"/>
  <c r="E10" i="44"/>
  <c r="E12" i="2"/>
  <c r="E12" i="44" s="1"/>
  <c r="E69" i="1"/>
  <c r="E68" i="1"/>
  <c r="E67" i="1"/>
  <c r="E65" i="1"/>
  <c r="E64" i="1"/>
  <c r="E63" i="1"/>
  <c r="E22" i="2"/>
  <c r="D57" i="46" s="1"/>
  <c r="E42" i="1"/>
  <c r="E43" i="1"/>
  <c r="E22" i="1"/>
  <c r="E45" i="1"/>
  <c r="E46" i="1"/>
  <c r="E41" i="1"/>
  <c r="G32" i="23" s="1"/>
  <c r="E54" i="1"/>
  <c r="E53" i="1"/>
  <c r="E52" i="1"/>
  <c r="E51" i="1"/>
  <c r="E50" i="1"/>
  <c r="E56" i="1" s="1"/>
  <c r="E32" i="1"/>
  <c r="E34" i="1" s="1"/>
  <c r="E30" i="1"/>
  <c r="E27" i="1"/>
  <c r="E26" i="1"/>
  <c r="E25" i="1"/>
  <c r="E24" i="1"/>
  <c r="E23" i="1"/>
  <c r="E21" i="1"/>
  <c r="E20" i="1"/>
  <c r="E15" i="1"/>
  <c r="E14" i="1"/>
  <c r="E12" i="1"/>
  <c r="E11" i="1"/>
  <c r="F23" i="50"/>
  <c r="E19" i="2"/>
  <c r="E20" i="2"/>
  <c r="E20" i="44"/>
  <c r="E19" i="44"/>
  <c r="G25" i="36"/>
  <c r="F99" i="36"/>
  <c r="F92" i="36"/>
  <c r="F46" i="36"/>
  <c r="E62" i="1"/>
  <c r="F28" i="36"/>
  <c r="E31" i="1"/>
  <c r="F25" i="36"/>
  <c r="H7" i="43"/>
  <c r="E28" i="1"/>
  <c r="E29" i="1"/>
  <c r="F45" i="36"/>
  <c r="D76" i="36"/>
  <c r="D75" i="36"/>
  <c r="D74" i="36"/>
  <c r="D73" i="36"/>
  <c r="D72" i="36"/>
  <c r="D71" i="36"/>
  <c r="D70" i="36"/>
  <c r="D69" i="36"/>
  <c r="E45" i="36"/>
  <c r="D45" i="36"/>
  <c r="E52" i="36"/>
  <c r="E48" i="36"/>
  <c r="E46" i="36"/>
  <c r="D46" i="36"/>
  <c r="D45" i="1"/>
  <c r="E28" i="36"/>
  <c r="D27" i="1"/>
  <c r="F28" i="1"/>
  <c r="E25" i="36"/>
  <c r="D28" i="1"/>
  <c r="D25" i="36"/>
  <c r="C28" i="1"/>
  <c r="D122" i="36"/>
  <c r="D121" i="36"/>
  <c r="D120" i="36"/>
  <c r="D119" i="36"/>
  <c r="D118" i="36"/>
  <c r="D117" i="36"/>
  <c r="D116" i="36"/>
  <c r="D115" i="36"/>
  <c r="D114" i="36"/>
  <c r="D113" i="36"/>
  <c r="D112" i="36"/>
  <c r="D22" i="2"/>
  <c r="C57" i="46" s="1"/>
  <c r="D20" i="2"/>
  <c r="C21" i="45" s="1"/>
  <c r="D21" i="45" s="1"/>
  <c r="D92" i="36"/>
  <c r="E92" i="36"/>
  <c r="D99" i="36"/>
  <c r="E99" i="36"/>
  <c r="D111" i="36"/>
  <c r="I12" i="61"/>
  <c r="K12" i="61" s="1"/>
  <c r="I10" i="61"/>
  <c r="K10" i="61" s="1"/>
  <c r="C22" i="2"/>
  <c r="B57" i="46"/>
  <c r="D46" i="1"/>
  <c r="C32" i="1"/>
  <c r="C31" i="1"/>
  <c r="B32" i="1"/>
  <c r="B31" i="21"/>
  <c r="F31" i="1"/>
  <c r="F30" i="49"/>
  <c r="E30" i="49"/>
  <c r="E28" i="49"/>
  <c r="E46" i="49"/>
  <c r="I28" i="61"/>
  <c r="K28" i="61" s="1"/>
  <c r="J28" i="61" s="1"/>
  <c r="I27" i="61"/>
  <c r="K27" i="61" s="1"/>
  <c r="I26" i="61"/>
  <c r="K26" i="61" s="1"/>
  <c r="I25" i="61"/>
  <c r="K25" i="61" s="1"/>
  <c r="I24" i="61"/>
  <c r="K24" i="61" s="1"/>
  <c r="I23" i="61"/>
  <c r="K23" i="61" s="1"/>
  <c r="I19" i="61"/>
  <c r="K19" i="61" s="1"/>
  <c r="I18" i="61"/>
  <c r="K18" i="61" s="1"/>
  <c r="I14" i="61"/>
  <c r="K14" i="61" s="1"/>
  <c r="I13" i="61"/>
  <c r="K13" i="61" s="1"/>
  <c r="J13" i="61" s="1"/>
  <c r="I11" i="61"/>
  <c r="K11" i="61"/>
  <c r="J11" i="61" s="1"/>
  <c r="V64" i="39"/>
  <c r="W64" i="39"/>
  <c r="W55" i="39"/>
  <c r="W54" i="39"/>
  <c r="W53" i="39"/>
  <c r="W52" i="39"/>
  <c r="W51" i="39"/>
  <c r="W47" i="39"/>
  <c r="W45" i="39"/>
  <c r="W44" i="39"/>
  <c r="W40" i="39"/>
  <c r="W39" i="39"/>
  <c r="W38" i="39"/>
  <c r="W37" i="39"/>
  <c r="W36" i="39"/>
  <c r="W42" i="39"/>
  <c r="W49" i="39" s="1"/>
  <c r="W58" i="39" s="1"/>
  <c r="D49" i="50"/>
  <c r="D57" i="50" s="1"/>
  <c r="E25" i="50"/>
  <c r="D25" i="50"/>
  <c r="D53" i="50"/>
  <c r="J29" i="50"/>
  <c r="E29" i="50"/>
  <c r="D29" i="50"/>
  <c r="D69" i="50"/>
  <c r="B67" i="50"/>
  <c r="E22" i="48"/>
  <c r="E23" i="48"/>
  <c r="E24" i="48"/>
  <c r="D36" i="23"/>
  <c r="D35" i="23"/>
  <c r="F68" i="1"/>
  <c r="D68" i="1"/>
  <c r="C68" i="1"/>
  <c r="A35" i="46"/>
  <c r="A34" i="46"/>
  <c r="A33" i="46"/>
  <c r="F19" i="46"/>
  <c r="H32" i="46"/>
  <c r="D7" i="46"/>
  <c r="B3" i="46"/>
  <c r="B28" i="44"/>
  <c r="B29" i="45" s="1"/>
  <c r="B24" i="44"/>
  <c r="B25" i="45" s="1"/>
  <c r="B17" i="44"/>
  <c r="B18" i="45" s="1"/>
  <c r="B12" i="44"/>
  <c r="B13" i="45" s="1"/>
  <c r="F22" i="2"/>
  <c r="E57" i="46" s="1"/>
  <c r="F21" i="2"/>
  <c r="E56" i="46" s="1"/>
  <c r="D21" i="2"/>
  <c r="C21" i="2"/>
  <c r="F20" i="2"/>
  <c r="C20" i="2"/>
  <c r="F19" i="2"/>
  <c r="D19" i="2"/>
  <c r="C19" i="2"/>
  <c r="B26" i="2"/>
  <c r="A58" i="46"/>
  <c r="B22" i="2"/>
  <c r="B22" i="44"/>
  <c r="B23" i="45" s="1"/>
  <c r="B21" i="2"/>
  <c r="A56" i="46" s="1"/>
  <c r="B20" i="2"/>
  <c r="B19" i="2"/>
  <c r="B77" i="40"/>
  <c r="B15" i="2"/>
  <c r="A55" i="46"/>
  <c r="B14" i="2"/>
  <c r="B74" i="40"/>
  <c r="B10" i="2"/>
  <c r="A53" i="46"/>
  <c r="B8" i="2"/>
  <c r="B8" i="44"/>
  <c r="B9" i="45" s="1"/>
  <c r="G6" i="45"/>
  <c r="C6" i="21"/>
  <c r="C6" i="45" s="1"/>
  <c r="A66" i="43"/>
  <c r="A65" i="43"/>
  <c r="A64" i="43"/>
  <c r="A67" i="43"/>
  <c r="A68" i="43"/>
  <c r="H43" i="43"/>
  <c r="D7" i="43"/>
  <c r="D63" i="43"/>
  <c r="B3" i="43"/>
  <c r="F7" i="1"/>
  <c r="D7" i="1"/>
  <c r="D6" i="19" s="1"/>
  <c r="D6" i="2" s="1"/>
  <c r="D6" i="44" s="1"/>
  <c r="C7" i="1"/>
  <c r="B7" i="43"/>
  <c r="D31" i="1"/>
  <c r="F30" i="1"/>
  <c r="D30" i="1"/>
  <c r="C30" i="1"/>
  <c r="D29" i="1"/>
  <c r="C29" i="1"/>
  <c r="F27" i="1"/>
  <c r="C27" i="1"/>
  <c r="B27" i="1"/>
  <c r="F26" i="1"/>
  <c r="D26" i="1"/>
  <c r="C26" i="1"/>
  <c r="B26" i="1"/>
  <c r="B25" i="21"/>
  <c r="F25" i="1"/>
  <c r="D25" i="1"/>
  <c r="C25" i="1"/>
  <c r="B25" i="1"/>
  <c r="F24" i="1"/>
  <c r="D24" i="1"/>
  <c r="C24" i="1"/>
  <c r="B24" i="1"/>
  <c r="B19" i="40"/>
  <c r="F23" i="1"/>
  <c r="D23" i="1"/>
  <c r="C23" i="1"/>
  <c r="B23" i="1"/>
  <c r="B22" i="21"/>
  <c r="F22" i="1"/>
  <c r="D22" i="1"/>
  <c r="C22" i="1"/>
  <c r="B22" i="1"/>
  <c r="B21" i="21" s="1"/>
  <c r="F21" i="1"/>
  <c r="D21" i="1"/>
  <c r="C21" i="1"/>
  <c r="B21" i="1"/>
  <c r="B20" i="21" s="1"/>
  <c r="F69" i="1"/>
  <c r="D69" i="1"/>
  <c r="C69" i="1"/>
  <c r="B69" i="1"/>
  <c r="B55" i="19" s="1"/>
  <c r="F67" i="1"/>
  <c r="D67" i="1"/>
  <c r="C67" i="1"/>
  <c r="F65" i="1"/>
  <c r="D65" i="1"/>
  <c r="C65" i="1"/>
  <c r="F64" i="1"/>
  <c r="D64" i="1"/>
  <c r="E11" i="37"/>
  <c r="C41" i="37" s="1"/>
  <c r="C64" i="1"/>
  <c r="F63" i="1"/>
  <c r="D63" i="1"/>
  <c r="C63" i="1"/>
  <c r="F62" i="1"/>
  <c r="D62" i="1"/>
  <c r="C62" i="1"/>
  <c r="F54" i="1"/>
  <c r="D54" i="1"/>
  <c r="C54" i="1"/>
  <c r="F53" i="1"/>
  <c r="D53" i="1"/>
  <c r="C53" i="1"/>
  <c r="D59" i="50"/>
  <c r="F52" i="1"/>
  <c r="D52" i="1"/>
  <c r="C52" i="1"/>
  <c r="F51" i="1"/>
  <c r="D51" i="1"/>
  <c r="C51" i="1"/>
  <c r="C39" i="19" s="1"/>
  <c r="D50" i="1"/>
  <c r="C50" i="1"/>
  <c r="C46" i="1"/>
  <c r="C45" i="1"/>
  <c r="D43" i="1"/>
  <c r="C43" i="1"/>
  <c r="D42" i="1"/>
  <c r="C42" i="1"/>
  <c r="I12" i="48" s="1"/>
  <c r="D41" i="1"/>
  <c r="C41" i="1"/>
  <c r="B28" i="1"/>
  <c r="F20" i="1"/>
  <c r="D20" i="1"/>
  <c r="C20" i="1"/>
  <c r="B20" i="1"/>
  <c r="B15" i="40" s="1"/>
  <c r="B15" i="1"/>
  <c r="B10" i="40" s="1"/>
  <c r="B12" i="19"/>
  <c r="B14" i="21" s="1"/>
  <c r="C16" i="1"/>
  <c r="D15" i="1"/>
  <c r="C15" i="1"/>
  <c r="F14" i="1"/>
  <c r="D14" i="1"/>
  <c r="C14" i="1"/>
  <c r="C13" i="1"/>
  <c r="E12" i="23" s="1"/>
  <c r="F12" i="1"/>
  <c r="D12" i="1"/>
  <c r="C12" i="1"/>
  <c r="D11" i="1"/>
  <c r="C11" i="1"/>
  <c r="B68" i="1"/>
  <c r="B15" i="37" s="1"/>
  <c r="B54" i="19"/>
  <c r="B67" i="1"/>
  <c r="B66" i="21"/>
  <c r="B66" i="1"/>
  <c r="B52" i="19" s="1"/>
  <c r="B65" i="1"/>
  <c r="B64" i="21" s="1"/>
  <c r="B64" i="1"/>
  <c r="B55" i="40" s="1"/>
  <c r="B63" i="1"/>
  <c r="B54" i="40"/>
  <c r="B62" i="1"/>
  <c r="B61" i="21"/>
  <c r="B54" i="1"/>
  <c r="B42" i="19" s="1"/>
  <c r="B53" i="1"/>
  <c r="B46" i="40" s="1"/>
  <c r="B52" i="1"/>
  <c r="B45" i="40"/>
  <c r="B51" i="1"/>
  <c r="B51" i="50"/>
  <c r="B50" i="1"/>
  <c r="B46" i="1"/>
  <c r="B45" i="1"/>
  <c r="B38" i="40"/>
  <c r="B44" i="1"/>
  <c r="B32" i="19"/>
  <c r="B43" i="1"/>
  <c r="B42" i="1"/>
  <c r="B27" i="50" s="1"/>
  <c r="B41" i="1"/>
  <c r="B29" i="19"/>
  <c r="B31" i="1"/>
  <c r="B20" i="19" s="1"/>
  <c r="B30" i="1"/>
  <c r="B29" i="21" s="1"/>
  <c r="B29" i="1"/>
  <c r="B9" i="1"/>
  <c r="B16" i="1"/>
  <c r="B13" i="19"/>
  <c r="B15" i="21"/>
  <c r="B14" i="1"/>
  <c r="B9" i="40"/>
  <c r="B13" i="1"/>
  <c r="B10" i="19" s="1"/>
  <c r="B12" i="21" s="1"/>
  <c r="B12" i="1"/>
  <c r="B7" i="40"/>
  <c r="B11" i="1"/>
  <c r="B8" i="19" s="1"/>
  <c r="B10" i="21" s="1"/>
  <c r="B3" i="1"/>
  <c r="B3" i="2" s="1"/>
  <c r="B3" i="37" s="1"/>
  <c r="B3" i="38" s="1"/>
  <c r="B3" i="23" s="1"/>
  <c r="O3" i="39" s="1"/>
  <c r="B5" i="1"/>
  <c r="B5" i="2"/>
  <c r="V42" i="39"/>
  <c r="V49" i="39" s="1"/>
  <c r="V58" i="39" s="1"/>
  <c r="V55" i="39"/>
  <c r="V54" i="39"/>
  <c r="V53" i="39"/>
  <c r="V52" i="39"/>
  <c r="V51" i="39"/>
  <c r="V47" i="39"/>
  <c r="V45" i="39"/>
  <c r="V44" i="39"/>
  <c r="V40" i="39"/>
  <c r="V39" i="39"/>
  <c r="V38" i="39"/>
  <c r="V37" i="39"/>
  <c r="V36" i="39"/>
  <c r="B72" i="38"/>
  <c r="E71" i="38"/>
  <c r="B71" i="38"/>
  <c r="E68" i="38"/>
  <c r="B68" i="38"/>
  <c r="B15" i="19"/>
  <c r="B23" i="19"/>
  <c r="B25" i="19"/>
  <c r="B27" i="19"/>
  <c r="B36" i="19"/>
  <c r="B44" i="19"/>
  <c r="B46" i="19"/>
  <c r="B57" i="19"/>
  <c r="B59" i="19"/>
  <c r="D8" i="2"/>
  <c r="I9" i="48" s="1"/>
  <c r="C8" i="2"/>
  <c r="H9" i="48" s="1"/>
  <c r="C26" i="2"/>
  <c r="F8" i="2"/>
  <c r="C14" i="2"/>
  <c r="C15" i="2"/>
  <c r="C10" i="2"/>
  <c r="H10" i="48" s="1"/>
  <c r="F15" i="2"/>
  <c r="D15" i="2"/>
  <c r="C55" i="46" s="1"/>
  <c r="F14" i="2"/>
  <c r="F17" i="2" s="1"/>
  <c r="D10" i="2"/>
  <c r="D26" i="2"/>
  <c r="F10" i="2"/>
  <c r="E53" i="46" s="1"/>
  <c r="F26" i="2"/>
  <c r="E58" i="46" s="1"/>
  <c r="A54" i="46"/>
  <c r="B14" i="44"/>
  <c r="B15" i="45"/>
  <c r="E15" i="37"/>
  <c r="C45" i="37" s="1"/>
  <c r="C25" i="37" s="1"/>
  <c r="C6" i="37"/>
  <c r="B20" i="44"/>
  <c r="B21" i="45"/>
  <c r="B78" i="40"/>
  <c r="B75" i="40"/>
  <c r="B18" i="19"/>
  <c r="G23" i="45"/>
  <c r="H23" i="45" s="1"/>
  <c r="B49" i="19"/>
  <c r="B60" i="40"/>
  <c r="B44" i="21"/>
  <c r="F25" i="46"/>
  <c r="F9" i="46"/>
  <c r="B48" i="19"/>
  <c r="B17" i="40"/>
  <c r="B16" i="37"/>
  <c r="B26" i="37" s="1"/>
  <c r="B36" i="37" s="1"/>
  <c r="B46" i="37" s="1"/>
  <c r="B15" i="44"/>
  <c r="B16" i="45" s="1"/>
  <c r="B37" i="40"/>
  <c r="B21" i="40"/>
  <c r="B10" i="37"/>
  <c r="B20" i="37" s="1"/>
  <c r="B30" i="37" s="1"/>
  <c r="B40" i="37"/>
  <c r="B62" i="21"/>
  <c r="B68" i="21"/>
  <c r="B53" i="40"/>
  <c r="B30" i="38"/>
  <c r="E30" i="38" s="1"/>
  <c r="C10" i="37"/>
  <c r="B50" i="19"/>
  <c r="B63" i="21"/>
  <c r="B33" i="19"/>
  <c r="B39" i="50"/>
  <c r="B3" i="19"/>
  <c r="B3" i="21" s="1"/>
  <c r="C12" i="2"/>
  <c r="C17" i="2"/>
  <c r="C24" i="2"/>
  <c r="C48" i="1"/>
  <c r="E22" i="23" s="1"/>
  <c r="B34" i="38"/>
  <c r="E34" i="38" s="1"/>
  <c r="C9" i="37"/>
  <c r="B23" i="21"/>
  <c r="B32" i="38"/>
  <c r="E32" i="38" s="1"/>
  <c r="D47" i="50"/>
  <c r="C56" i="1"/>
  <c r="B43" i="21"/>
  <c r="B9" i="37"/>
  <c r="B19" i="37" s="1"/>
  <c r="B29" i="37"/>
  <c r="B39" i="37" s="1"/>
  <c r="B35" i="50"/>
  <c r="B53" i="19"/>
  <c r="E42" i="37"/>
  <c r="E6" i="37"/>
  <c r="B6" i="40"/>
  <c r="B19" i="21"/>
  <c r="B26" i="40"/>
  <c r="B51" i="19"/>
  <c r="B58" i="40"/>
  <c r="B82" i="40"/>
  <c r="B26" i="44"/>
  <c r="B27" i="45" s="1"/>
  <c r="B56" i="40"/>
  <c r="B49" i="21"/>
  <c r="B9" i="19"/>
  <c r="B11" i="21"/>
  <c r="B23" i="50"/>
  <c r="K8" i="48"/>
  <c r="D43" i="43"/>
  <c r="B59" i="40"/>
  <c r="B28" i="38"/>
  <c r="E28" i="38" s="1"/>
  <c r="B30" i="21"/>
  <c r="B10" i="44"/>
  <c r="B11" i="45" s="1"/>
  <c r="B21" i="44"/>
  <c r="B22" i="45" s="1"/>
  <c r="B8" i="40"/>
  <c r="B12" i="37"/>
  <c r="B22" i="37"/>
  <c r="B32" i="37" s="1"/>
  <c r="B42" i="37" s="1"/>
  <c r="B40" i="19"/>
  <c r="B40" i="21"/>
  <c r="B14" i="37"/>
  <c r="B24" i="37"/>
  <c r="B34" i="37"/>
  <c r="B44" i="37" s="1"/>
  <c r="B16" i="40"/>
  <c r="B34" i="40"/>
  <c r="B72" i="40"/>
  <c r="E52" i="46"/>
  <c r="B79" i="40"/>
  <c r="B39" i="19"/>
  <c r="B50" i="21"/>
  <c r="B11" i="19"/>
  <c r="B13" i="21" s="1"/>
  <c r="B35" i="40"/>
  <c r="D27" i="50"/>
  <c r="D11" i="46"/>
  <c r="D33" i="46" s="1"/>
  <c r="E20" i="49"/>
  <c r="B53" i="46"/>
  <c r="E25" i="48"/>
  <c r="D15" i="44"/>
  <c r="D8" i="44"/>
  <c r="D22" i="44"/>
  <c r="D20" i="44"/>
  <c r="P20" i="39"/>
  <c r="B56" i="46"/>
  <c r="B54" i="46"/>
  <c r="C20" i="45"/>
  <c r="D20" i="45" s="1"/>
  <c r="D21" i="44"/>
  <c r="C14" i="44"/>
  <c r="C16" i="44" s="1"/>
  <c r="D12" i="2"/>
  <c r="C13" i="37"/>
  <c r="C24" i="37" s="1"/>
  <c r="E47" i="38"/>
  <c r="D35" i="50"/>
  <c r="F27" i="23"/>
  <c r="H63" i="43"/>
  <c r="B63" i="50"/>
  <c r="B13" i="37"/>
  <c r="B23" i="37" s="1"/>
  <c r="B33" i="37" s="1"/>
  <c r="B43" i="37" s="1"/>
  <c r="B19" i="44"/>
  <c r="B20" i="45" s="1"/>
  <c r="E13" i="37"/>
  <c r="E24" i="37" s="1"/>
  <c r="F15" i="44"/>
  <c r="D19" i="44"/>
  <c r="B31" i="38"/>
  <c r="E31" i="38" s="1"/>
  <c r="E44" i="38"/>
  <c r="B11" i="40"/>
  <c r="G16" i="45"/>
  <c r="H16" i="45"/>
  <c r="B18" i="40"/>
  <c r="G9" i="45"/>
  <c r="H9" i="45" s="1"/>
  <c r="D51" i="50"/>
  <c r="B55" i="50"/>
  <c r="B57" i="40"/>
  <c r="D63" i="50"/>
  <c r="B29" i="38"/>
  <c r="E29" i="38"/>
  <c r="B65" i="21"/>
  <c r="B51" i="21"/>
  <c r="B41" i="19"/>
  <c r="E45" i="37"/>
  <c r="D55" i="50"/>
  <c r="B25" i="37"/>
  <c r="B35" i="37"/>
  <c r="B45" i="37"/>
  <c r="B67" i="21"/>
  <c r="E40" i="37"/>
  <c r="C20" i="44"/>
  <c r="C11" i="45"/>
  <c r="D11" i="45" s="1"/>
  <c r="G22" i="45"/>
  <c r="H22" i="45" s="1"/>
  <c r="E39" i="37"/>
  <c r="F71" i="1"/>
  <c r="C15" i="37"/>
  <c r="E9" i="37"/>
  <c r="C39" i="37"/>
  <c r="C29" i="37" s="1"/>
  <c r="B41" i="38"/>
  <c r="D56" i="1"/>
  <c r="E42" i="38"/>
  <c r="M9" i="23"/>
  <c r="D32" i="46"/>
  <c r="G27" i="45"/>
  <c r="H27" i="45"/>
  <c r="D26" i="44"/>
  <c r="D31" i="50"/>
  <c r="D23" i="50"/>
  <c r="E27" i="23"/>
  <c r="C10" i="21"/>
  <c r="E19" i="49"/>
  <c r="B55" i="46"/>
  <c r="B16" i="46"/>
  <c r="B34" i="46" s="1"/>
  <c r="C16" i="45"/>
  <c r="D16" i="45" s="1"/>
  <c r="E17" i="49"/>
  <c r="P23" i="39"/>
  <c r="E16" i="47"/>
  <c r="P46" i="39" s="1"/>
  <c r="C15" i="44"/>
  <c r="C21" i="44"/>
  <c r="P19" i="39"/>
  <c r="C9" i="45"/>
  <c r="D9" i="45" s="1"/>
  <c r="B11" i="46"/>
  <c r="B33" i="46" s="1"/>
  <c r="C10" i="44"/>
  <c r="C19" i="44"/>
  <c r="C8" i="44"/>
  <c r="C22" i="44"/>
  <c r="E18" i="49"/>
  <c r="E16" i="49"/>
  <c r="E15" i="49"/>
  <c r="C6" i="19"/>
  <c r="C6" i="2" s="1"/>
  <c r="C6" i="44" s="1"/>
  <c r="F26" i="44"/>
  <c r="C22" i="45"/>
  <c r="D22" i="45" s="1"/>
  <c r="M8" i="23"/>
  <c r="I15" i="48"/>
  <c r="B37" i="38"/>
  <c r="N9" i="23"/>
  <c r="B7" i="46"/>
  <c r="B52" i="46"/>
  <c r="H15" i="48"/>
  <c r="F8" i="44"/>
  <c r="H11" i="46"/>
  <c r="H33" i="46" s="1"/>
  <c r="F12" i="2"/>
  <c r="F20" i="44"/>
  <c r="G21" i="45"/>
  <c r="H21" i="45" s="1"/>
  <c r="E12" i="37"/>
  <c r="E22" i="37" s="1"/>
  <c r="E23" i="50"/>
  <c r="F6" i="19"/>
  <c r="F6" i="2" s="1"/>
  <c r="F6" i="44" s="1"/>
  <c r="B3" i="61"/>
  <c r="B63" i="43"/>
  <c r="B43" i="43"/>
  <c r="G11" i="45"/>
  <c r="H11" i="45" s="1"/>
  <c r="F10" i="44"/>
  <c r="B44" i="40"/>
  <c r="F21" i="44"/>
  <c r="D10" i="44"/>
  <c r="C14" i="37"/>
  <c r="B80" i="40"/>
  <c r="A57" i="46"/>
  <c r="C23" i="45"/>
  <c r="D23" i="45" s="1"/>
  <c r="H34" i="23"/>
  <c r="H39" i="23"/>
  <c r="S6" i="39"/>
  <c r="S30" i="39"/>
  <c r="S42" i="39" s="1"/>
  <c r="S49" i="39" s="1"/>
  <c r="S58" i="39" s="1"/>
  <c r="E25" i="37"/>
  <c r="P16" i="39"/>
  <c r="C13" i="45"/>
  <c r="D13" i="45" s="1"/>
  <c r="D12" i="44"/>
  <c r="C19" i="37"/>
  <c r="E49" i="38"/>
  <c r="B33" i="43"/>
  <c r="D10" i="21"/>
  <c r="C43" i="37"/>
  <c r="E29" i="37"/>
  <c r="B45" i="38"/>
  <c r="Q6" i="39"/>
  <c r="F34" i="23"/>
  <c r="F39" i="23"/>
  <c r="I8" i="48"/>
  <c r="I37" i="48" s="1"/>
  <c r="E11" i="49"/>
  <c r="C12" i="44"/>
  <c r="C23" i="61"/>
  <c r="B32" i="46"/>
  <c r="G13" i="45"/>
  <c r="H13" i="45" s="1"/>
  <c r="F12" i="44"/>
  <c r="E42" i="23"/>
  <c r="E17" i="47"/>
  <c r="C17" i="44"/>
  <c r="B23" i="46"/>
  <c r="E12" i="49"/>
  <c r="P53" i="39" s="1"/>
  <c r="P26" i="39"/>
  <c r="C24" i="61"/>
  <c r="E13" i="51"/>
  <c r="P61" i="39" s="1"/>
  <c r="B21" i="46"/>
  <c r="B35" i="46"/>
  <c r="P52" i="39"/>
  <c r="C26" i="61"/>
  <c r="Q30" i="39"/>
  <c r="Q42" i="39" s="1"/>
  <c r="Q49" i="39" s="1"/>
  <c r="Q58" i="39" s="1"/>
  <c r="K69" i="40"/>
  <c r="K5" i="40"/>
  <c r="H8" i="48"/>
  <c r="H37" i="48" s="1"/>
  <c r="E34" i="23"/>
  <c r="E39" i="23"/>
  <c r="P6" i="39"/>
  <c r="H8" i="43"/>
  <c r="C28" i="2"/>
  <c r="E14" i="49" s="1"/>
  <c r="E13" i="49"/>
  <c r="C24" i="44"/>
  <c r="E22" i="47"/>
  <c r="P30" i="39"/>
  <c r="P42" i="39" s="1"/>
  <c r="P49" i="39" s="1"/>
  <c r="P58" i="39" s="1"/>
  <c r="J69" i="40"/>
  <c r="J5" i="40"/>
  <c r="C25" i="61"/>
  <c r="E55" i="36"/>
  <c r="H55" i="36"/>
  <c r="H54" i="36"/>
  <c r="D14" i="2"/>
  <c r="G15" i="2" l="1"/>
  <c r="F55" i="46" s="1"/>
  <c r="H22" i="1"/>
  <c r="F13" i="1"/>
  <c r="N8" i="23" s="1"/>
  <c r="N10" i="23" s="1"/>
  <c r="N12" i="23" s="1"/>
  <c r="K47" i="49"/>
  <c r="K37" i="49"/>
  <c r="K19" i="47"/>
  <c r="K35" i="49"/>
  <c r="F35" i="49"/>
  <c r="H32" i="49"/>
  <c r="J40" i="49"/>
  <c r="J45" i="49" s="1"/>
  <c r="J21" i="50"/>
  <c r="K7" i="51" s="1"/>
  <c r="K23" i="51" s="1"/>
  <c r="G18" i="47"/>
  <c r="R47" i="39" s="1"/>
  <c r="F48" i="49"/>
  <c r="G19" i="47"/>
  <c r="F26" i="49"/>
  <c r="F10" i="51" s="1"/>
  <c r="F18" i="47"/>
  <c r="Q47" i="39" s="1"/>
  <c r="E22" i="49"/>
  <c r="G26" i="49"/>
  <c r="K31" i="49"/>
  <c r="I40" i="49"/>
  <c r="I45" i="49" s="1"/>
  <c r="H41" i="49"/>
  <c r="E19" i="47"/>
  <c r="F22" i="49"/>
  <c r="H26" i="49"/>
  <c r="H40" i="49"/>
  <c r="H45" i="49" s="1"/>
  <c r="K22" i="49"/>
  <c r="K26" i="49"/>
  <c r="G40" i="49"/>
  <c r="G45" i="49" s="1"/>
  <c r="E26" i="49"/>
  <c r="F19" i="47"/>
  <c r="Q55" i="39"/>
  <c r="D28" i="61"/>
  <c r="H18" i="47"/>
  <c r="S47" i="39" s="1"/>
  <c r="H42" i="49"/>
  <c r="L14" i="46"/>
  <c r="J14" i="46"/>
  <c r="N14" i="46" s="1"/>
  <c r="F14" i="46"/>
  <c r="Z26" i="40"/>
  <c r="C38" i="38"/>
  <c r="F38" i="38"/>
  <c r="E38" i="38" s="1"/>
  <c r="Y55" i="40"/>
  <c r="Z55" i="40" s="1"/>
  <c r="K41" i="67"/>
  <c r="U20" i="39"/>
  <c r="H72" i="40"/>
  <c r="H73" i="40" s="1"/>
  <c r="I50" i="36"/>
  <c r="F41" i="1"/>
  <c r="G23" i="50" s="1"/>
  <c r="L18" i="61"/>
  <c r="J18" i="61"/>
  <c r="J19" i="61"/>
  <c r="L19" i="61"/>
  <c r="J25" i="61"/>
  <c r="L25" i="61"/>
  <c r="L26" i="61"/>
  <c r="J26" i="61"/>
  <c r="L13" i="61"/>
  <c r="L24" i="61"/>
  <c r="J24" i="61"/>
  <c r="J14" i="61"/>
  <c r="L14" i="61"/>
  <c r="L10" i="61"/>
  <c r="J10" i="61"/>
  <c r="L27" i="61"/>
  <c r="J27" i="61"/>
  <c r="J12" i="61"/>
  <c r="L12" i="61"/>
  <c r="J23" i="61"/>
  <c r="L23" i="61"/>
  <c r="L28" i="61"/>
  <c r="L11" i="61"/>
  <c r="G66" i="21"/>
  <c r="I66" i="21"/>
  <c r="J66" i="21" s="1"/>
  <c r="I8" i="67"/>
  <c r="I24" i="67"/>
  <c r="I34" i="67"/>
  <c r="H66" i="21"/>
  <c r="H78" i="21" s="1"/>
  <c r="G78" i="21"/>
  <c r="G14" i="67"/>
  <c r="E38" i="67"/>
  <c r="E24" i="67"/>
  <c r="E18" i="67" s="1"/>
  <c r="E34" i="67"/>
  <c r="E28" i="67" s="1"/>
  <c r="E66" i="21"/>
  <c r="C66" i="21"/>
  <c r="D66" i="21" s="1"/>
  <c r="D71" i="1"/>
  <c r="F7" i="47" s="1"/>
  <c r="G67" i="50"/>
  <c r="K17" i="48"/>
  <c r="H39" i="43"/>
  <c r="H46" i="43" s="1"/>
  <c r="H24" i="49"/>
  <c r="H37" i="49" s="1"/>
  <c r="H29" i="49"/>
  <c r="H31" i="49" s="1"/>
  <c r="B27" i="43"/>
  <c r="E21" i="23"/>
  <c r="P15" i="39"/>
  <c r="C32" i="19"/>
  <c r="I25" i="36"/>
  <c r="G13" i="1"/>
  <c r="I12" i="21" s="1"/>
  <c r="J12" i="21" s="1"/>
  <c r="W6" i="40"/>
  <c r="X6" i="40" s="1"/>
  <c r="U6" i="40"/>
  <c r="V6" i="40" s="1"/>
  <c r="G22" i="2"/>
  <c r="F57" i="46" s="1"/>
  <c r="G80" i="40"/>
  <c r="H37" i="40"/>
  <c r="H44" i="1" s="1"/>
  <c r="I35" i="50" s="1"/>
  <c r="G19" i="2"/>
  <c r="G77" i="40"/>
  <c r="H65" i="36"/>
  <c r="H50" i="36" s="1"/>
  <c r="G71" i="40"/>
  <c r="N75" i="40" s="1"/>
  <c r="H43" i="1"/>
  <c r="K42" i="21" s="1"/>
  <c r="L42" i="21" s="1"/>
  <c r="H36" i="40"/>
  <c r="Y36" i="40" s="1"/>
  <c r="H15" i="1"/>
  <c r="K14" i="21" s="1"/>
  <c r="L14" i="21" s="1"/>
  <c r="H10" i="40"/>
  <c r="E13" i="1"/>
  <c r="E8" i="40"/>
  <c r="H14" i="2"/>
  <c r="G54" i="46" s="1"/>
  <c r="G20" i="2"/>
  <c r="G78" i="40"/>
  <c r="G22" i="1"/>
  <c r="I21" i="21" s="1"/>
  <c r="J21" i="21" s="1"/>
  <c r="G17" i="40"/>
  <c r="G14" i="2"/>
  <c r="G74" i="40"/>
  <c r="Y72" i="40"/>
  <c r="Z72" i="40" s="1"/>
  <c r="U10" i="40"/>
  <c r="V10" i="40" s="1"/>
  <c r="W10" i="40"/>
  <c r="X10" i="40" s="1"/>
  <c r="F50" i="1"/>
  <c r="F56" i="1" s="1"/>
  <c r="S16" i="39" s="1"/>
  <c r="U34" i="40"/>
  <c r="V34" i="40" s="1"/>
  <c r="W34" i="40"/>
  <c r="X34" i="40" s="1"/>
  <c r="H42" i="1"/>
  <c r="K41" i="21" s="1"/>
  <c r="H35" i="40"/>
  <c r="Y35" i="40" s="1"/>
  <c r="H14" i="1"/>
  <c r="C23" i="48" s="1"/>
  <c r="H9" i="40"/>
  <c r="H23" i="1"/>
  <c r="H18" i="40"/>
  <c r="S11" i="40"/>
  <c r="T11" i="40" s="1"/>
  <c r="H19" i="2"/>
  <c r="H77" i="40"/>
  <c r="F29" i="1"/>
  <c r="F24" i="40"/>
  <c r="H22" i="2"/>
  <c r="G57" i="46" s="1"/>
  <c r="H80" i="40"/>
  <c r="F42" i="1"/>
  <c r="I41" i="21" s="1"/>
  <c r="J41" i="21" s="1"/>
  <c r="F35" i="40"/>
  <c r="W75" i="40"/>
  <c r="X75" i="40" s="1"/>
  <c r="H20" i="2"/>
  <c r="H78" i="40"/>
  <c r="F11" i="1"/>
  <c r="I10" i="21" s="1"/>
  <c r="F49" i="40"/>
  <c r="M43" i="40" s="1"/>
  <c r="W43" i="40"/>
  <c r="X43" i="40" s="1"/>
  <c r="U43" i="40"/>
  <c r="V43" i="40" s="1"/>
  <c r="G46" i="1"/>
  <c r="G39" i="40"/>
  <c r="H41" i="1"/>
  <c r="H34" i="40"/>
  <c r="H12" i="1"/>
  <c r="K11" i="21" s="1"/>
  <c r="L11" i="21" s="1"/>
  <c r="H7" i="40"/>
  <c r="U8" i="40"/>
  <c r="V8" i="40" s="1"/>
  <c r="G45" i="1"/>
  <c r="H39" i="50" s="1"/>
  <c r="G38" i="40"/>
  <c r="H68" i="1"/>
  <c r="K67" i="21" s="1"/>
  <c r="L67" i="21" s="1"/>
  <c r="H59" i="40"/>
  <c r="H11" i="1"/>
  <c r="H6" i="40"/>
  <c r="F16" i="1"/>
  <c r="F18" i="1" s="1"/>
  <c r="F11" i="40"/>
  <c r="F13" i="40" s="1"/>
  <c r="H50" i="1"/>
  <c r="H56" i="1" s="1"/>
  <c r="U16" i="39" s="1"/>
  <c r="H43" i="40"/>
  <c r="H67" i="1"/>
  <c r="K66" i="21" s="1"/>
  <c r="L66" i="21" s="1"/>
  <c r="H58" i="40"/>
  <c r="H31" i="1"/>
  <c r="K30" i="21" s="1"/>
  <c r="W8" i="40"/>
  <c r="X8" i="40" s="1"/>
  <c r="F46" i="1"/>
  <c r="G45" i="21" s="1"/>
  <c r="H45" i="21" s="1"/>
  <c r="F39" i="40"/>
  <c r="O74" i="40"/>
  <c r="Y74" i="40"/>
  <c r="Z74" i="40" s="1"/>
  <c r="H15" i="2"/>
  <c r="G55" i="46" s="1"/>
  <c r="H75" i="40"/>
  <c r="G27" i="1"/>
  <c r="I26" i="21" s="1"/>
  <c r="J26" i="21" s="1"/>
  <c r="G22" i="40"/>
  <c r="F37" i="40"/>
  <c r="F44" i="1" s="1"/>
  <c r="G43" i="21" s="1"/>
  <c r="H43" i="21" s="1"/>
  <c r="H46" i="1"/>
  <c r="H39" i="40"/>
  <c r="H29" i="36"/>
  <c r="G11" i="40"/>
  <c r="G21" i="2"/>
  <c r="F56" i="46" s="1"/>
  <c r="G79" i="40"/>
  <c r="F45" i="1"/>
  <c r="G44" i="21" s="1"/>
  <c r="H44" i="21" s="1"/>
  <c r="F38" i="40"/>
  <c r="H21" i="2"/>
  <c r="H79" i="40"/>
  <c r="G23" i="1"/>
  <c r="I22" i="21" s="1"/>
  <c r="J22" i="21" s="1"/>
  <c r="G18" i="40"/>
  <c r="F43" i="1"/>
  <c r="G31" i="50" s="1"/>
  <c r="F36" i="40"/>
  <c r="H45" i="1"/>
  <c r="I39" i="50" s="1"/>
  <c r="H38" i="40"/>
  <c r="H64" i="1"/>
  <c r="K63" i="21" s="1"/>
  <c r="L63" i="21" s="1"/>
  <c r="H29" i="1"/>
  <c r="K28" i="21" s="1"/>
  <c r="L28" i="21" s="1"/>
  <c r="H24" i="40"/>
  <c r="G16" i="1"/>
  <c r="K15" i="21" s="1"/>
  <c r="I29" i="36"/>
  <c r="H8" i="40"/>
  <c r="F83" i="40"/>
  <c r="M81" i="40"/>
  <c r="E81" i="40"/>
  <c r="U81" i="40" s="1"/>
  <c r="V81" i="40" s="1"/>
  <c r="L76" i="40"/>
  <c r="Q5" i="40"/>
  <c r="Q69" i="40" s="1"/>
  <c r="S5" i="40"/>
  <c r="S69" i="40" s="1"/>
  <c r="H76" i="36"/>
  <c r="G29" i="36"/>
  <c r="C73" i="40"/>
  <c r="J73" i="40" s="1"/>
  <c r="C13" i="40"/>
  <c r="D13" i="40"/>
  <c r="D41" i="40"/>
  <c r="H43" i="50"/>
  <c r="K40" i="21"/>
  <c r="L40" i="21" s="1"/>
  <c r="I23" i="50"/>
  <c r="I14" i="21"/>
  <c r="J14" i="21" s="1"/>
  <c r="G14" i="21"/>
  <c r="H14" i="21" s="1"/>
  <c r="H8" i="2"/>
  <c r="K10" i="21"/>
  <c r="L10" i="21" s="1"/>
  <c r="G15" i="21"/>
  <c r="H15" i="21" s="1"/>
  <c r="C24" i="48"/>
  <c r="F23" i="48"/>
  <c r="G27" i="23"/>
  <c r="G8" i="2"/>
  <c r="G15" i="44" s="1"/>
  <c r="G53" i="46"/>
  <c r="I69" i="36"/>
  <c r="F24" i="48" s="1"/>
  <c r="I20" i="49"/>
  <c r="I28" i="21"/>
  <c r="J28" i="21" s="1"/>
  <c r="G28" i="21"/>
  <c r="K12" i="21"/>
  <c r="I27" i="50"/>
  <c r="J15" i="49"/>
  <c r="B44" i="38"/>
  <c r="E45" i="38"/>
  <c r="E37" i="38"/>
  <c r="E41" i="38"/>
  <c r="B49" i="38"/>
  <c r="F11" i="51"/>
  <c r="Q56" i="39" s="1"/>
  <c r="K12" i="51"/>
  <c r="K17" i="51" s="1"/>
  <c r="K20" i="51" s="1"/>
  <c r="F9" i="51"/>
  <c r="F14" i="51"/>
  <c r="K14" i="51"/>
  <c r="K16" i="51" s="1"/>
  <c r="K18" i="51" s="1"/>
  <c r="E41" i="49"/>
  <c r="I40" i="48"/>
  <c r="K7" i="66"/>
  <c r="K26" i="47"/>
  <c r="N11" i="48"/>
  <c r="N13" i="48" s="1"/>
  <c r="N18" i="48" s="1"/>
  <c r="F6" i="47"/>
  <c r="E6" i="47"/>
  <c r="P40" i="39"/>
  <c r="K37" i="48"/>
  <c r="C28" i="61"/>
  <c r="P55" i="39"/>
  <c r="E43" i="49"/>
  <c r="E10" i="51"/>
  <c r="F17" i="44"/>
  <c r="H23" i="46" s="1"/>
  <c r="H21" i="46"/>
  <c r="H35" i="46" s="1"/>
  <c r="F24" i="2"/>
  <c r="S61" i="39"/>
  <c r="P38" i="39"/>
  <c r="H11" i="48"/>
  <c r="H13" i="48" s="1"/>
  <c r="H18" i="48" s="1"/>
  <c r="H38" i="48"/>
  <c r="I38" i="48"/>
  <c r="I17" i="44"/>
  <c r="N23" i="46" s="1"/>
  <c r="I24" i="2"/>
  <c r="N21" i="46"/>
  <c r="N35" i="46" s="1"/>
  <c r="P54" i="39"/>
  <c r="E42" i="49"/>
  <c r="H39" i="48"/>
  <c r="P39" i="39"/>
  <c r="E16" i="44"/>
  <c r="B27" i="46"/>
  <c r="E27" i="49"/>
  <c r="E32" i="49" s="1"/>
  <c r="H16" i="46"/>
  <c r="H34" i="46" s="1"/>
  <c r="P24" i="39"/>
  <c r="C27" i="45"/>
  <c r="D27" i="45" s="1"/>
  <c r="E21" i="44"/>
  <c r="I14" i="44"/>
  <c r="I16" i="44" s="1"/>
  <c r="D56" i="46"/>
  <c r="E54" i="46"/>
  <c r="G15" i="45"/>
  <c r="D16" i="46"/>
  <c r="D34" i="46" s="1"/>
  <c r="P27" i="39"/>
  <c r="F22" i="44"/>
  <c r="P21" i="39"/>
  <c r="J15" i="48"/>
  <c r="F11" i="46"/>
  <c r="F33" i="46" s="1"/>
  <c r="E26" i="44"/>
  <c r="H54" i="46"/>
  <c r="C58" i="46"/>
  <c r="E33" i="49"/>
  <c r="E8" i="66"/>
  <c r="E9" i="66" s="1"/>
  <c r="E10" i="66" s="1"/>
  <c r="D73" i="40"/>
  <c r="F14" i="44"/>
  <c r="F16" i="44" s="1"/>
  <c r="B58" i="46"/>
  <c r="F16" i="46"/>
  <c r="F34" i="46" s="1"/>
  <c r="E15" i="44"/>
  <c r="D17" i="2"/>
  <c r="G18" i="45" s="1"/>
  <c r="G20" i="45"/>
  <c r="H20" i="45" s="1"/>
  <c r="C28" i="44"/>
  <c r="B29" i="46" s="1"/>
  <c r="F19" i="44"/>
  <c r="C26" i="44"/>
  <c r="E22" i="44"/>
  <c r="E17" i="2"/>
  <c r="E8" i="44"/>
  <c r="E55" i="46"/>
  <c r="C15" i="45"/>
  <c r="C54" i="46"/>
  <c r="D14" i="44"/>
  <c r="D16" i="44" s="1"/>
  <c r="M10" i="23"/>
  <c r="M12" i="23" s="1"/>
  <c r="B34" i="19"/>
  <c r="B45" i="21"/>
  <c r="B39" i="40"/>
  <c r="B43" i="50"/>
  <c r="M15" i="23"/>
  <c r="D38" i="19"/>
  <c r="D33" i="43"/>
  <c r="B45" i="43"/>
  <c r="C75" i="21"/>
  <c r="F14" i="23"/>
  <c r="F16" i="23"/>
  <c r="E48" i="49"/>
  <c r="F42" i="23"/>
  <c r="B3" i="48"/>
  <c r="B3" i="47" s="1"/>
  <c r="E35" i="37"/>
  <c r="B3" i="44"/>
  <c r="B3" i="45" s="1"/>
  <c r="E25" i="23"/>
  <c r="C58" i="1"/>
  <c r="B30" i="19"/>
  <c r="B36" i="40"/>
  <c r="B31" i="19"/>
  <c r="B42" i="21"/>
  <c r="B31" i="50"/>
  <c r="C42" i="37"/>
  <c r="C22" i="37" s="1"/>
  <c r="C34" i="19"/>
  <c r="D43" i="50"/>
  <c r="E16" i="37"/>
  <c r="D34" i="1"/>
  <c r="E18" i="19"/>
  <c r="E20" i="19"/>
  <c r="B42" i="38"/>
  <c r="D48" i="19"/>
  <c r="C35" i="37"/>
  <c r="B41" i="21"/>
  <c r="C13" i="19"/>
  <c r="C31" i="19"/>
  <c r="C38" i="19"/>
  <c r="C11" i="37"/>
  <c r="C71" i="1"/>
  <c r="F52" i="19"/>
  <c r="E43" i="37"/>
  <c r="E46" i="37"/>
  <c r="E26" i="37" s="1"/>
  <c r="F55" i="19"/>
  <c r="B24" i="21"/>
  <c r="B20" i="40"/>
  <c r="B33" i="38"/>
  <c r="E33" i="38" s="1"/>
  <c r="E17" i="19"/>
  <c r="B23" i="40"/>
  <c r="B17" i="19"/>
  <c r="B27" i="21"/>
  <c r="F19" i="43"/>
  <c r="G29" i="23"/>
  <c r="E32" i="37"/>
  <c r="E19" i="37"/>
  <c r="B47" i="40"/>
  <c r="B53" i="21"/>
  <c r="D41" i="19"/>
  <c r="E40" i="19"/>
  <c r="F33" i="43"/>
  <c r="E38" i="19"/>
  <c r="B47" i="38"/>
  <c r="B38" i="19"/>
  <c r="B43" i="40"/>
  <c r="B47" i="50"/>
  <c r="C29" i="19"/>
  <c r="D48" i="1"/>
  <c r="C41" i="19"/>
  <c r="E71" i="1"/>
  <c r="E52" i="19" s="1"/>
  <c r="E39" i="19"/>
  <c r="G39" i="19"/>
  <c r="C20" i="19"/>
  <c r="G40" i="19"/>
  <c r="D39" i="19"/>
  <c r="F48" i="19"/>
  <c r="E41" i="37"/>
  <c r="F50" i="19"/>
  <c r="D53" i="19"/>
  <c r="E14" i="37"/>
  <c r="F54" i="19"/>
  <c r="E41" i="19"/>
  <c r="N39" i="43"/>
  <c r="I51" i="19"/>
  <c r="I73" i="1"/>
  <c r="I50" i="19"/>
  <c r="I49" i="19"/>
  <c r="N17" i="48"/>
  <c r="I48" i="19"/>
  <c r="I54" i="19"/>
  <c r="K28" i="23"/>
  <c r="K13" i="23"/>
  <c r="G42" i="19"/>
  <c r="B59" i="50"/>
  <c r="C16" i="37"/>
  <c r="D12" i="19"/>
  <c r="C33" i="19"/>
  <c r="D39" i="50"/>
  <c r="C42" i="19"/>
  <c r="C12" i="37"/>
  <c r="F53" i="19"/>
  <c r="D18" i="19"/>
  <c r="G12" i="19"/>
  <c r="F12" i="19"/>
  <c r="C34" i="1"/>
  <c r="B52" i="21"/>
  <c r="B28" i="21"/>
  <c r="B24" i="40"/>
  <c r="B11" i="37"/>
  <c r="B21" i="37" s="1"/>
  <c r="B31" i="37" s="1"/>
  <c r="B41" i="37" s="1"/>
  <c r="E16" i="23"/>
  <c r="E14" i="23"/>
  <c r="C40" i="19"/>
  <c r="D42" i="19"/>
  <c r="E10" i="37"/>
  <c r="D51" i="19"/>
  <c r="B22" i="40"/>
  <c r="B26" i="21"/>
  <c r="C19" i="19"/>
  <c r="C17" i="19"/>
  <c r="E12" i="19"/>
  <c r="E19" i="19"/>
  <c r="E42" i="19"/>
  <c r="I53" i="19"/>
  <c r="N15" i="43"/>
  <c r="N68" i="43" s="1"/>
  <c r="G11" i="19"/>
  <c r="G41" i="19"/>
  <c r="E18" i="1"/>
  <c r="B19" i="19"/>
  <c r="B25" i="40"/>
  <c r="C11" i="19"/>
  <c r="D40" i="19"/>
  <c r="F49" i="19"/>
  <c r="F51" i="19"/>
  <c r="E21" i="19"/>
  <c r="K23" i="23"/>
  <c r="K11" i="23"/>
  <c r="C49" i="40"/>
  <c r="E44" i="37"/>
  <c r="N19" i="43"/>
  <c r="C30" i="19"/>
  <c r="J9" i="48"/>
  <c r="I10" i="48"/>
  <c r="K18" i="23"/>
  <c r="K19" i="23" s="1"/>
  <c r="C18" i="1"/>
  <c r="J10" i="48"/>
  <c r="N16" i="48"/>
  <c r="E48" i="1"/>
  <c r="D18" i="1"/>
  <c r="K10" i="48"/>
  <c r="K21" i="23"/>
  <c r="I36" i="1"/>
  <c r="I18" i="19"/>
  <c r="K29" i="23"/>
  <c r="L10" i="48"/>
  <c r="I17" i="19"/>
  <c r="I19" i="19"/>
  <c r="G12" i="23"/>
  <c r="G33" i="23" s="1"/>
  <c r="F32" i="23"/>
  <c r="J27" i="23"/>
  <c r="G58" i="46"/>
  <c r="H25" i="36"/>
  <c r="G21" i="44"/>
  <c r="G12" i="2"/>
  <c r="H27" i="1"/>
  <c r="K26" i="21" s="1"/>
  <c r="I76" i="36"/>
  <c r="C56" i="38" s="1"/>
  <c r="G27" i="50" l="1"/>
  <c r="O72" i="40"/>
  <c r="M12" i="48"/>
  <c r="U40" i="39" s="1"/>
  <c r="K12" i="48"/>
  <c r="S40" i="39" s="1"/>
  <c r="I12" i="23"/>
  <c r="I14" i="23" s="1"/>
  <c r="I27" i="23"/>
  <c r="M9" i="48"/>
  <c r="D22" i="48" s="1"/>
  <c r="G18" i="1"/>
  <c r="G9" i="19" s="1"/>
  <c r="L16" i="46"/>
  <c r="O16" i="46" s="1"/>
  <c r="K45" i="21"/>
  <c r="L45" i="21" s="1"/>
  <c r="G20" i="44"/>
  <c r="G19" i="44"/>
  <c r="I43" i="50"/>
  <c r="G10" i="21"/>
  <c r="G56" i="46"/>
  <c r="H21" i="44"/>
  <c r="I18" i="49"/>
  <c r="G47" i="50"/>
  <c r="K21" i="21"/>
  <c r="H27" i="23"/>
  <c r="K13" i="21"/>
  <c r="K75" i="21" s="1"/>
  <c r="F26" i="61"/>
  <c r="H20" i="47"/>
  <c r="Y38" i="40"/>
  <c r="Z38" i="40" s="1"/>
  <c r="K22" i="21"/>
  <c r="L22" i="21" s="1"/>
  <c r="M10" i="48"/>
  <c r="M39" i="48" s="1"/>
  <c r="K9" i="48"/>
  <c r="K11" i="48" s="1"/>
  <c r="G40" i="21"/>
  <c r="H40" i="21" s="1"/>
  <c r="K15" i="48"/>
  <c r="H12" i="23"/>
  <c r="H23" i="49" s="1"/>
  <c r="U24" i="39"/>
  <c r="H32" i="23"/>
  <c r="G12" i="21"/>
  <c r="H12" i="21" s="1"/>
  <c r="I40" i="21"/>
  <c r="J40" i="21" s="1"/>
  <c r="I15" i="21"/>
  <c r="J15" i="21" s="1"/>
  <c r="K43" i="49"/>
  <c r="K10" i="51"/>
  <c r="K11" i="51" s="1"/>
  <c r="E28" i="61"/>
  <c r="R55" i="39"/>
  <c r="G10" i="51"/>
  <c r="F28" i="61"/>
  <c r="S55" i="39"/>
  <c r="H43" i="49"/>
  <c r="H10" i="51"/>
  <c r="H47" i="49"/>
  <c r="F27" i="61"/>
  <c r="S51" i="39"/>
  <c r="U23" i="39"/>
  <c r="U21" i="39"/>
  <c r="E12" i="21"/>
  <c r="E26" i="61"/>
  <c r="H19" i="47"/>
  <c r="G41" i="21"/>
  <c r="H41" i="21" s="1"/>
  <c r="L12" i="48"/>
  <c r="C21" i="38"/>
  <c r="B21" i="38" s="1"/>
  <c r="F54" i="46"/>
  <c r="K31" i="67"/>
  <c r="M41" i="67"/>
  <c r="K21" i="67"/>
  <c r="G23" i="49"/>
  <c r="D38" i="68" s="1"/>
  <c r="D39" i="68" s="1"/>
  <c r="R34" i="39"/>
  <c r="R38" i="39"/>
  <c r="E12" i="61"/>
  <c r="R12" i="39"/>
  <c r="E11" i="61"/>
  <c r="E10" i="61"/>
  <c r="S38" i="39"/>
  <c r="T12" i="39"/>
  <c r="I11" i="49"/>
  <c r="G23" i="61"/>
  <c r="K44" i="21"/>
  <c r="L44" i="21" s="1"/>
  <c r="G49" i="21"/>
  <c r="H49" i="21" s="1"/>
  <c r="F41" i="40"/>
  <c r="F50" i="40" s="1"/>
  <c r="Z36" i="40"/>
  <c r="F19" i="38"/>
  <c r="E19" i="38" s="1"/>
  <c r="C19" i="38"/>
  <c r="B19" i="38" s="1"/>
  <c r="G22" i="44"/>
  <c r="S12" i="39"/>
  <c r="J14" i="48"/>
  <c r="I44" i="21"/>
  <c r="J44" i="21" s="1"/>
  <c r="I49" i="21"/>
  <c r="J49" i="21" s="1"/>
  <c r="H14" i="61"/>
  <c r="M14" i="61" s="1"/>
  <c r="F14" i="61"/>
  <c r="H13" i="61"/>
  <c r="M13" i="61" s="1"/>
  <c r="G39" i="50"/>
  <c r="I42" i="23"/>
  <c r="T34" i="39"/>
  <c r="I17" i="49"/>
  <c r="T23" i="39"/>
  <c r="T19" i="39"/>
  <c r="Y59" i="40"/>
  <c r="K45" i="67"/>
  <c r="Z35" i="40"/>
  <c r="F18" i="38"/>
  <c r="E18" i="38" s="1"/>
  <c r="C18" i="38"/>
  <c r="B18" i="38" s="1"/>
  <c r="D50" i="19"/>
  <c r="F24" i="47"/>
  <c r="I16" i="48"/>
  <c r="D52" i="19"/>
  <c r="D49" i="19"/>
  <c r="D54" i="19"/>
  <c r="D55" i="19"/>
  <c r="F20" i="47"/>
  <c r="E49" i="19"/>
  <c r="E54" i="19"/>
  <c r="E53" i="19"/>
  <c r="Y58" i="40"/>
  <c r="Z58" i="40" s="1"/>
  <c r="K44" i="67"/>
  <c r="E50" i="19"/>
  <c r="G70" i="21"/>
  <c r="H70" i="21" s="1"/>
  <c r="G24" i="67"/>
  <c r="G18" i="67" s="1"/>
  <c r="G34" i="67"/>
  <c r="G28" i="67" s="1"/>
  <c r="G8" i="67"/>
  <c r="E48" i="19"/>
  <c r="E67" i="50"/>
  <c r="F29" i="49"/>
  <c r="F31" i="49" s="1"/>
  <c r="I17" i="48"/>
  <c r="D39" i="43"/>
  <c r="D46" i="43" s="1"/>
  <c r="F24" i="49"/>
  <c r="F37" i="49" s="1"/>
  <c r="F66" i="21"/>
  <c r="F78" i="21" s="1"/>
  <c r="E78" i="21"/>
  <c r="E70" i="21"/>
  <c r="F70" i="21" s="1"/>
  <c r="G29" i="49"/>
  <c r="G31" i="49" s="1"/>
  <c r="G24" i="49"/>
  <c r="G37" i="49" s="1"/>
  <c r="F67" i="50"/>
  <c r="F71" i="50" s="1"/>
  <c r="F32" i="50" s="1"/>
  <c r="G20" i="47"/>
  <c r="C54" i="19"/>
  <c r="C70" i="21"/>
  <c r="D70" i="21" s="1"/>
  <c r="E24" i="49"/>
  <c r="D33" i="19"/>
  <c r="F23" i="47"/>
  <c r="D31" i="19"/>
  <c r="E47" i="21"/>
  <c r="F47" i="21" s="1"/>
  <c r="D34" i="19"/>
  <c r="C47" i="21"/>
  <c r="D47" i="21" s="1"/>
  <c r="F28" i="50"/>
  <c r="F11" i="66"/>
  <c r="F12" i="66" s="1"/>
  <c r="E11" i="66"/>
  <c r="E12" i="66" s="1"/>
  <c r="E13" i="47"/>
  <c r="M6" i="40"/>
  <c r="M7" i="40"/>
  <c r="H13" i="43"/>
  <c r="M9" i="40"/>
  <c r="M8" i="40"/>
  <c r="M10" i="40"/>
  <c r="J33" i="43"/>
  <c r="H40" i="19"/>
  <c r="H41" i="19"/>
  <c r="H42" i="19"/>
  <c r="H39" i="19"/>
  <c r="O77" i="40"/>
  <c r="Y77" i="40"/>
  <c r="Z77" i="40" s="1"/>
  <c r="W78" i="40"/>
  <c r="X78" i="40" s="1"/>
  <c r="N78" i="40"/>
  <c r="F48" i="1"/>
  <c r="F10" i="61" s="1"/>
  <c r="H48" i="1"/>
  <c r="H58" i="1" s="1"/>
  <c r="I42" i="21"/>
  <c r="J42" i="21" s="1"/>
  <c r="W38" i="40"/>
  <c r="X38" i="40" s="1"/>
  <c r="G73" i="40"/>
  <c r="Y73" i="40" s="1"/>
  <c r="Z73" i="40" s="1"/>
  <c r="N71" i="40"/>
  <c r="W71" i="40"/>
  <c r="X71" i="40" s="1"/>
  <c r="F7" i="68" s="1"/>
  <c r="N72" i="40"/>
  <c r="Y71" i="40"/>
  <c r="Z71" i="40" s="1"/>
  <c r="G7" i="68" s="1"/>
  <c r="G37" i="68" s="1"/>
  <c r="G28" i="1"/>
  <c r="I27" i="21" s="1"/>
  <c r="G23" i="40"/>
  <c r="G42" i="21"/>
  <c r="H42" i="21" s="1"/>
  <c r="Y24" i="40"/>
  <c r="U35" i="40"/>
  <c r="V35" i="40" s="1"/>
  <c r="W35" i="40"/>
  <c r="X35" i="40" s="1"/>
  <c r="L41" i="21"/>
  <c r="G26" i="2"/>
  <c r="T21" i="39" s="1"/>
  <c r="G82" i="40"/>
  <c r="I32" i="23"/>
  <c r="G35" i="50"/>
  <c r="I47" i="50"/>
  <c r="O79" i="40"/>
  <c r="Y79" i="40"/>
  <c r="Z79" i="40" s="1"/>
  <c r="W11" i="40"/>
  <c r="X11" i="40" s="1"/>
  <c r="O75" i="40"/>
  <c r="Y75" i="40"/>
  <c r="Z75" i="40" s="1"/>
  <c r="G13" i="40"/>
  <c r="U11" i="40"/>
  <c r="V11" i="40" s="1"/>
  <c r="M11" i="40"/>
  <c r="O73" i="40"/>
  <c r="H76" i="40"/>
  <c r="S8" i="40"/>
  <c r="T8" i="40" s="1"/>
  <c r="E13" i="40"/>
  <c r="S13" i="40" s="1"/>
  <c r="T13" i="40" s="1"/>
  <c r="W77" i="40"/>
  <c r="X77" i="40" s="1"/>
  <c r="N77" i="40"/>
  <c r="W39" i="40"/>
  <c r="X39" i="40" s="1"/>
  <c r="J32" i="23"/>
  <c r="J12" i="23"/>
  <c r="I31" i="50"/>
  <c r="K49" i="21"/>
  <c r="L49" i="21" s="1"/>
  <c r="G32" i="1"/>
  <c r="G27" i="40"/>
  <c r="L30" i="21"/>
  <c r="B38" i="38"/>
  <c r="Y7" i="40"/>
  <c r="M46" i="40"/>
  <c r="M44" i="40"/>
  <c r="W49" i="40"/>
  <c r="X49" i="40" s="1"/>
  <c r="M47" i="40"/>
  <c r="M45" i="40"/>
  <c r="U49" i="40"/>
  <c r="V49" i="40" s="1"/>
  <c r="O80" i="40"/>
  <c r="Y80" i="40"/>
  <c r="Z80" i="40" s="1"/>
  <c r="W74" i="40"/>
  <c r="X74" i="40" s="1"/>
  <c r="N74" i="40"/>
  <c r="Y11" i="40"/>
  <c r="H32" i="1"/>
  <c r="H27" i="40"/>
  <c r="H38" i="19"/>
  <c r="G43" i="50"/>
  <c r="U38" i="40"/>
  <c r="V38" i="40" s="1"/>
  <c r="Y39" i="40"/>
  <c r="H13" i="40"/>
  <c r="O7" i="40" s="1"/>
  <c r="Y6" i="40"/>
  <c r="Y10" i="40"/>
  <c r="F32" i="1"/>
  <c r="F27" i="40"/>
  <c r="F29" i="40" s="1"/>
  <c r="M24" i="40" s="1"/>
  <c r="Y34" i="40"/>
  <c r="H41" i="40"/>
  <c r="O39" i="40" s="1"/>
  <c r="Y78" i="40"/>
  <c r="Z78" i="40" s="1"/>
  <c r="O78" i="40"/>
  <c r="W24" i="40"/>
  <c r="X24" i="40" s="1"/>
  <c r="U24" i="40"/>
  <c r="V24" i="40" s="1"/>
  <c r="H28" i="1"/>
  <c r="H23" i="40"/>
  <c r="H18" i="1"/>
  <c r="I23" i="48"/>
  <c r="I45" i="21"/>
  <c r="J45" i="21" s="1"/>
  <c r="Y8" i="40"/>
  <c r="O8" i="40"/>
  <c r="W36" i="40"/>
  <c r="X36" i="40" s="1"/>
  <c r="U36" i="40"/>
  <c r="V36" i="40" s="1"/>
  <c r="N79" i="40"/>
  <c r="W79" i="40"/>
  <c r="X79" i="40" s="1"/>
  <c r="U37" i="40"/>
  <c r="V37" i="40" s="1"/>
  <c r="U39" i="40"/>
  <c r="V39" i="40" s="1"/>
  <c r="H49" i="40"/>
  <c r="O43" i="40" s="1"/>
  <c r="Y43" i="40"/>
  <c r="Y9" i="40"/>
  <c r="W80" i="40"/>
  <c r="X80" i="40" s="1"/>
  <c r="N80" i="40"/>
  <c r="J44" i="40"/>
  <c r="J46" i="40"/>
  <c r="J47" i="40"/>
  <c r="J45" i="40"/>
  <c r="J43" i="40"/>
  <c r="Q73" i="40"/>
  <c r="R73" i="40" s="1"/>
  <c r="K73" i="40"/>
  <c r="S73" i="40"/>
  <c r="T73" i="40" s="1"/>
  <c r="E83" i="40"/>
  <c r="U83" i="40" s="1"/>
  <c r="V83" i="40" s="1"/>
  <c r="L81" i="40"/>
  <c r="M83" i="40"/>
  <c r="F57" i="40"/>
  <c r="F84" i="40"/>
  <c r="Q13" i="40"/>
  <c r="R13" i="40" s="1"/>
  <c r="D13" i="43"/>
  <c r="K7" i="40"/>
  <c r="K11" i="40"/>
  <c r="K9" i="40"/>
  <c r="K10" i="40"/>
  <c r="K6" i="40"/>
  <c r="K8" i="40"/>
  <c r="K38" i="40"/>
  <c r="K39" i="40"/>
  <c r="K36" i="40"/>
  <c r="K35" i="40"/>
  <c r="K34" i="40"/>
  <c r="S41" i="40"/>
  <c r="T41" i="40" s="1"/>
  <c r="K37" i="40"/>
  <c r="B13" i="43"/>
  <c r="J10" i="40"/>
  <c r="J9" i="40"/>
  <c r="J11" i="40"/>
  <c r="J6" i="40"/>
  <c r="J8" i="40"/>
  <c r="J7" i="40"/>
  <c r="H10" i="44"/>
  <c r="H26" i="44"/>
  <c r="H14" i="44"/>
  <c r="H15" i="44"/>
  <c r="J16" i="47"/>
  <c r="U46" i="39" s="1"/>
  <c r="L11" i="46"/>
  <c r="J19" i="49"/>
  <c r="F22" i="48"/>
  <c r="I22" i="48" s="1"/>
  <c r="J17" i="49"/>
  <c r="I16" i="49"/>
  <c r="H20" i="44"/>
  <c r="J18" i="49"/>
  <c r="I16" i="47"/>
  <c r="T46" i="39" s="1"/>
  <c r="H19" i="44"/>
  <c r="H12" i="2"/>
  <c r="C25" i="48"/>
  <c r="C76" i="40"/>
  <c r="J76" i="40" s="1"/>
  <c r="C41" i="40"/>
  <c r="D24" i="48"/>
  <c r="M40" i="48"/>
  <c r="H28" i="21"/>
  <c r="H76" i="21" s="1"/>
  <c r="G76" i="21"/>
  <c r="I19" i="49"/>
  <c r="L9" i="48"/>
  <c r="G8" i="44"/>
  <c r="L12" i="21"/>
  <c r="G55" i="21"/>
  <c r="H55" i="21" s="1"/>
  <c r="I55" i="21"/>
  <c r="J55" i="21" s="1"/>
  <c r="G17" i="21"/>
  <c r="H17" i="21" s="1"/>
  <c r="G8" i="19"/>
  <c r="I17" i="21"/>
  <c r="J17" i="21" s="1"/>
  <c r="L15" i="21"/>
  <c r="K55" i="21"/>
  <c r="L55" i="21" s="1"/>
  <c r="I24" i="48"/>
  <c r="D23" i="48"/>
  <c r="E30" i="48" s="1"/>
  <c r="L21" i="21"/>
  <c r="H10" i="21"/>
  <c r="H75" i="21" s="1"/>
  <c r="J10" i="21"/>
  <c r="J75" i="21" s="1"/>
  <c r="I75" i="21"/>
  <c r="I15" i="49"/>
  <c r="L26" i="21"/>
  <c r="G10" i="19"/>
  <c r="L33" i="43"/>
  <c r="G10" i="44"/>
  <c r="J11" i="46"/>
  <c r="J33" i="46" s="1"/>
  <c r="G14" i="44"/>
  <c r="G16" i="44" s="1"/>
  <c r="H8" i="44"/>
  <c r="H22" i="44"/>
  <c r="J16" i="49"/>
  <c r="J20" i="49"/>
  <c r="E8" i="19"/>
  <c r="E17" i="21"/>
  <c r="F17" i="21" s="1"/>
  <c r="L13" i="21"/>
  <c r="F10" i="49"/>
  <c r="F26" i="47"/>
  <c r="F7" i="66"/>
  <c r="E10" i="49"/>
  <c r="E7" i="66"/>
  <c r="E26" i="47"/>
  <c r="H18" i="45"/>
  <c r="D76" i="40"/>
  <c r="D15" i="45"/>
  <c r="E17" i="44"/>
  <c r="F23" i="46" s="1"/>
  <c r="F21" i="46"/>
  <c r="F35" i="46" s="1"/>
  <c r="E24" i="2"/>
  <c r="H15" i="45"/>
  <c r="F28" i="2"/>
  <c r="F24" i="44"/>
  <c r="C18" i="45"/>
  <c r="D18" i="45" s="1"/>
  <c r="F25" i="23"/>
  <c r="Q61" i="39"/>
  <c r="D17" i="44"/>
  <c r="D23" i="46" s="1"/>
  <c r="D21" i="46"/>
  <c r="D35" i="46" s="1"/>
  <c r="D24" i="2"/>
  <c r="G25" i="45" s="1"/>
  <c r="I28" i="2"/>
  <c r="I24" i="44"/>
  <c r="I16" i="23"/>
  <c r="F27" i="43"/>
  <c r="G21" i="23"/>
  <c r="G22" i="23"/>
  <c r="E33" i="19"/>
  <c r="E29" i="19"/>
  <c r="E58" i="1"/>
  <c r="G9" i="47" s="1"/>
  <c r="E36" i="19"/>
  <c r="F29" i="23"/>
  <c r="D36" i="1"/>
  <c r="D21" i="19"/>
  <c r="D20" i="19"/>
  <c r="F31" i="23"/>
  <c r="D19" i="43"/>
  <c r="D21" i="43" s="1"/>
  <c r="D67" i="43" s="1"/>
  <c r="J39" i="48"/>
  <c r="K40" i="48"/>
  <c r="E31" i="19"/>
  <c r="I75" i="1"/>
  <c r="N35" i="43"/>
  <c r="N65" i="43" s="1"/>
  <c r="I46" i="19"/>
  <c r="N29" i="43"/>
  <c r="N64" i="43" s="1"/>
  <c r="F68" i="19"/>
  <c r="C31" i="37"/>
  <c r="C8" i="37"/>
  <c r="D68" i="19"/>
  <c r="I14" i="48"/>
  <c r="H14" i="48"/>
  <c r="E10" i="23"/>
  <c r="E8" i="23"/>
  <c r="G13" i="19"/>
  <c r="H11" i="19"/>
  <c r="E13" i="19"/>
  <c r="F11" i="19"/>
  <c r="C10" i="19"/>
  <c r="E20" i="23"/>
  <c r="E18" i="23"/>
  <c r="P12" i="39"/>
  <c r="C10" i="61"/>
  <c r="D13" i="19"/>
  <c r="C9" i="19"/>
  <c r="C11" i="61"/>
  <c r="E19" i="51"/>
  <c r="N21" i="43"/>
  <c r="N67" i="43" s="1"/>
  <c r="N44" i="43"/>
  <c r="E15" i="23"/>
  <c r="E8" i="51"/>
  <c r="E12" i="51" s="1"/>
  <c r="E43" i="23"/>
  <c r="E17" i="23"/>
  <c r="E31" i="23"/>
  <c r="E29" i="23"/>
  <c r="C23" i="19"/>
  <c r="C36" i="1"/>
  <c r="C21" i="19"/>
  <c r="P13" i="39"/>
  <c r="B19" i="43"/>
  <c r="B21" i="43" s="1"/>
  <c r="B67" i="43" s="1"/>
  <c r="C32" i="37"/>
  <c r="I57" i="19"/>
  <c r="E55" i="19"/>
  <c r="J17" i="48"/>
  <c r="F39" i="43"/>
  <c r="E73" i="1"/>
  <c r="E57" i="19" s="1"/>
  <c r="E32" i="19"/>
  <c r="C66" i="19"/>
  <c r="B3" i="66"/>
  <c r="B3" i="49"/>
  <c r="B3" i="50"/>
  <c r="B3" i="51"/>
  <c r="C40" i="37"/>
  <c r="E30" i="37"/>
  <c r="E20" i="37"/>
  <c r="I15" i="19"/>
  <c r="K24" i="23"/>
  <c r="K9" i="23"/>
  <c r="C51" i="19"/>
  <c r="G25" i="23"/>
  <c r="I23" i="19"/>
  <c r="K39" i="48"/>
  <c r="H13" i="19"/>
  <c r="E11" i="19"/>
  <c r="C49" i="19"/>
  <c r="C18" i="19"/>
  <c r="C53" i="19"/>
  <c r="F15" i="23"/>
  <c r="F17" i="23"/>
  <c r="F43" i="23"/>
  <c r="J38" i="48"/>
  <c r="J41" i="48" s="1"/>
  <c r="J11" i="48"/>
  <c r="J13" i="48" s="1"/>
  <c r="J18" i="48" s="1"/>
  <c r="F10" i="23"/>
  <c r="F8" i="23"/>
  <c r="D15" i="19"/>
  <c r="F18" i="23"/>
  <c r="D10" i="19"/>
  <c r="F20" i="23"/>
  <c r="D9" i="19"/>
  <c r="E43" i="38"/>
  <c r="B43" i="38"/>
  <c r="C44" i="37"/>
  <c r="C34" i="37" s="1"/>
  <c r="E34" i="37"/>
  <c r="D32" i="19"/>
  <c r="C21" i="37"/>
  <c r="C31" i="40"/>
  <c r="J29" i="40" s="1"/>
  <c r="D29" i="19"/>
  <c r="B46" i="38"/>
  <c r="E46" i="38"/>
  <c r="N41" i="43"/>
  <c r="N66" i="43" s="1"/>
  <c r="N46" i="43"/>
  <c r="F13" i="19"/>
  <c r="I11" i="48"/>
  <c r="I13" i="48" s="1"/>
  <c r="I18" i="48" s="1"/>
  <c r="I39" i="48"/>
  <c r="D8" i="19"/>
  <c r="C78" i="21"/>
  <c r="C8" i="19"/>
  <c r="D49" i="40"/>
  <c r="E51" i="19"/>
  <c r="H12" i="19"/>
  <c r="J16" i="48"/>
  <c r="G31" i="23"/>
  <c r="D11" i="19"/>
  <c r="E36" i="37"/>
  <c r="C46" i="37"/>
  <c r="C26" i="37" s="1"/>
  <c r="C12" i="19"/>
  <c r="D17" i="19"/>
  <c r="C77" i="21"/>
  <c r="F45" i="43"/>
  <c r="D19" i="19"/>
  <c r="D75" i="21"/>
  <c r="G43" i="49"/>
  <c r="C48" i="19"/>
  <c r="P17" i="39"/>
  <c r="D67" i="50"/>
  <c r="B39" i="43"/>
  <c r="E24" i="47"/>
  <c r="E30" i="47" s="1"/>
  <c r="E29" i="49"/>
  <c r="E31" i="49" s="1"/>
  <c r="E7" i="47"/>
  <c r="P10" i="39"/>
  <c r="E20" i="47"/>
  <c r="C73" i="1"/>
  <c r="C46" i="19" s="1"/>
  <c r="H17" i="48"/>
  <c r="G14" i="23"/>
  <c r="G16" i="23"/>
  <c r="G42" i="23"/>
  <c r="E30" i="19"/>
  <c r="C52" i="19"/>
  <c r="E36" i="1"/>
  <c r="G8" i="23"/>
  <c r="G10" i="23"/>
  <c r="R33" i="39" s="1"/>
  <c r="G20" i="23"/>
  <c r="R37" i="39" s="1"/>
  <c r="E10" i="19"/>
  <c r="G18" i="23"/>
  <c r="R36" i="39" s="1"/>
  <c r="E9" i="19"/>
  <c r="C55" i="19"/>
  <c r="E31" i="37"/>
  <c r="E38" i="37"/>
  <c r="E21" i="37"/>
  <c r="E34" i="19"/>
  <c r="D30" i="19"/>
  <c r="D66" i="19" s="1"/>
  <c r="F21" i="23"/>
  <c r="D58" i="1"/>
  <c r="C57" i="21" s="1"/>
  <c r="D57" i="21" s="1"/>
  <c r="F29" i="47"/>
  <c r="D27" i="43"/>
  <c r="F22" i="23"/>
  <c r="E8" i="37"/>
  <c r="C76" i="21"/>
  <c r="C50" i="19"/>
  <c r="E9" i="47"/>
  <c r="E14" i="47"/>
  <c r="E10" i="47"/>
  <c r="C36" i="19"/>
  <c r="C44" i="19"/>
  <c r="E8" i="47"/>
  <c r="E12" i="47"/>
  <c r="C18" i="61"/>
  <c r="P9" i="39"/>
  <c r="E15" i="47"/>
  <c r="E21" i="47"/>
  <c r="E26" i="23"/>
  <c r="C19" i="61"/>
  <c r="E11" i="47"/>
  <c r="H16" i="48"/>
  <c r="K10" i="66"/>
  <c r="K11" i="66" s="1"/>
  <c r="K12" i="66" s="1"/>
  <c r="L14" i="48"/>
  <c r="F9" i="19"/>
  <c r="F10" i="19"/>
  <c r="K14" i="48"/>
  <c r="H8" i="23"/>
  <c r="S32" i="39" s="1"/>
  <c r="F34" i="19"/>
  <c r="K29" i="47"/>
  <c r="F8" i="19"/>
  <c r="F40" i="19"/>
  <c r="H33" i="43"/>
  <c r="F41" i="19"/>
  <c r="F38" i="19"/>
  <c r="F42" i="19"/>
  <c r="N15" i="23"/>
  <c r="K30" i="47"/>
  <c r="K16" i="48"/>
  <c r="F39" i="19"/>
  <c r="G12" i="44"/>
  <c r="G17" i="2"/>
  <c r="L34" i="46" l="1"/>
  <c r="L8" i="40"/>
  <c r="U38" i="39"/>
  <c r="M38" i="48"/>
  <c r="H12" i="61"/>
  <c r="M12" i="61" s="1"/>
  <c r="M11" i="48"/>
  <c r="M13" i="48" s="1"/>
  <c r="M18" i="48" s="1"/>
  <c r="H14" i="23"/>
  <c r="H17" i="23" s="1"/>
  <c r="U39" i="39"/>
  <c r="I8" i="23"/>
  <c r="M37" i="40"/>
  <c r="I17" i="23"/>
  <c r="I43" i="23"/>
  <c r="I15" i="23"/>
  <c r="T35" i="39"/>
  <c r="I33" i="23"/>
  <c r="H32" i="19"/>
  <c r="M36" i="40"/>
  <c r="J10" i="23"/>
  <c r="K13" i="48"/>
  <c r="K18" i="48" s="1"/>
  <c r="M34" i="40"/>
  <c r="H29" i="19"/>
  <c r="L15" i="48"/>
  <c r="M38" i="40"/>
  <c r="H33" i="19"/>
  <c r="H30" i="19"/>
  <c r="L27" i="43"/>
  <c r="H21" i="23"/>
  <c r="G75" i="21"/>
  <c r="F30" i="19"/>
  <c r="H10" i="23"/>
  <c r="S33" i="39" s="1"/>
  <c r="I8" i="51"/>
  <c r="I9" i="51" s="1"/>
  <c r="H18" i="23"/>
  <c r="S36" i="39" s="1"/>
  <c r="F12" i="61"/>
  <c r="H27" i="43"/>
  <c r="K38" i="48"/>
  <c r="K41" i="48" s="1"/>
  <c r="U50" i="40"/>
  <c r="V50" i="40" s="1"/>
  <c r="M49" i="40"/>
  <c r="H16" i="23"/>
  <c r="H33" i="23"/>
  <c r="J25" i="23"/>
  <c r="M14" i="48"/>
  <c r="U34" i="39"/>
  <c r="J33" i="23"/>
  <c r="U41" i="40"/>
  <c r="V41" i="40" s="1"/>
  <c r="T32" i="39"/>
  <c r="H77" i="21"/>
  <c r="F37" i="68"/>
  <c r="H7" i="68"/>
  <c r="M39" i="40"/>
  <c r="H34" i="1"/>
  <c r="H19" i="19" s="1"/>
  <c r="M35" i="40"/>
  <c r="L33" i="46"/>
  <c r="O11" i="46"/>
  <c r="G34" i="1"/>
  <c r="T13" i="39" s="1"/>
  <c r="J8" i="23"/>
  <c r="J13" i="23" s="1"/>
  <c r="O10" i="40"/>
  <c r="J16" i="46"/>
  <c r="J34" i="46" s="1"/>
  <c r="J27" i="43"/>
  <c r="J45" i="43" s="1"/>
  <c r="J20" i="23"/>
  <c r="U37" i="39" s="1"/>
  <c r="I12" i="51"/>
  <c r="H42" i="23"/>
  <c r="K17" i="21"/>
  <c r="L17" i="21" s="1"/>
  <c r="F21" i="38"/>
  <c r="E21" i="38" s="1"/>
  <c r="G77" i="21"/>
  <c r="J16" i="23"/>
  <c r="S34" i="39"/>
  <c r="C27" i="61"/>
  <c r="G47" i="49"/>
  <c r="E27" i="61"/>
  <c r="R51" i="39"/>
  <c r="F47" i="49"/>
  <c r="D27" i="61"/>
  <c r="Q51" i="39"/>
  <c r="Z11" i="40"/>
  <c r="C16" i="38"/>
  <c r="B16" i="38" s="1"/>
  <c r="F16" i="38"/>
  <c r="E16" i="38" s="1"/>
  <c r="T26" i="39"/>
  <c r="G24" i="61"/>
  <c r="G26" i="61"/>
  <c r="Z8" i="40"/>
  <c r="C13" i="38"/>
  <c r="B13" i="38" s="1"/>
  <c r="F13" i="38"/>
  <c r="E13" i="38" s="1"/>
  <c r="Z24" i="40"/>
  <c r="F36" i="38"/>
  <c r="E36" i="38" s="1"/>
  <c r="C36" i="38"/>
  <c r="B36" i="38" s="1"/>
  <c r="J10" i="47"/>
  <c r="U9" i="39"/>
  <c r="R35" i="39"/>
  <c r="M41" i="48"/>
  <c r="L38" i="48"/>
  <c r="G12" i="61"/>
  <c r="T38" i="39"/>
  <c r="H16" i="44"/>
  <c r="D25" i="48"/>
  <c r="Z9" i="40"/>
  <c r="C14" i="38"/>
  <c r="B14" i="38" s="1"/>
  <c r="F14" i="38"/>
  <c r="E14" i="38" s="1"/>
  <c r="Z10" i="40"/>
  <c r="C15" i="38"/>
  <c r="B15" i="38" s="1"/>
  <c r="F15" i="38"/>
  <c r="E15" i="38" s="1"/>
  <c r="Z7" i="40"/>
  <c r="F12" i="38"/>
  <c r="E12" i="38" s="1"/>
  <c r="C12" i="38"/>
  <c r="B12" i="38" s="1"/>
  <c r="H48" i="49"/>
  <c r="S52" i="39"/>
  <c r="G13" i="23"/>
  <c r="R32" i="39"/>
  <c r="L11" i="48"/>
  <c r="L13" i="48" s="1"/>
  <c r="L18" i="48" s="1"/>
  <c r="H17" i="2"/>
  <c r="J13" i="51" s="1"/>
  <c r="H23" i="61"/>
  <c r="M23" i="61" s="1"/>
  <c r="Z6" i="40"/>
  <c r="F11" i="38"/>
  <c r="C11" i="38"/>
  <c r="B11" i="38" s="1"/>
  <c r="L45" i="43"/>
  <c r="E18" i="61"/>
  <c r="R8" i="39"/>
  <c r="J23" i="23"/>
  <c r="U33" i="39"/>
  <c r="Z43" i="40"/>
  <c r="F40" i="38"/>
  <c r="E40" i="38" s="1"/>
  <c r="C40" i="38"/>
  <c r="B40" i="38" s="1"/>
  <c r="H10" i="61"/>
  <c r="M10" i="61" s="1"/>
  <c r="U12" i="39"/>
  <c r="H11" i="61"/>
  <c r="M11" i="61" s="1"/>
  <c r="J18" i="23"/>
  <c r="U36" i="39" s="1"/>
  <c r="H19" i="61"/>
  <c r="M19" i="61" s="1"/>
  <c r="U15" i="39"/>
  <c r="T24" i="39"/>
  <c r="Z34" i="40"/>
  <c r="F17" i="38"/>
  <c r="E17" i="38" s="1"/>
  <c r="C17" i="38"/>
  <c r="B17" i="38" s="1"/>
  <c r="Z39" i="40"/>
  <c r="C22" i="38"/>
  <c r="B22" i="38" s="1"/>
  <c r="F22" i="38"/>
  <c r="E22" i="38" s="1"/>
  <c r="S15" i="39"/>
  <c r="M41" i="40"/>
  <c r="F11" i="61"/>
  <c r="G48" i="49"/>
  <c r="R52" i="39"/>
  <c r="F12" i="21"/>
  <c r="F75" i="21" s="1"/>
  <c r="E75" i="21"/>
  <c r="I31" i="21"/>
  <c r="J31" i="21" s="1"/>
  <c r="K25" i="67"/>
  <c r="M45" i="67"/>
  <c r="K35" i="67"/>
  <c r="Z59" i="40"/>
  <c r="C48" i="38"/>
  <c r="B48" i="38" s="1"/>
  <c r="F48" i="38"/>
  <c r="E48" i="38" s="1"/>
  <c r="M21" i="67"/>
  <c r="M31" i="67"/>
  <c r="L40" i="48"/>
  <c r="G14" i="61"/>
  <c r="T40" i="39"/>
  <c r="F40" i="50"/>
  <c r="M44" i="67"/>
  <c r="K24" i="67"/>
  <c r="K34" i="67"/>
  <c r="F36" i="50"/>
  <c r="F56" i="50"/>
  <c r="F24" i="50"/>
  <c r="F48" i="50"/>
  <c r="F44" i="50"/>
  <c r="F68" i="50"/>
  <c r="F64" i="50"/>
  <c r="F52" i="50"/>
  <c r="F60" i="50"/>
  <c r="E71" i="50"/>
  <c r="F35" i="43"/>
  <c r="F65" i="43" s="1"/>
  <c r="F21" i="47"/>
  <c r="F14" i="47"/>
  <c r="F13" i="47"/>
  <c r="F15" i="47"/>
  <c r="F8" i="47"/>
  <c r="F10" i="47"/>
  <c r="F29" i="43"/>
  <c r="F64" i="43" s="1"/>
  <c r="F19" i="51"/>
  <c r="H34" i="19"/>
  <c r="G71" i="50"/>
  <c r="G36" i="50" s="1"/>
  <c r="E57" i="21"/>
  <c r="F57" i="21" s="1"/>
  <c r="G14" i="47"/>
  <c r="G10" i="47"/>
  <c r="G21" i="47"/>
  <c r="G13" i="47"/>
  <c r="H31" i="19"/>
  <c r="F9" i="47"/>
  <c r="J41" i="23"/>
  <c r="C57" i="19"/>
  <c r="C59" i="19" s="1"/>
  <c r="M15" i="48"/>
  <c r="O45" i="40"/>
  <c r="Y49" i="40"/>
  <c r="Z49" i="40" s="1"/>
  <c r="O44" i="40"/>
  <c r="O46" i="40"/>
  <c r="O47" i="40"/>
  <c r="Y23" i="40"/>
  <c r="H29" i="40"/>
  <c r="O27" i="40" s="1"/>
  <c r="O36" i="40"/>
  <c r="O37" i="40"/>
  <c r="O35" i="40"/>
  <c r="O38" i="40"/>
  <c r="O34" i="40"/>
  <c r="H50" i="40"/>
  <c r="O6" i="40"/>
  <c r="J42" i="23"/>
  <c r="J14" i="23"/>
  <c r="U35" i="39" s="1"/>
  <c r="K27" i="21"/>
  <c r="J21" i="23"/>
  <c r="J22" i="23"/>
  <c r="F31" i="40"/>
  <c r="N10" i="40"/>
  <c r="N6" i="40"/>
  <c r="N9" i="40"/>
  <c r="J13" i="43"/>
  <c r="W13" i="40"/>
  <c r="X13" i="40" s="1"/>
  <c r="N7" i="40"/>
  <c r="N8" i="40"/>
  <c r="F31" i="19"/>
  <c r="F29" i="19"/>
  <c r="H25" i="23"/>
  <c r="L13" i="43"/>
  <c r="Y13" i="40"/>
  <c r="Z13" i="40" s="1"/>
  <c r="O11" i="40"/>
  <c r="Y27" i="40"/>
  <c r="F32" i="19"/>
  <c r="L7" i="40"/>
  <c r="L9" i="40"/>
  <c r="L10" i="40"/>
  <c r="E31" i="40"/>
  <c r="F13" i="43"/>
  <c r="F15" i="43" s="1"/>
  <c r="F68" i="43" s="1"/>
  <c r="L6" i="40"/>
  <c r="L11" i="40"/>
  <c r="G47" i="21"/>
  <c r="H47" i="21" s="1"/>
  <c r="U27" i="40"/>
  <c r="V27" i="40" s="1"/>
  <c r="M27" i="40"/>
  <c r="K31" i="21"/>
  <c r="N82" i="40"/>
  <c r="W82" i="40"/>
  <c r="X82" i="40" s="1"/>
  <c r="Y82" i="40"/>
  <c r="Z82" i="40" s="1"/>
  <c r="G37" i="40"/>
  <c r="G44" i="1" s="1"/>
  <c r="H22" i="23"/>
  <c r="O9" i="40"/>
  <c r="G31" i="21"/>
  <c r="H31" i="21" s="1"/>
  <c r="F34" i="1"/>
  <c r="S13" i="39" s="1"/>
  <c r="W27" i="40"/>
  <c r="X27" i="40" s="1"/>
  <c r="N11" i="40"/>
  <c r="F58" i="46"/>
  <c r="G26" i="44"/>
  <c r="M23" i="40"/>
  <c r="M26" i="40"/>
  <c r="U29" i="40"/>
  <c r="V29" i="40" s="1"/>
  <c r="M25" i="40"/>
  <c r="H81" i="40"/>
  <c r="O76" i="40"/>
  <c r="N73" i="40"/>
  <c r="G76" i="40"/>
  <c r="Y76" i="40" s="1"/>
  <c r="Z76" i="40" s="1"/>
  <c r="W73" i="40"/>
  <c r="X73" i="40" s="1"/>
  <c r="F58" i="1"/>
  <c r="F19" i="61" s="1"/>
  <c r="H20" i="23"/>
  <c r="S37" i="39" s="1"/>
  <c r="F33" i="19"/>
  <c r="H10" i="19"/>
  <c r="H9" i="19"/>
  <c r="H8" i="19"/>
  <c r="W23" i="40"/>
  <c r="X23" i="40" s="1"/>
  <c r="G29" i="40"/>
  <c r="U13" i="40"/>
  <c r="V13" i="40" s="1"/>
  <c r="J13" i="40"/>
  <c r="K76" i="40"/>
  <c r="Q76" i="40"/>
  <c r="R76" i="40" s="1"/>
  <c r="S76" i="40"/>
  <c r="T76" i="40" s="1"/>
  <c r="J36" i="40"/>
  <c r="J38" i="40"/>
  <c r="J34" i="40"/>
  <c r="J35" i="40"/>
  <c r="J39" i="40"/>
  <c r="J37" i="40"/>
  <c r="J31" i="40"/>
  <c r="Q49" i="40"/>
  <c r="R49" i="40" s="1"/>
  <c r="K47" i="40"/>
  <c r="K44" i="40"/>
  <c r="K45" i="40"/>
  <c r="K43" i="40"/>
  <c r="K46" i="40"/>
  <c r="S49" i="40"/>
  <c r="T49" i="40" s="1"/>
  <c r="Q41" i="40"/>
  <c r="R41" i="40" s="1"/>
  <c r="E57" i="40"/>
  <c r="E84" i="40"/>
  <c r="L83" i="40"/>
  <c r="I25" i="48"/>
  <c r="F25" i="48"/>
  <c r="J11" i="49"/>
  <c r="H12" i="44"/>
  <c r="C50" i="40"/>
  <c r="C81" i="40"/>
  <c r="J81" i="40" s="1"/>
  <c r="H36" i="19"/>
  <c r="J11" i="47"/>
  <c r="J13" i="47"/>
  <c r="J14" i="47"/>
  <c r="J12" i="47"/>
  <c r="E35" i="21"/>
  <c r="F35" i="21" s="1"/>
  <c r="G22" i="49"/>
  <c r="G7" i="47"/>
  <c r="G8" i="47"/>
  <c r="R44" i="39" s="1"/>
  <c r="G15" i="47"/>
  <c r="G24" i="47"/>
  <c r="G30" i="47" s="1"/>
  <c r="G34" i="49"/>
  <c r="G35" i="49" s="1"/>
  <c r="G23" i="47"/>
  <c r="G29" i="47" s="1"/>
  <c r="G21" i="49"/>
  <c r="I13" i="51"/>
  <c r="I17" i="47"/>
  <c r="I25" i="49"/>
  <c r="I12" i="49"/>
  <c r="I23" i="49"/>
  <c r="J27" i="21"/>
  <c r="J76" i="21" s="1"/>
  <c r="I76" i="21"/>
  <c r="J9" i="47"/>
  <c r="G9" i="66"/>
  <c r="G10" i="66" s="1"/>
  <c r="G11" i="66" s="1"/>
  <c r="G12" i="66" s="1"/>
  <c r="G8" i="51"/>
  <c r="G19" i="51"/>
  <c r="I28" i="48"/>
  <c r="D34" i="48"/>
  <c r="I29" i="48"/>
  <c r="C30" i="48"/>
  <c r="E21" i="50"/>
  <c r="F7" i="51" s="1"/>
  <c r="F40" i="49"/>
  <c r="F45" i="49" s="1"/>
  <c r="E40" i="49"/>
  <c r="E45" i="49" s="1"/>
  <c r="D21" i="50"/>
  <c r="E7" i="51" s="1"/>
  <c r="E23" i="51" s="1"/>
  <c r="H25" i="45"/>
  <c r="D81" i="40"/>
  <c r="E24" i="44"/>
  <c r="E28" i="2"/>
  <c r="H27" i="46"/>
  <c r="F28" i="44"/>
  <c r="H29" i="46" s="1"/>
  <c r="F41" i="49"/>
  <c r="I28" i="44"/>
  <c r="N29" i="46" s="1"/>
  <c r="N27" i="46"/>
  <c r="G41" i="49"/>
  <c r="D24" i="44"/>
  <c r="D28" i="2"/>
  <c r="C25" i="45"/>
  <c r="F28" i="47"/>
  <c r="G19" i="23"/>
  <c r="G35" i="23"/>
  <c r="F36" i="23"/>
  <c r="F11" i="23"/>
  <c r="F41" i="23"/>
  <c r="F23" i="23"/>
  <c r="I25" i="19"/>
  <c r="E9" i="51"/>
  <c r="F24" i="23"/>
  <c r="F30" i="47"/>
  <c r="D50" i="40"/>
  <c r="K49" i="40" s="1"/>
  <c r="E75" i="1"/>
  <c r="E24" i="23"/>
  <c r="E21" i="49"/>
  <c r="E34" i="49"/>
  <c r="E35" i="49" s="1"/>
  <c r="P8" i="39"/>
  <c r="E23" i="47"/>
  <c r="E29" i="47" s="1"/>
  <c r="D31" i="40"/>
  <c r="D23" i="19"/>
  <c r="C75" i="1"/>
  <c r="B29" i="43"/>
  <c r="B64" i="43" s="1"/>
  <c r="B35" i="43"/>
  <c r="B65" i="43" s="1"/>
  <c r="C62" i="19"/>
  <c r="E28" i="37"/>
  <c r="K28" i="47"/>
  <c r="E23" i="37"/>
  <c r="E18" i="37" s="1"/>
  <c r="E33" i="37"/>
  <c r="F72" i="38" s="1"/>
  <c r="C20" i="37"/>
  <c r="C30" i="37"/>
  <c r="C38" i="37"/>
  <c r="I59" i="19"/>
  <c r="D62" i="19"/>
  <c r="C25" i="19"/>
  <c r="D71" i="50"/>
  <c r="D44" i="43"/>
  <c r="D15" i="43"/>
  <c r="D68" i="43" s="1"/>
  <c r="D76" i="21"/>
  <c r="D36" i="19"/>
  <c r="G15" i="23"/>
  <c r="G30" i="23"/>
  <c r="G17" i="23"/>
  <c r="G43" i="23"/>
  <c r="D64" i="19"/>
  <c r="D45" i="43"/>
  <c r="D78" i="21"/>
  <c r="C33" i="37"/>
  <c r="C36" i="37"/>
  <c r="C15" i="19"/>
  <c r="E46" i="19"/>
  <c r="E59" i="19" s="1"/>
  <c r="G11" i="47"/>
  <c r="G12" i="47"/>
  <c r="G26" i="23"/>
  <c r="E44" i="19"/>
  <c r="B46" i="43"/>
  <c r="B41" i="43"/>
  <c r="B66" i="43" s="1"/>
  <c r="F46" i="43"/>
  <c r="F41" i="43"/>
  <c r="F66" i="43" s="1"/>
  <c r="G28" i="47"/>
  <c r="G36" i="23"/>
  <c r="C64" i="19"/>
  <c r="P45" i="39"/>
  <c r="E28" i="47"/>
  <c r="G23" i="23"/>
  <c r="G41" i="23"/>
  <c r="C68" i="19"/>
  <c r="F35" i="23"/>
  <c r="F19" i="23"/>
  <c r="E19" i="23"/>
  <c r="E35" i="23"/>
  <c r="P36" i="39"/>
  <c r="E28" i="23"/>
  <c r="E9" i="23"/>
  <c r="P32" i="39"/>
  <c r="E40" i="23"/>
  <c r="E13" i="23"/>
  <c r="G11" i="23"/>
  <c r="G40" i="23"/>
  <c r="G28" i="23"/>
  <c r="G9" i="23"/>
  <c r="B15" i="43"/>
  <c r="B68" i="43" s="1"/>
  <c r="B44" i="43"/>
  <c r="E36" i="23"/>
  <c r="P37" i="39"/>
  <c r="E23" i="23"/>
  <c r="E11" i="23"/>
  <c r="E41" i="23"/>
  <c r="E27" i="47"/>
  <c r="P44" i="39"/>
  <c r="F12" i="47"/>
  <c r="D73" i="1"/>
  <c r="E72" i="21" s="1"/>
  <c r="F72" i="21" s="1"/>
  <c r="F11" i="47"/>
  <c r="F26" i="23"/>
  <c r="D44" i="19"/>
  <c r="E23" i="19"/>
  <c r="G24" i="23"/>
  <c r="F21" i="43"/>
  <c r="F67" i="43" s="1"/>
  <c r="E15" i="19"/>
  <c r="P51" i="39"/>
  <c r="E47" i="49"/>
  <c r="F28" i="23"/>
  <c r="F9" i="23"/>
  <c r="F40" i="23"/>
  <c r="F13" i="23"/>
  <c r="D77" i="21"/>
  <c r="G21" i="19"/>
  <c r="G17" i="44"/>
  <c r="J23" i="46" s="1"/>
  <c r="J21" i="46"/>
  <c r="J35" i="46" s="1"/>
  <c r="G24" i="2"/>
  <c r="E11" i="38"/>
  <c r="S60" i="39"/>
  <c r="F62" i="19"/>
  <c r="H11" i="23"/>
  <c r="H45" i="43"/>
  <c r="J26" i="23"/>
  <c r="H44" i="19"/>
  <c r="H28" i="23"/>
  <c r="H40" i="23"/>
  <c r="H13" i="23"/>
  <c r="L75" i="21"/>
  <c r="H17" i="19" l="1"/>
  <c r="H26" i="23"/>
  <c r="H41" i="23"/>
  <c r="H15" i="23"/>
  <c r="H9" i="66"/>
  <c r="H23" i="23"/>
  <c r="I29" i="23"/>
  <c r="H43" i="23"/>
  <c r="G19" i="19"/>
  <c r="F44" i="19"/>
  <c r="H9" i="47"/>
  <c r="H28" i="47" s="1"/>
  <c r="G18" i="19"/>
  <c r="F36" i="19"/>
  <c r="J19" i="23"/>
  <c r="G36" i="1"/>
  <c r="G17" i="19"/>
  <c r="H30" i="23"/>
  <c r="I30" i="23"/>
  <c r="G20" i="19"/>
  <c r="H14" i="47"/>
  <c r="F73" i="1"/>
  <c r="G72" i="21" s="1"/>
  <c r="H72" i="21" s="1"/>
  <c r="H8" i="51"/>
  <c r="S35" i="39"/>
  <c r="H21" i="47"/>
  <c r="I28" i="23"/>
  <c r="I40" i="23"/>
  <c r="I13" i="23"/>
  <c r="H35" i="23"/>
  <c r="H19" i="23"/>
  <c r="J36" i="23"/>
  <c r="J19" i="43"/>
  <c r="H20" i="19"/>
  <c r="K33" i="21"/>
  <c r="L33" i="21" s="1"/>
  <c r="L19" i="43"/>
  <c r="I31" i="23"/>
  <c r="H13" i="47"/>
  <c r="J31" i="23"/>
  <c r="H36" i="23"/>
  <c r="H11" i="47"/>
  <c r="H24" i="2"/>
  <c r="J13" i="49" s="1"/>
  <c r="J35" i="23"/>
  <c r="H36" i="1"/>
  <c r="J34" i="49" s="1"/>
  <c r="J29" i="23"/>
  <c r="U13" i="39"/>
  <c r="H31" i="40"/>
  <c r="O13" i="40" s="1"/>
  <c r="H18" i="19"/>
  <c r="G57" i="21"/>
  <c r="H57" i="21" s="1"/>
  <c r="H21" i="19"/>
  <c r="F44" i="43"/>
  <c r="H17" i="44"/>
  <c r="L23" i="46" s="1"/>
  <c r="J44" i="43"/>
  <c r="J25" i="49"/>
  <c r="J26" i="49" s="1"/>
  <c r="H28" i="61" s="1"/>
  <c r="M28" i="61" s="1"/>
  <c r="J40" i="23"/>
  <c r="J28" i="23"/>
  <c r="J12" i="49"/>
  <c r="U53" i="39" s="1"/>
  <c r="O41" i="40"/>
  <c r="AA50" i="40"/>
  <c r="O23" i="40"/>
  <c r="J11" i="23"/>
  <c r="L21" i="46"/>
  <c r="J23" i="49"/>
  <c r="U52" i="39" s="1"/>
  <c r="U32" i="39"/>
  <c r="I41" i="49"/>
  <c r="T53" i="39"/>
  <c r="F66" i="19"/>
  <c r="Z27" i="40"/>
  <c r="C39" i="38"/>
  <c r="B39" i="38" s="1"/>
  <c r="F39" i="38"/>
  <c r="T8" i="39"/>
  <c r="J28" i="47"/>
  <c r="U45" i="39"/>
  <c r="L41" i="48"/>
  <c r="Z23" i="40"/>
  <c r="F35" i="38"/>
  <c r="E35" i="38" s="1"/>
  <c r="C35" i="38"/>
  <c r="M35" i="67"/>
  <c r="M25" i="67"/>
  <c r="J17" i="47"/>
  <c r="U26" i="39"/>
  <c r="H24" i="61"/>
  <c r="M24" i="61" s="1"/>
  <c r="H26" i="61"/>
  <c r="M26" i="61" s="1"/>
  <c r="H10" i="47"/>
  <c r="S9" i="39"/>
  <c r="K43" i="21"/>
  <c r="H35" i="50"/>
  <c r="G48" i="1"/>
  <c r="G32" i="19" s="1"/>
  <c r="I43" i="21"/>
  <c r="I48" i="49"/>
  <c r="T52" i="39"/>
  <c r="F73" i="50"/>
  <c r="M24" i="67"/>
  <c r="M34" i="67"/>
  <c r="E56" i="50"/>
  <c r="E40" i="50"/>
  <c r="E32" i="50"/>
  <c r="E24" i="50"/>
  <c r="E64" i="50"/>
  <c r="E36" i="50"/>
  <c r="E60" i="50"/>
  <c r="E44" i="50"/>
  <c r="E28" i="50"/>
  <c r="E48" i="50"/>
  <c r="E52" i="50"/>
  <c r="E68" i="50"/>
  <c r="G44" i="50"/>
  <c r="G64" i="50"/>
  <c r="G68" i="50"/>
  <c r="G60" i="50"/>
  <c r="G48" i="50"/>
  <c r="G52" i="50"/>
  <c r="G32" i="50"/>
  <c r="G56" i="50"/>
  <c r="G28" i="50"/>
  <c r="G24" i="50"/>
  <c r="G40" i="50"/>
  <c r="D29" i="43"/>
  <c r="D64" i="43" s="1"/>
  <c r="G49" i="49"/>
  <c r="G15" i="51"/>
  <c r="C72" i="21"/>
  <c r="D72" i="21" s="1"/>
  <c r="H12" i="47"/>
  <c r="D28" i="50"/>
  <c r="D44" i="50"/>
  <c r="D52" i="50"/>
  <c r="D60" i="50"/>
  <c r="D68" i="50"/>
  <c r="D48" i="50"/>
  <c r="D56" i="50"/>
  <c r="D32" i="50"/>
  <c r="D64" i="50"/>
  <c r="D24" i="50"/>
  <c r="D40" i="50"/>
  <c r="D36" i="50"/>
  <c r="N25" i="40"/>
  <c r="N24" i="40"/>
  <c r="N26" i="40"/>
  <c r="W29" i="40"/>
  <c r="X29" i="40" s="1"/>
  <c r="F21" i="19"/>
  <c r="F18" i="19"/>
  <c r="F19" i="19"/>
  <c r="F17" i="19"/>
  <c r="G33" i="21"/>
  <c r="H33" i="21" s="1"/>
  <c r="H19" i="43"/>
  <c r="F20" i="19"/>
  <c r="H29" i="23"/>
  <c r="H31" i="23"/>
  <c r="F36" i="1"/>
  <c r="S8" i="39" s="1"/>
  <c r="U31" i="40"/>
  <c r="V31" i="40" s="1"/>
  <c r="M13" i="40"/>
  <c r="L31" i="21"/>
  <c r="O49" i="40"/>
  <c r="L13" i="40"/>
  <c r="L29" i="40"/>
  <c r="L27" i="21"/>
  <c r="L76" i="21" s="1"/>
  <c r="K76" i="21"/>
  <c r="H10" i="66"/>
  <c r="H11" i="66" s="1"/>
  <c r="H12" i="66" s="1"/>
  <c r="G31" i="40"/>
  <c r="J8" i="51"/>
  <c r="J30" i="23"/>
  <c r="J43" i="23"/>
  <c r="J17" i="23"/>
  <c r="J15" i="23"/>
  <c r="F46" i="19"/>
  <c r="H83" i="40"/>
  <c r="O81" i="40"/>
  <c r="G41" i="40"/>
  <c r="N37" i="40" s="1"/>
  <c r="W37" i="40"/>
  <c r="X37" i="40" s="1"/>
  <c r="Y37" i="40"/>
  <c r="I33" i="21"/>
  <c r="J33" i="21" s="1"/>
  <c r="I30" i="48"/>
  <c r="G81" i="40"/>
  <c r="W76" i="40"/>
  <c r="X76" i="40" s="1"/>
  <c r="N76" i="40"/>
  <c r="M29" i="40"/>
  <c r="N27" i="40"/>
  <c r="N23" i="40"/>
  <c r="O26" i="40"/>
  <c r="O25" i="40"/>
  <c r="Y29" i="40"/>
  <c r="Z29" i="40" s="1"/>
  <c r="O29" i="40"/>
  <c r="O24" i="40"/>
  <c r="J49" i="40"/>
  <c r="L57" i="40"/>
  <c r="M55" i="40"/>
  <c r="M54" i="40"/>
  <c r="M60" i="40"/>
  <c r="M53" i="40"/>
  <c r="M59" i="40"/>
  <c r="M56" i="40"/>
  <c r="M58" i="40"/>
  <c r="F64" i="40"/>
  <c r="M62" i="40" s="1"/>
  <c r="M57" i="40"/>
  <c r="Q31" i="40"/>
  <c r="R31" i="40" s="1"/>
  <c r="K29" i="40"/>
  <c r="S31" i="40"/>
  <c r="T31" i="40" s="1"/>
  <c r="K13" i="40"/>
  <c r="U57" i="40"/>
  <c r="V57" i="40" s="1"/>
  <c r="Q81" i="40"/>
  <c r="R81" i="40" s="1"/>
  <c r="K81" i="40"/>
  <c r="S81" i="40"/>
  <c r="T81" i="40" s="1"/>
  <c r="Q50" i="40"/>
  <c r="R50" i="40" s="1"/>
  <c r="S50" i="40"/>
  <c r="T50" i="40" s="1"/>
  <c r="K41" i="40"/>
  <c r="J41" i="40"/>
  <c r="E25" i="19"/>
  <c r="C83" i="40"/>
  <c r="I22" i="47"/>
  <c r="I13" i="49"/>
  <c r="G23" i="19"/>
  <c r="I23" i="47"/>
  <c r="I29" i="47" s="1"/>
  <c r="I34" i="49"/>
  <c r="I26" i="49"/>
  <c r="I19" i="47"/>
  <c r="I8" i="66"/>
  <c r="I9" i="66" s="1"/>
  <c r="I10" i="66" s="1"/>
  <c r="I22" i="49"/>
  <c r="I18" i="47"/>
  <c r="T47" i="39" s="1"/>
  <c r="G12" i="51"/>
  <c r="G9" i="51"/>
  <c r="G11" i="51" s="1"/>
  <c r="R56" i="39" s="1"/>
  <c r="I14" i="51"/>
  <c r="E11" i="51"/>
  <c r="P56" i="39" s="1"/>
  <c r="F23" i="51"/>
  <c r="G29" i="45"/>
  <c r="D25" i="45"/>
  <c r="D83" i="40"/>
  <c r="F43" i="49"/>
  <c r="G27" i="49"/>
  <c r="G32" i="49" s="1"/>
  <c r="E28" i="44"/>
  <c r="F29" i="46" s="1"/>
  <c r="F27" i="46"/>
  <c r="F27" i="49"/>
  <c r="F32" i="49" s="1"/>
  <c r="C29" i="45"/>
  <c r="D29" i="45" s="1"/>
  <c r="D28" i="44"/>
  <c r="D29" i="46" s="1"/>
  <c r="D27" i="46"/>
  <c r="C23" i="37"/>
  <c r="C18" i="37" s="1"/>
  <c r="E49" i="37"/>
  <c r="E50" i="37" s="1"/>
  <c r="D75" i="1"/>
  <c r="D41" i="43"/>
  <c r="D66" i="43" s="1"/>
  <c r="D57" i="19"/>
  <c r="D35" i="43"/>
  <c r="D65" i="43" s="1"/>
  <c r="G27" i="47"/>
  <c r="D46" i="19"/>
  <c r="F27" i="47"/>
  <c r="D25" i="19"/>
  <c r="Q60" i="39"/>
  <c r="C28" i="37"/>
  <c r="P60" i="39"/>
  <c r="E14" i="51"/>
  <c r="K27" i="47"/>
  <c r="F57" i="19"/>
  <c r="H41" i="43"/>
  <c r="H66" i="43" s="1"/>
  <c r="H29" i="43"/>
  <c r="H64" i="43" s="1"/>
  <c r="H35" i="43"/>
  <c r="H65" i="43" s="1"/>
  <c r="S64" i="39"/>
  <c r="G24" i="44"/>
  <c r="G28" i="2"/>
  <c r="G15" i="19"/>
  <c r="I9" i="23"/>
  <c r="S45" i="39" l="1"/>
  <c r="H12" i="51"/>
  <c r="H14" i="51" s="1"/>
  <c r="H9" i="51"/>
  <c r="H11" i="51" s="1"/>
  <c r="S56" i="39" s="1"/>
  <c r="H28" i="2"/>
  <c r="J27" i="49" s="1"/>
  <c r="J32" i="49" s="1"/>
  <c r="J22" i="47"/>
  <c r="H24" i="44"/>
  <c r="K35" i="21"/>
  <c r="J41" i="49"/>
  <c r="J21" i="43"/>
  <c r="J67" i="43" s="1"/>
  <c r="J43" i="49"/>
  <c r="U55" i="39"/>
  <c r="J18" i="47"/>
  <c r="U47" i="39" s="1"/>
  <c r="J10" i="51"/>
  <c r="J22" i="49"/>
  <c r="H18" i="61"/>
  <c r="M18" i="61" s="1"/>
  <c r="J23" i="47"/>
  <c r="J29" i="47" s="1"/>
  <c r="J8" i="47"/>
  <c r="J15" i="47"/>
  <c r="J9" i="23"/>
  <c r="J15" i="43"/>
  <c r="J68" i="43" s="1"/>
  <c r="H15" i="19"/>
  <c r="J24" i="23"/>
  <c r="L21" i="43"/>
  <c r="L67" i="43" s="1"/>
  <c r="I35" i="21"/>
  <c r="J35" i="21" s="1"/>
  <c r="M31" i="40"/>
  <c r="AA31" i="40"/>
  <c r="L15" i="43"/>
  <c r="L68" i="43" s="1"/>
  <c r="J8" i="66"/>
  <c r="J9" i="66" s="1"/>
  <c r="J10" i="66" s="1"/>
  <c r="U8" i="39"/>
  <c r="L44" i="43"/>
  <c r="H23" i="19"/>
  <c r="L31" i="40"/>
  <c r="F23" i="19"/>
  <c r="L35" i="46"/>
  <c r="O21" i="46"/>
  <c r="J48" i="49"/>
  <c r="F75" i="1"/>
  <c r="B75" i="1" s="1"/>
  <c r="J19" i="47"/>
  <c r="O31" i="40"/>
  <c r="C55" i="38"/>
  <c r="C58" i="38" s="1"/>
  <c r="C72" i="38" s="1"/>
  <c r="J36" i="49"/>
  <c r="T15" i="39"/>
  <c r="I10" i="23"/>
  <c r="G31" i="19"/>
  <c r="G33" i="19"/>
  <c r="I22" i="23"/>
  <c r="I18" i="23"/>
  <c r="G29" i="19"/>
  <c r="G10" i="61"/>
  <c r="I20" i="23"/>
  <c r="I25" i="23"/>
  <c r="I21" i="23"/>
  <c r="G30" i="19"/>
  <c r="G11" i="61"/>
  <c r="G58" i="1"/>
  <c r="I9" i="47" s="1"/>
  <c r="G34" i="19"/>
  <c r="I47" i="21"/>
  <c r="J47" i="21" s="1"/>
  <c r="K47" i="21"/>
  <c r="L47" i="21" s="1"/>
  <c r="L43" i="21"/>
  <c r="L77" i="21" s="1"/>
  <c r="K77" i="21"/>
  <c r="G25" i="61"/>
  <c r="T27" i="39"/>
  <c r="F18" i="61"/>
  <c r="G28" i="61"/>
  <c r="T55" i="39"/>
  <c r="Z37" i="40"/>
  <c r="F20" i="38"/>
  <c r="C20" i="38"/>
  <c r="J43" i="21"/>
  <c r="J77" i="21" s="1"/>
  <c r="I77" i="21"/>
  <c r="E73" i="50"/>
  <c r="G73" i="50"/>
  <c r="G83" i="40"/>
  <c r="W81" i="40"/>
  <c r="X81" i="40" s="1"/>
  <c r="N81" i="40"/>
  <c r="Y81" i="40"/>
  <c r="Z81" i="40" s="1"/>
  <c r="N13" i="40"/>
  <c r="W31" i="40"/>
  <c r="X31" i="40" s="1"/>
  <c r="Y31" i="40"/>
  <c r="Z31" i="40" s="1"/>
  <c r="E39" i="38"/>
  <c r="F51" i="38"/>
  <c r="H57" i="40"/>
  <c r="O83" i="40"/>
  <c r="N29" i="40"/>
  <c r="B35" i="38"/>
  <c r="C51" i="38"/>
  <c r="N38" i="40"/>
  <c r="N34" i="40"/>
  <c r="G50" i="40"/>
  <c r="N35" i="40"/>
  <c r="N36" i="40"/>
  <c r="W41" i="40"/>
  <c r="X41" i="40" s="1"/>
  <c r="N39" i="40"/>
  <c r="Y41" i="40"/>
  <c r="Z41" i="40" s="1"/>
  <c r="H21" i="43"/>
  <c r="H67" i="43" s="1"/>
  <c r="H44" i="43"/>
  <c r="J9" i="51"/>
  <c r="J12" i="51"/>
  <c r="J14" i="51" s="1"/>
  <c r="J24" i="51" s="1"/>
  <c r="F15" i="19"/>
  <c r="H23" i="47"/>
  <c r="H29" i="47" s="1"/>
  <c r="H9" i="23"/>
  <c r="H15" i="47"/>
  <c r="G35" i="21"/>
  <c r="H35" i="21" s="1"/>
  <c r="H15" i="43"/>
  <c r="H68" i="43" s="1"/>
  <c r="H8" i="47"/>
  <c r="H22" i="49"/>
  <c r="H24" i="47"/>
  <c r="H30" i="47" s="1"/>
  <c r="H24" i="23"/>
  <c r="H34" i="49"/>
  <c r="H35" i="49" s="1"/>
  <c r="H19" i="51"/>
  <c r="H21" i="49"/>
  <c r="H7" i="47"/>
  <c r="F64" i="19"/>
  <c r="K31" i="40"/>
  <c r="L53" i="40"/>
  <c r="L60" i="40"/>
  <c r="L54" i="40"/>
  <c r="L55" i="40"/>
  <c r="L56" i="40"/>
  <c r="L59" i="40"/>
  <c r="L58" i="40"/>
  <c r="E64" i="40"/>
  <c r="L62" i="40" s="1"/>
  <c r="K83" i="40"/>
  <c r="D57" i="40"/>
  <c r="Q83" i="40"/>
  <c r="R83" i="40" s="1"/>
  <c r="S83" i="40"/>
  <c r="T83" i="40" s="1"/>
  <c r="C57" i="40"/>
  <c r="C84" i="40" s="1"/>
  <c r="J83" i="40"/>
  <c r="F65" i="40"/>
  <c r="M50" i="40"/>
  <c r="M64" i="40" s="1"/>
  <c r="U62" i="40"/>
  <c r="V62" i="40" s="1"/>
  <c r="H24" i="51"/>
  <c r="G14" i="51"/>
  <c r="G16" i="51" s="1"/>
  <c r="G18" i="51" s="1"/>
  <c r="G17" i="51"/>
  <c r="G20" i="51" s="1"/>
  <c r="G21" i="51" s="1"/>
  <c r="I14" i="49"/>
  <c r="I33" i="49"/>
  <c r="I35" i="49" s="1"/>
  <c r="I21" i="49"/>
  <c r="I27" i="49"/>
  <c r="I32" i="49" s="1"/>
  <c r="I24" i="51"/>
  <c r="G25" i="19"/>
  <c r="I43" i="49"/>
  <c r="I10" i="51"/>
  <c r="I11" i="51" s="1"/>
  <c r="T56" i="39" s="1"/>
  <c r="L35" i="21"/>
  <c r="D73" i="50"/>
  <c r="E15" i="51" s="1"/>
  <c r="E17" i="51" s="1"/>
  <c r="G25" i="51"/>
  <c r="H29" i="45"/>
  <c r="G32" i="45"/>
  <c r="G31" i="45"/>
  <c r="F42" i="49"/>
  <c r="D32" i="45"/>
  <c r="D31" i="45"/>
  <c r="C31" i="45"/>
  <c r="C32" i="45"/>
  <c r="G42" i="49"/>
  <c r="C49" i="37"/>
  <c r="C50" i="37" s="1"/>
  <c r="P64" i="39"/>
  <c r="E24" i="51"/>
  <c r="D59" i="19"/>
  <c r="Q64" i="39"/>
  <c r="F24" i="51"/>
  <c r="F59" i="19"/>
  <c r="J27" i="46"/>
  <c r="G28" i="44"/>
  <c r="J29" i="46" s="1"/>
  <c r="J21" i="49" l="1"/>
  <c r="H25" i="61"/>
  <c r="M25" i="61" s="1"/>
  <c r="H28" i="44"/>
  <c r="L29" i="46" s="1"/>
  <c r="J14" i="49"/>
  <c r="U54" i="39" s="1"/>
  <c r="J33" i="49"/>
  <c r="J35" i="49" s="1"/>
  <c r="U27" i="39"/>
  <c r="L27" i="46"/>
  <c r="O27" i="46" s="1"/>
  <c r="F25" i="19"/>
  <c r="N31" i="40"/>
  <c r="H25" i="19"/>
  <c r="J27" i="47"/>
  <c r="U44" i="39"/>
  <c r="J11" i="51"/>
  <c r="U56" i="39" s="1"/>
  <c r="Y83" i="40"/>
  <c r="Z83" i="40" s="1"/>
  <c r="I36" i="49"/>
  <c r="H15" i="51"/>
  <c r="H25" i="51" s="1"/>
  <c r="E38" i="68"/>
  <c r="E39" i="68" s="1"/>
  <c r="I28" i="47"/>
  <c r="T45" i="39"/>
  <c r="K43" i="67"/>
  <c r="H66" i="1"/>
  <c r="H66" i="40"/>
  <c r="H62" i="40"/>
  <c r="AA62" i="40" s="1"/>
  <c r="G18" i="61"/>
  <c r="T9" i="39"/>
  <c r="I10" i="47"/>
  <c r="I13" i="47"/>
  <c r="K57" i="21"/>
  <c r="L57" i="21" s="1"/>
  <c r="I14" i="47"/>
  <c r="I57" i="21"/>
  <c r="J57" i="21" s="1"/>
  <c r="I26" i="23"/>
  <c r="G44" i="19"/>
  <c r="I11" i="47"/>
  <c r="I12" i="47"/>
  <c r="I8" i="47"/>
  <c r="I15" i="47"/>
  <c r="I24" i="23"/>
  <c r="T36" i="39"/>
  <c r="I35" i="23"/>
  <c r="I19" i="23"/>
  <c r="B20" i="38"/>
  <c r="C24" i="38"/>
  <c r="C68" i="38" s="1"/>
  <c r="G36" i="19"/>
  <c r="T33" i="39"/>
  <c r="I11" i="23"/>
  <c r="I41" i="23"/>
  <c r="I23" i="23"/>
  <c r="I42" i="49"/>
  <c r="T54" i="39"/>
  <c r="H27" i="47"/>
  <c r="S44" i="39"/>
  <c r="J42" i="49"/>
  <c r="I11" i="66"/>
  <c r="I12" i="66" s="1"/>
  <c r="I36" i="23"/>
  <c r="T37" i="39"/>
  <c r="G19" i="61"/>
  <c r="E20" i="38"/>
  <c r="F24" i="38"/>
  <c r="F68" i="38" s="1"/>
  <c r="J11" i="66"/>
  <c r="J12" i="66" s="1"/>
  <c r="H49" i="49"/>
  <c r="F49" i="49"/>
  <c r="F15" i="51"/>
  <c r="Q63" i="39" s="1"/>
  <c r="U64" i="40"/>
  <c r="V64" i="40" s="1"/>
  <c r="N49" i="40"/>
  <c r="W50" i="40"/>
  <c r="X50" i="40" s="1"/>
  <c r="Y50" i="40"/>
  <c r="Z50" i="40" s="1"/>
  <c r="F60" i="38"/>
  <c r="F71" i="38"/>
  <c r="F73" i="38" s="1"/>
  <c r="N41" i="40"/>
  <c r="C71" i="38"/>
  <c r="C73" i="38" s="1"/>
  <c r="H84" i="40"/>
  <c r="N83" i="40"/>
  <c r="G57" i="40"/>
  <c r="W83" i="40"/>
  <c r="X83" i="40" s="1"/>
  <c r="Q57" i="40"/>
  <c r="R57" i="40" s="1"/>
  <c r="K57" i="40"/>
  <c r="S57" i="40"/>
  <c r="T57" i="40" s="1"/>
  <c r="D84" i="40"/>
  <c r="E65" i="40"/>
  <c r="L50" i="40"/>
  <c r="L64" i="40" s="1"/>
  <c r="G24" i="51"/>
  <c r="E16" i="51"/>
  <c r="E18" i="51" s="1"/>
  <c r="E49" i="49"/>
  <c r="G26" i="51"/>
  <c r="H31" i="45"/>
  <c r="H32" i="45"/>
  <c r="P63" i="39"/>
  <c r="E25" i="51"/>
  <c r="E20" i="51"/>
  <c r="E21" i="51" s="1"/>
  <c r="S63" i="39"/>
  <c r="O57" i="40" l="1"/>
  <c r="H17" i="51"/>
  <c r="H20" i="51" s="1"/>
  <c r="H21" i="51" s="1"/>
  <c r="H16" i="51"/>
  <c r="H18" i="51" s="1"/>
  <c r="H26" i="51" s="1"/>
  <c r="B69" i="38"/>
  <c r="C60" i="38"/>
  <c r="H71" i="1"/>
  <c r="H52" i="19" s="1"/>
  <c r="I27" i="47"/>
  <c r="T44" i="39"/>
  <c r="M43" i="67"/>
  <c r="K38" i="67"/>
  <c r="G66" i="1"/>
  <c r="K65" i="21" s="1"/>
  <c r="G66" i="40"/>
  <c r="I43" i="67"/>
  <c r="G62" i="40"/>
  <c r="F16" i="51"/>
  <c r="F18" i="51" s="1"/>
  <c r="F17" i="51"/>
  <c r="F20" i="51" s="1"/>
  <c r="F21" i="51" s="1"/>
  <c r="F25" i="51"/>
  <c r="B74" i="38"/>
  <c r="G84" i="40"/>
  <c r="W57" i="40"/>
  <c r="X57" i="40" s="1"/>
  <c r="Y57" i="40"/>
  <c r="Z57" i="40" s="1"/>
  <c r="O58" i="40"/>
  <c r="O54" i="40"/>
  <c r="O55" i="40"/>
  <c r="O60" i="40"/>
  <c r="H64" i="40"/>
  <c r="O53" i="40"/>
  <c r="O59" i="40"/>
  <c r="O56" i="40"/>
  <c r="J53" i="40"/>
  <c r="J58" i="40"/>
  <c r="J54" i="40"/>
  <c r="J60" i="40"/>
  <c r="J56" i="40"/>
  <c r="J55" i="40"/>
  <c r="J59" i="40"/>
  <c r="C64" i="40"/>
  <c r="J62" i="40" s="1"/>
  <c r="J57" i="40"/>
  <c r="Q62" i="40"/>
  <c r="R62" i="40" s="1"/>
  <c r="K53" i="40"/>
  <c r="K60" i="40"/>
  <c r="K58" i="40"/>
  <c r="K54" i="40"/>
  <c r="K55" i="40"/>
  <c r="K56" i="40"/>
  <c r="K59" i="40"/>
  <c r="D64" i="40"/>
  <c r="K62" i="40" s="1"/>
  <c r="S62" i="40"/>
  <c r="T62" i="40" s="1"/>
  <c r="P62" i="39"/>
  <c r="S62" i="39"/>
  <c r="M23" i="67" l="1"/>
  <c r="M18" i="67" s="1"/>
  <c r="M33" i="67"/>
  <c r="M28" i="67" s="1"/>
  <c r="M38" i="67"/>
  <c r="I23" i="67"/>
  <c r="I18" i="67" s="1"/>
  <c r="K13" i="67"/>
  <c r="I33" i="67"/>
  <c r="I28" i="67" s="1"/>
  <c r="I38" i="67"/>
  <c r="I65" i="21"/>
  <c r="G71" i="1"/>
  <c r="K70" i="21" s="1"/>
  <c r="L70" i="21" s="1"/>
  <c r="J29" i="49"/>
  <c r="J31" i="49" s="1"/>
  <c r="U17" i="39"/>
  <c r="U10" i="39"/>
  <c r="J20" i="47"/>
  <c r="J24" i="47"/>
  <c r="J30" i="47" s="1"/>
  <c r="I67" i="50"/>
  <c r="I71" i="50" s="1"/>
  <c r="H51" i="19"/>
  <c r="H50" i="19"/>
  <c r="H54" i="19"/>
  <c r="M17" i="48"/>
  <c r="H48" i="19"/>
  <c r="M16" i="48"/>
  <c r="J39" i="43"/>
  <c r="H53" i="19"/>
  <c r="J19" i="51"/>
  <c r="H49" i="19"/>
  <c r="H55" i="19"/>
  <c r="J21" i="47"/>
  <c r="H73" i="1"/>
  <c r="L39" i="43"/>
  <c r="J7" i="47"/>
  <c r="J24" i="49"/>
  <c r="J37" i="49" s="1"/>
  <c r="G8" i="68" s="1"/>
  <c r="G9" i="68" s="1"/>
  <c r="H57" i="19"/>
  <c r="L65" i="21"/>
  <c r="L78" i="21" s="1"/>
  <c r="K78" i="21"/>
  <c r="Q62" i="39"/>
  <c r="N57" i="40"/>
  <c r="N56" i="40"/>
  <c r="N60" i="40"/>
  <c r="N55" i="40"/>
  <c r="N53" i="40"/>
  <c r="N58" i="40"/>
  <c r="N54" i="40"/>
  <c r="N59" i="40"/>
  <c r="W62" i="40"/>
  <c r="X62" i="40" s="1"/>
  <c r="G64" i="40"/>
  <c r="Y64" i="40" s="1"/>
  <c r="Z64" i="40" s="1"/>
  <c r="O62" i="40"/>
  <c r="H65" i="40"/>
  <c r="O50" i="40"/>
  <c r="Y62" i="40"/>
  <c r="Z62" i="40" s="1"/>
  <c r="C65" i="40"/>
  <c r="J50" i="40"/>
  <c r="J64" i="40" s="1"/>
  <c r="D65" i="40"/>
  <c r="Q64" i="40"/>
  <c r="R64" i="40" s="1"/>
  <c r="K50" i="40"/>
  <c r="K64" i="40" s="1"/>
  <c r="S64" i="40"/>
  <c r="T64" i="40" s="1"/>
  <c r="P65" i="39"/>
  <c r="E26" i="51"/>
  <c r="Q65" i="39"/>
  <c r="F26" i="51"/>
  <c r="S65" i="39"/>
  <c r="G52" i="19" l="1"/>
  <c r="N62" i="40"/>
  <c r="J46" i="43"/>
  <c r="J41" i="43"/>
  <c r="J66" i="43" s="1"/>
  <c r="J65" i="21"/>
  <c r="J78" i="21" s="1"/>
  <c r="I78" i="21"/>
  <c r="I68" i="50"/>
  <c r="I60" i="50"/>
  <c r="I28" i="50"/>
  <c r="I52" i="50"/>
  <c r="I44" i="50"/>
  <c r="I64" i="50"/>
  <c r="I40" i="50"/>
  <c r="I32" i="50"/>
  <c r="I48" i="50"/>
  <c r="I36" i="50"/>
  <c r="I24" i="50"/>
  <c r="I56" i="50"/>
  <c r="L46" i="43"/>
  <c r="L41" i="43"/>
  <c r="L66" i="43" s="1"/>
  <c r="G53" i="19"/>
  <c r="T17" i="39"/>
  <c r="T10" i="39"/>
  <c r="G55" i="19"/>
  <c r="G49" i="19"/>
  <c r="G51" i="19"/>
  <c r="I29" i="49"/>
  <c r="I31" i="49" s="1"/>
  <c r="G48" i="19"/>
  <c r="G50" i="19"/>
  <c r="I20" i="47"/>
  <c r="G54" i="19"/>
  <c r="L16" i="48"/>
  <c r="H67" i="50"/>
  <c r="L17" i="48"/>
  <c r="I70" i="21"/>
  <c r="J70" i="21" s="1"/>
  <c r="G73" i="1"/>
  <c r="G57" i="19" s="1"/>
  <c r="I24" i="47"/>
  <c r="I30" i="47" s="1"/>
  <c r="I7" i="47"/>
  <c r="I24" i="49"/>
  <c r="I37" i="49" s="1"/>
  <c r="F8" i="68" s="1"/>
  <c r="I19" i="51"/>
  <c r="I21" i="47"/>
  <c r="J29" i="43"/>
  <c r="J64" i="43" s="1"/>
  <c r="H75" i="1"/>
  <c r="L29" i="43"/>
  <c r="L64" i="43" s="1"/>
  <c r="L35" i="43"/>
  <c r="L65" i="43" s="1"/>
  <c r="J35" i="43"/>
  <c r="J65" i="43" s="1"/>
  <c r="H46" i="19"/>
  <c r="H59" i="19" s="1"/>
  <c r="K8" i="67"/>
  <c r="K23" i="67"/>
  <c r="K18" i="67" s="1"/>
  <c r="K33" i="67"/>
  <c r="K28" i="67" s="1"/>
  <c r="O64" i="40"/>
  <c r="J47" i="49"/>
  <c r="H27" i="61"/>
  <c r="M27" i="61" s="1"/>
  <c r="U51" i="39"/>
  <c r="N50" i="40"/>
  <c r="G65" i="40"/>
  <c r="W64" i="40"/>
  <c r="X64" i="40" s="1"/>
  <c r="K72" i="21" l="1"/>
  <c r="L72" i="21" s="1"/>
  <c r="N64" i="40"/>
  <c r="F9" i="68"/>
  <c r="H8" i="68"/>
  <c r="H71" i="50"/>
  <c r="I47" i="49"/>
  <c r="T51" i="39"/>
  <c r="G27" i="61"/>
  <c r="I73" i="50"/>
  <c r="G38" i="68" s="1"/>
  <c r="G39" i="68" s="1"/>
  <c r="I72" i="21"/>
  <c r="J72" i="21" s="1"/>
  <c r="G75" i="1"/>
  <c r="G46" i="19"/>
  <c r="G59" i="19" s="1"/>
  <c r="H28" i="50" l="1"/>
  <c r="H60" i="50"/>
  <c r="H44" i="50"/>
  <c r="H24" i="50"/>
  <c r="H56" i="50"/>
  <c r="H52" i="50"/>
  <c r="H40" i="50"/>
  <c r="H48" i="50"/>
  <c r="H32" i="50"/>
  <c r="H64" i="50"/>
  <c r="H36" i="50"/>
  <c r="J49" i="49"/>
  <c r="J15" i="51"/>
  <c r="H68" i="50"/>
  <c r="H73" i="50" l="1"/>
  <c r="F38" i="68" s="1"/>
  <c r="F39" i="68" s="1"/>
  <c r="J17" i="51"/>
  <c r="J20" i="51" s="1"/>
  <c r="J21" i="51" s="1"/>
  <c r="J16" i="51"/>
  <c r="J18" i="51" s="1"/>
  <c r="J26" i="51" s="1"/>
  <c r="J25" i="51"/>
  <c r="I15" i="51" l="1"/>
  <c r="I49" i="49"/>
  <c r="I16" i="51" l="1"/>
  <c r="I18" i="51" s="1"/>
  <c r="I26" i="51" s="1"/>
  <c r="I25" i="51"/>
  <c r="I17" i="51"/>
  <c r="I20" i="51" s="1"/>
  <c r="I21" i="51" s="1"/>
</calcChain>
</file>

<file path=xl/sharedStrings.xml><?xml version="1.0" encoding="utf-8"?>
<sst xmlns="http://schemas.openxmlformats.org/spreadsheetml/2006/main" count="1050" uniqueCount="664">
  <si>
    <t>MODELO DE ANÁLISIS FINANCIERO</t>
  </si>
  <si>
    <t>Este modelo fue elaborado por el Director del Programa de Finanzas del CEIPA, Sergio Iván Zapata Sierra.  Con el modelo, se pretenden realizar todas las operaciones y cálculos de elaboración de estados financieros, análisis horizontal y vertical, indicadores financieros, gráficos y tablero de control.</t>
  </si>
  <si>
    <t>Su objetivo es ser utilizado para análisis de información real en cualquier empresa, siempre y cuando se ajusten algunos datos complementarios a los estados financieros para un correcto análisis y toma de decisiones</t>
  </si>
  <si>
    <t>1.  INSTRUCCIONES</t>
  </si>
  <si>
    <t>2.  INGRESO DE VARIABLES</t>
  </si>
  <si>
    <t>3.  BALANCE GENERAL RESUMIDO</t>
  </si>
  <si>
    <t>4.  ANÁLISIS VERTICAL AL BALANCE GENERAL</t>
  </si>
  <si>
    <t>5.  ANÁLISIS HORIZONTAL AL BALANCE GENERAL</t>
  </si>
  <si>
    <t>6.  DATOS RESUMEN DEL BALANCE GENERAL</t>
  </si>
  <si>
    <t>7.  ESTADO DE RESULTADOS RESUMIDO</t>
  </si>
  <si>
    <t>8.  ANÁLISIS VERTICAL AL ESTADO DE RESULTADOS</t>
  </si>
  <si>
    <t>9.  ANÁLISIS HORIZONTAL AL ESTADO DE RESULTADOS</t>
  </si>
  <si>
    <t>10.  DATOS RESUMEN AL ESTADO DE RESULTADOS</t>
  </si>
  <si>
    <t>11.  ESTADO DE RESULTADOS Y BALANCE CON ANÁLISIS HORIZONTAL Y VERTICAL</t>
  </si>
  <si>
    <t>12.  ESTADO DE CAMBIOS EN EL PATRIMONIO</t>
  </si>
  <si>
    <t>13.  ESTADO DE FUENTES Y APLICACIÓN DE FONDOS</t>
  </si>
  <si>
    <t>14.  INDICADORES DE LIQUIDEZ</t>
  </si>
  <si>
    <t>15.   INDICADORES DE ACTIVIDAD</t>
  </si>
  <si>
    <t>16.  INDICADORES DE ENDEUDAMIENTO</t>
  </si>
  <si>
    <t>17.  INDICADORES DE RENTABILIDAD</t>
  </si>
  <si>
    <t>18.  COSTO PROMEDIO PONDERADO DE CAPITAL</t>
  </si>
  <si>
    <t>19.  INDICADORES DE GENERACIÓN DE VALOR</t>
  </si>
  <si>
    <t xml:space="preserve">20.  FLUJO DE CAJA </t>
  </si>
  <si>
    <t>21.  ANÁLISIS DE RESULTADOS vs METAS</t>
  </si>
  <si>
    <t xml:space="preserve">22.  TABLERO DE CONTROL </t>
  </si>
  <si>
    <t>23.  CRECIMIENTO SOSTENIBLE</t>
  </si>
  <si>
    <t>INSTRUCCIONES</t>
  </si>
  <si>
    <t>1.  En la hoja de variables, ingrese la información de su empresa en la siguiente forma:</t>
  </si>
  <si>
    <r>
      <t>a.</t>
    </r>
    <r>
      <rPr>
        <sz val="7"/>
        <color indexed="8"/>
        <rFont val="Times New Roman"/>
        <family val="1"/>
      </rPr>
      <t xml:space="preserve">       </t>
    </r>
    <r>
      <rPr>
        <sz val="11"/>
        <color indexed="8"/>
        <rFont val="Calibri"/>
        <family val="2"/>
      </rPr>
      <t>Nombre de la empresa (Celda D2)</t>
    </r>
  </si>
  <si>
    <r>
      <t>b.</t>
    </r>
    <r>
      <rPr>
        <sz val="7"/>
        <color indexed="8"/>
        <rFont val="Times New Roman"/>
        <family val="1"/>
      </rPr>
      <t xml:space="preserve">      </t>
    </r>
    <r>
      <rPr>
        <sz val="11"/>
        <color indexed="8"/>
        <rFont val="Calibri"/>
        <family val="2"/>
      </rPr>
      <t>Sector al que pertenece (Celda D3)</t>
    </r>
  </si>
  <si>
    <r>
      <t>c.</t>
    </r>
    <r>
      <rPr>
        <sz val="7"/>
        <color indexed="8"/>
        <rFont val="Times New Roman"/>
        <family val="1"/>
      </rPr>
      <t xml:space="preserve">       </t>
    </r>
    <r>
      <rPr>
        <sz val="11"/>
        <color indexed="8"/>
        <rFont val="Calibri"/>
        <family val="2"/>
      </rPr>
      <t>Valores en que se presentan los estados financieros (Celda D4)</t>
    </r>
  </si>
  <si>
    <r>
      <t>d.</t>
    </r>
    <r>
      <rPr>
        <sz val="7"/>
        <color indexed="8"/>
        <rFont val="Times New Roman"/>
        <family val="1"/>
      </rPr>
      <t xml:space="preserve">      </t>
    </r>
    <r>
      <rPr>
        <sz val="11"/>
        <color indexed="8"/>
        <rFont val="Calibri"/>
        <family val="2"/>
      </rPr>
      <t>Años que se están analizando (Celdas D6 a F6)</t>
    </r>
  </si>
  <si>
    <r>
      <t>e.</t>
    </r>
    <r>
      <rPr>
        <sz val="7"/>
        <color indexed="8"/>
        <rFont val="Times New Roman"/>
        <family val="1"/>
      </rPr>
      <t xml:space="preserve">      </t>
    </r>
    <r>
      <rPr>
        <sz val="11"/>
        <color indexed="8"/>
        <rFont val="Calibri"/>
        <family val="2"/>
      </rPr>
      <t>Saldos de los activos de los tres períodos (Celdas D9 a F28)</t>
    </r>
  </si>
  <si>
    <r>
      <t>f.</t>
    </r>
    <r>
      <rPr>
        <sz val="7"/>
        <color indexed="8"/>
        <rFont val="Times New Roman"/>
        <family val="1"/>
      </rPr>
      <t xml:space="preserve">        </t>
    </r>
    <r>
      <rPr>
        <sz val="11"/>
        <color indexed="8"/>
        <rFont val="Calibri"/>
        <family val="2"/>
      </rPr>
      <t>Saldos de los pasivos de los tres períodos (Celdas D31 a F42)</t>
    </r>
  </si>
  <si>
    <r>
      <t>g.</t>
    </r>
    <r>
      <rPr>
        <sz val="7"/>
        <color indexed="8"/>
        <rFont val="Times New Roman"/>
        <family val="1"/>
      </rPr>
      <t xml:space="preserve">       </t>
    </r>
    <r>
      <rPr>
        <sz val="11"/>
        <color indexed="8"/>
        <rFont val="Calibri"/>
        <family val="2"/>
      </rPr>
      <t>Saldos del patrimonio de los tres períodos (Celdas D45 a F52)</t>
    </r>
  </si>
  <si>
    <r>
      <t>h.</t>
    </r>
    <r>
      <rPr>
        <sz val="7"/>
        <color indexed="8"/>
        <rFont val="Times New Roman"/>
        <family val="1"/>
      </rPr>
      <t xml:space="preserve">      </t>
    </r>
    <r>
      <rPr>
        <sz val="11"/>
        <color indexed="8"/>
        <rFont val="Calibri"/>
        <family val="2"/>
      </rPr>
      <t>Valores del estado de resultados de los tres períodos (Celdas D56 a F64)</t>
    </r>
  </si>
  <si>
    <r>
      <t>i.</t>
    </r>
    <r>
      <rPr>
        <sz val="7"/>
        <color indexed="8"/>
        <rFont val="Times New Roman"/>
        <family val="1"/>
      </rPr>
      <t xml:space="preserve">         </t>
    </r>
    <r>
      <rPr>
        <sz val="11"/>
        <color indexed="8"/>
        <rFont val="Calibri"/>
        <family val="2"/>
      </rPr>
      <t>En información adicional, ingresar el valor de las compras durante cada período. (Celdas D68 a F68).  En caso de no tener este valor, colocar el costo de la mercancía vendida para el caso de empresas comerciales o el porcentaje de compras estimado para empresas industriales o de servicios.</t>
    </r>
  </si>
  <si>
    <r>
      <t>j.</t>
    </r>
    <r>
      <rPr>
        <sz val="7"/>
        <color indexed="8"/>
        <rFont val="Times New Roman"/>
        <family val="1"/>
      </rPr>
      <t xml:space="preserve">        </t>
    </r>
    <r>
      <rPr>
        <sz val="11"/>
        <color indexed="8"/>
        <rFont val="Calibri"/>
        <family val="2"/>
      </rPr>
      <t>En información adicional, ingresar los saldos de cartera, inventarios, proveedores, activo corriente, activo fijo y patrimonio del período inicial correspondiente al primer año de análisis financiero. (Celdas D69 a D74).</t>
    </r>
  </si>
  <si>
    <r>
      <t>k.</t>
    </r>
    <r>
      <rPr>
        <sz val="7"/>
        <color indexed="8"/>
        <rFont val="Times New Roman"/>
        <family val="1"/>
      </rPr>
      <t xml:space="preserve">       </t>
    </r>
    <r>
      <rPr>
        <sz val="11"/>
        <color indexed="8"/>
        <rFont val="Calibri"/>
        <family val="2"/>
      </rPr>
      <t>En información adicional, ingresar los demás datos como egreso por depreciación de cada período, tasa mínima esperada por los accionistas, tasa de interés de los pasivos, tasa de impuestos aplicada a cada año analizado, días esperados de rotación de cartera, inventarios y proveedores de cada año.  (Celdas D75 a F85)</t>
    </r>
  </si>
  <si>
    <t>l. Ingresar las metas y promedios del sector estimados de los principales indicadores para el análisis financiero y comparativo de los resultados (Celdas D90 a E108)</t>
  </si>
  <si>
    <t>2.  Análisis de los resultados.</t>
  </si>
  <si>
    <t xml:space="preserve">Una vez ingresados los datos en la hoja de variables, se generarán todos los cálculos matemáticos correspondientes al análisis financiero de los dos períodos consecutivos, como son los estados financieros básicos, análisis horizontal y vertical, indicadores financieros y flujo de caja.   </t>
  </si>
  <si>
    <t>a.  Balance General:   Se calcula el balance general resumido.  Es importante verificar que esté cuadrado.</t>
  </si>
  <si>
    <t>b.  Análisis vertical balance general:  Calcula el análisis vertical indicando las cuentas de mayor peso porcentual en el activo, pasivo y patrimonio resaltadas en un color diferente para facilitar el análisis.</t>
  </si>
  <si>
    <t>c.  Análisis horizontal balance general:  Calcula las variaciones en términos porcentuales y absolutos de los tres períodos del balance general.   Muestra en un color resaltado las mayores variaciones en activo, pasivo y patrimonio</t>
  </si>
  <si>
    <t>d.  Resumen balance:   Presenta los totales y porcentajes de cada grupo del activo, pasivo y patrimonio y algunos gráficos del balance general para su respectivo análisis</t>
  </si>
  <si>
    <t>e.  Estado de resultados:  Presenta la estructura resumida del estado de resultados comparativo</t>
  </si>
  <si>
    <t>f.  Análisis vertical estado de resultados:  Calcula el análisis vertical de los tres períodos consecutivos</t>
  </si>
  <si>
    <t>g.  Análisis horizontal estado de resultados:  Calcula las variaciones en términos absolutos y porcentuales de los tres períodos del estado de resultados, resaltando en rojo las mayores variaciones positivas y en azul las menores.</t>
  </si>
  <si>
    <t>h.  Resumen Estado de Resultados:  Presenta los principales totales de ingresos y egresos del estado de resultados con un análisis gráfico que complementa el diagnóstico general.</t>
  </si>
  <si>
    <t>i.  Estados y análisis:  Presenta en un solo cuadro el balance general y estado de resultados con el análisis vertical y horizontal para una mejor lectura de las variaciones y participaciones porcentuales de estos estados.</t>
  </si>
  <si>
    <t>j.  Estado de cambios en el patrimonio:  Calcula las variaciones a las cuentas del patrimonio en los aumentos y disminuciones, asumiendo la diferencia en utilidades de períodos anteriores como distribución de dividendos.  Es importante tener en cuenta que está elaborado a partir de variaciones del balance, por lo tanto es más académico y para ser totalmente ajustado se requiere información complementaria a los estados financieros.</t>
  </si>
  <si>
    <t>k.  Estado de fuentes y aplicaciones de fondos:  Determina las fuentes de corto y largo plazo, las aplicaciones de corto y largo plazo, la generación interna de fondos y la distribución de dividendos de los dos últimos períodos, analizando a partir del principio de conformidad financiera.  Este estado se elabora a partir de las variaciones del balance general, por lo cual si se dispone de información complementaria puede ser de mayor utilidad.</t>
  </si>
  <si>
    <t>l.  Indicadores de liquidez:  Calcula todos los indicadores de liquidez existentes con una interpretación general de cada uno y los resultados de los tres períodos consecutivos.  Así mismo se generan algunos gráficos para su análisis</t>
  </si>
  <si>
    <t>m.  Indicadores de actividad:  Calcula los indicadores de rotación con su respectivo análisis general y algunos gráficos para complementar el diagnóstico de los resultados de los tres períodos</t>
  </si>
  <si>
    <t xml:space="preserve">n.  Indicadores de endeudamiento:  Determina los indicadores de endeudamiento, su interpretación general, los resultados de los tres períodos y un análisis gráfico </t>
  </si>
  <si>
    <t>o.  Indicadores de rentabilidad:  Calcula los indicadores de márgenes y rentabilidad de los tres períodos, con  una breve interpretación y un análisis gráfico de los principales resultados</t>
  </si>
  <si>
    <t>p.  Costo de capital:  Calcula el wacc o costo promedio ponderado del capital a partir de las participaciones porcentuales de cada fuente de financiación y de las tasas indicadas en las variables.  Determina la tasa mínima a la cual deberán rentar los activos operativos para que la empresa genere valor.</t>
  </si>
  <si>
    <t>q.  Indicadores de generación de valor:   Calcula los indicadores de valor y estratégicos para establecer si la empresa está creciendo y generando valor para sus accionistas.  Tiene algunos análisis gráficos y una breve interpretación.</t>
  </si>
  <si>
    <t>r.   Flujo de caja:  Determina el flujo de caja bruto, flujo de caja libre y flujo de caja disponible a partir de la generación de caja operativa, la reposición de capital de trabajo, pago del servicio de la deuda y dividendos.</t>
  </si>
  <si>
    <t>s.  Análisis de metas:  Compara los resultados de los principales indicadores con las metas establecidas por la empresa mediante un análisis gráfico que sirve como apoyo al diagnóstico general de los resultados.</t>
  </si>
  <si>
    <t>t.  Tablero de control:   Presenta en un tablero resumen, los principales indicadores de cada grupo en un semáforo, indicando si es rojo (alerta negativa), amarillo (estar pendiente) o verde (cumplimiento de meta) para la toma de decisiones en la empresa.  Adicional al color, ofrece una frase de alerta o de interpretación del resultado.</t>
  </si>
  <si>
    <t>EMPRESA</t>
  </si>
  <si>
    <t>K-LISTO</t>
  </si>
  <si>
    <t>DESCRIPCIÓN DEL SECTOR</t>
  </si>
  <si>
    <t>Fabricación y comercialización de alimentos</t>
  </si>
  <si>
    <t>VALORES PRESENTADOS EN</t>
  </si>
  <si>
    <t>(Valores en pesos)</t>
  </si>
  <si>
    <t>Años a analizar</t>
  </si>
  <si>
    <t xml:space="preserve">ACTIVO </t>
  </si>
  <si>
    <t>Disponible</t>
  </si>
  <si>
    <t>Inversiones</t>
  </si>
  <si>
    <t>Deudores (cartera)</t>
  </si>
  <si>
    <t>Inventarios</t>
  </si>
  <si>
    <t>Diferidos</t>
  </si>
  <si>
    <t>Otros activos corrientes</t>
  </si>
  <si>
    <t>Muebles y enseres</t>
  </si>
  <si>
    <t>Equipo de oficina</t>
  </si>
  <si>
    <t>Maquinaria</t>
  </si>
  <si>
    <t>Vehículos</t>
  </si>
  <si>
    <t>Edificios</t>
  </si>
  <si>
    <t>Terrenos</t>
  </si>
  <si>
    <t>Equipo de cómputo</t>
  </si>
  <si>
    <t>Depreciación acumulada</t>
  </si>
  <si>
    <t>Propiedad planta y equipo</t>
  </si>
  <si>
    <t>Intangibles</t>
  </si>
  <si>
    <t>Inversiones permanentes</t>
  </si>
  <si>
    <t>Valorizaciones</t>
  </si>
  <si>
    <t>Otros activos no corrientes</t>
  </si>
  <si>
    <t>PASIVOS</t>
  </si>
  <si>
    <t>Obligaciones financieras corto plazo</t>
  </si>
  <si>
    <t>Proveedores</t>
  </si>
  <si>
    <t>Cuentas y gastos por pagar</t>
  </si>
  <si>
    <t>Impuestos, gravámenes y tasas</t>
  </si>
  <si>
    <t>Obligaciones laborales</t>
  </si>
  <si>
    <t>Otros pasivos corto plazo</t>
  </si>
  <si>
    <t>Obligaciones financieras largo plazo</t>
  </si>
  <si>
    <t>Bonos y papeles comerciales por pagar</t>
  </si>
  <si>
    <t>Obligaciones laborales largo plazo</t>
  </si>
  <si>
    <t>Pasivos estimados y provisiones</t>
  </si>
  <si>
    <t>Otros pasivos largo plazo</t>
  </si>
  <si>
    <t>PATRIMONIO</t>
  </si>
  <si>
    <t>Capital social</t>
  </si>
  <si>
    <t>Superávit de capital</t>
  </si>
  <si>
    <t>Reservas</t>
  </si>
  <si>
    <t>Revalorización del patrimonio</t>
  </si>
  <si>
    <t>Resultados del ejercicio</t>
  </si>
  <si>
    <t>Resultado de ejercicios anteriores</t>
  </si>
  <si>
    <t>Superávit por valorización</t>
  </si>
  <si>
    <t>Otras cuentas de patrimonio</t>
  </si>
  <si>
    <t>RESULTADOS</t>
  </si>
  <si>
    <t>Ventas (Ingresos operativos)</t>
  </si>
  <si>
    <t>Costo de ventas</t>
  </si>
  <si>
    <t>Gastos de administración</t>
  </si>
  <si>
    <t>Gastos de ventas</t>
  </si>
  <si>
    <t>Ingresos financieros</t>
  </si>
  <si>
    <t>Otros ingresos no operativos</t>
  </si>
  <si>
    <t>Gastos financieros</t>
  </si>
  <si>
    <t>Otros egresos no operativos</t>
  </si>
  <si>
    <t>Provisión impuesto de renta</t>
  </si>
  <si>
    <t>INFORMACION ADICIONAL</t>
  </si>
  <si>
    <t>Compras durante el año</t>
  </si>
  <si>
    <t xml:space="preserve">Cartera al inicio del año </t>
  </si>
  <si>
    <t xml:space="preserve">Inventario al inicio del año </t>
  </si>
  <si>
    <t xml:space="preserve">Proveedores al inicio del año </t>
  </si>
  <si>
    <t xml:space="preserve">Activo corriente al inicio del año </t>
  </si>
  <si>
    <t xml:space="preserve">Activo fijo al inicio del año </t>
  </si>
  <si>
    <t xml:space="preserve">Patrimonio al inicio del año </t>
  </si>
  <si>
    <t>Depreciacion y amortizaciones del período</t>
  </si>
  <si>
    <t>Número de acciones en circulación</t>
  </si>
  <si>
    <t>Valor de la acción en bolsa (En caso de sociedad anónima abierta)</t>
  </si>
  <si>
    <t>Dividendos decretados y pagados en el período</t>
  </si>
  <si>
    <t>TMRR (Tasa Patrimonio)</t>
  </si>
  <si>
    <t>Tasa interes efectiva anual a corto plazo (Obligaciones financieras)</t>
  </si>
  <si>
    <t>Tasa interes efectiva anual a largo plazo (Obligaciones financieras)</t>
  </si>
  <si>
    <t>Tasa interés bonos y papeles comerciales</t>
  </si>
  <si>
    <t>Costo de los proveedores</t>
  </si>
  <si>
    <t>Costo de otros pasivos</t>
  </si>
  <si>
    <t>Tasa de impuesto a la renta</t>
  </si>
  <si>
    <t>Politica rotacion cartera</t>
  </si>
  <si>
    <t>Politica rotacion inventarios</t>
  </si>
  <si>
    <t>Politica rotacion proveedores</t>
  </si>
  <si>
    <t>INFORMACIÓN PARA EL CÁLCULO DEL COSTO PROMEDIO PONDERADO</t>
  </si>
  <si>
    <t>t (tasa impositiva)</t>
  </si>
  <si>
    <t>B desapalancado sector en USA</t>
  </si>
  <si>
    <t>Tasa libre de riesgo(bonos tesoro USA)</t>
  </si>
  <si>
    <t>Prima de mercado (USA)</t>
  </si>
  <si>
    <t>Riesgo pais (Colombia)</t>
  </si>
  <si>
    <t>Inflaciòn de colombia en el largo plazo</t>
  </si>
  <si>
    <t>Inflación de EEUU en el largo plazo</t>
  </si>
  <si>
    <t>Costo deuda antes de impuestos para obligaciones financieras</t>
  </si>
  <si>
    <t>Costo deuda antes de impuestos para otros pasivos</t>
  </si>
  <si>
    <t>INFORMACIÓN DEL SECTOR Y METAS DE LA EMPRESA PARA ANÁLISIS DE LOS RESULTADOS</t>
  </si>
  <si>
    <t>META
EMPRESA</t>
  </si>
  <si>
    <t>PROMEDIO
SECTOR</t>
  </si>
  <si>
    <t>%KTN</t>
  </si>
  <si>
    <t>%KTNO</t>
  </si>
  <si>
    <t>Razon corriente</t>
  </si>
  <si>
    <t>Prueba ácida</t>
  </si>
  <si>
    <t>Dias de rotacion cartera</t>
  </si>
  <si>
    <t>dias de rotacion inventario</t>
  </si>
  <si>
    <t>Dias de rotacion proveedores</t>
  </si>
  <si>
    <t>Ciclo operativo</t>
  </si>
  <si>
    <t>Endeudamiento total</t>
  </si>
  <si>
    <t>Endeudamiento a corto plazo</t>
  </si>
  <si>
    <t>Gastos financieros a Ebitda</t>
  </si>
  <si>
    <t>% ROE</t>
  </si>
  <si>
    <t>% ROI</t>
  </si>
  <si>
    <t>% Margen Bruto</t>
  </si>
  <si>
    <t>% Margen operativo</t>
  </si>
  <si>
    <t>% Margen neto</t>
  </si>
  <si>
    <t>% Margen Ebitda</t>
  </si>
  <si>
    <t>Palanca de crecimiento</t>
  </si>
  <si>
    <t>% Rentabilidad activo neto</t>
  </si>
  <si>
    <t>BALANCE GENERAL</t>
  </si>
  <si>
    <t xml:space="preserve"> - </t>
  </si>
  <si>
    <t>DATOS</t>
  </si>
  <si>
    <t>ANALISIS VERTICAL</t>
  </si>
  <si>
    <t>ANALISIS HORIZONTAL</t>
  </si>
  <si>
    <t>ACTIVOS</t>
  </si>
  <si>
    <t>Total Activos Corrientes</t>
  </si>
  <si>
    <t>Total Activos Fijos</t>
  </si>
  <si>
    <t>TOTAL ACTIVOS</t>
  </si>
  <si>
    <t>PASIVO Y PATRIMONIO</t>
  </si>
  <si>
    <t>TOTAL PASIVO CORRIENTE</t>
  </si>
  <si>
    <t>TOTAL PASIVO LARGO PLAZO</t>
  </si>
  <si>
    <t>TOTAL PASIVO</t>
  </si>
  <si>
    <t>TOTAL PATRIMONIO</t>
  </si>
  <si>
    <t>TOTAL PASIVO Y PATRIMONIO</t>
  </si>
  <si>
    <t>ESTADO DE RESULTADOS</t>
  </si>
  <si>
    <t>VENTAS NETAS</t>
  </si>
  <si>
    <t>UTILIDAD BRUTA</t>
  </si>
  <si>
    <t>UTILIDAD OPERATIVA (U.A.I.I)</t>
  </si>
  <si>
    <t>UTILIDAD ANTES DE IMPUESTOS (U.A.I)</t>
  </si>
  <si>
    <t>UTILIDAD NETA</t>
  </si>
  <si>
    <t>REFERENTE</t>
  </si>
  <si>
    <t>TOTAL ACTIVO CORRIENTE</t>
  </si>
  <si>
    <t>TOTAL ACTIVO NO CORRIENTE</t>
  </si>
  <si>
    <t>ANÁLISIS VERTICAL AL BALANCE GENERAL</t>
  </si>
  <si>
    <t>Otros activos No corrientes</t>
  </si>
  <si>
    <t>ACTIVO CORRIENTE</t>
  </si>
  <si>
    <t>ACTIVO LARGO PLAZO</t>
  </si>
  <si>
    <t>PASIVO</t>
  </si>
  <si>
    <t>ANALISIS AL BALANCE GENERAL</t>
  </si>
  <si>
    <t>DISTRIBUCIÓN DEL ACTIVO TOTAL ENTRE CORRIENTE Y NO CORRIENTE</t>
  </si>
  <si>
    <t>ACTIVO NO CORRIENTE</t>
  </si>
  <si>
    <t>DISTRIBUCIÓN DEL PASIVO Y PATRIMONIO CON RESPECTO AL TOTAL DE FINANCIACIÓN</t>
  </si>
  <si>
    <t>PASIVO CORRIENTE</t>
  </si>
  <si>
    <t>PASIVO NO CORRIENTE</t>
  </si>
  <si>
    <t>ANALISIS VERTICAL AL ESTADO DE RESULTADOS</t>
  </si>
  <si>
    <t>Total Gastos</t>
  </si>
  <si>
    <t>ANÁLISIS AL ESTADO DE RESULTADOS</t>
  </si>
  <si>
    <t>TOTAL VENTAS</t>
  </si>
  <si>
    <t>TOTAL COSTOS Y GASTOS</t>
  </si>
  <si>
    <t>UTILIDAD OPERATIVA</t>
  </si>
  <si>
    <t>INDICADORES DE ACTIVIDAD - ROTACIÓN</t>
  </si>
  <si>
    <t>Indicador</t>
  </si>
  <si>
    <t>Formula</t>
  </si>
  <si>
    <t>Interpretación</t>
  </si>
  <si>
    <t>Dias de rotacion deudores</t>
  </si>
  <si>
    <t xml:space="preserve">deudores promedio * 365 días / ventas </t>
  </si>
  <si>
    <t>Mide el número de días que tarda la empresa en recuperar la cartera.  Se compara con la política de la empresa</t>
  </si>
  <si>
    <t xml:space="preserve"> </t>
  </si>
  <si>
    <t>Dias de rotacion inventario</t>
  </si>
  <si>
    <t>inventario promedio * 365 días / costo de ventas</t>
  </si>
  <si>
    <t>Determina en cuantos días la empresa convierte sus inventarios en efectivo o en cartera.</t>
  </si>
  <si>
    <t>Ciclo de caja operativo</t>
  </si>
  <si>
    <t>dias de cartera + dias inventario</t>
  </si>
  <si>
    <t>Determina los días que requeire la empresa para convertir lo producido en efectivo</t>
  </si>
  <si>
    <t xml:space="preserve">proveedores promedio * 365 días / compras  </t>
  </si>
  <si>
    <t>Determina los días que tarda la empresa en cancelar a los proveedores.  Debe ser comparado con política de crédito</t>
  </si>
  <si>
    <t>Ciclo de caja operativo neto</t>
  </si>
  <si>
    <t>dias de cartera+dias inventario-dias proveedores</t>
  </si>
  <si>
    <t>Determina los días necesarios de caja operativa que no son financiados con los proveedores.</t>
  </si>
  <si>
    <t>Rotación de activo corriente</t>
  </si>
  <si>
    <t xml:space="preserve">Activo corriente promedio * 365 días / ventas </t>
  </si>
  <si>
    <t>Determina los días que están comprometidos los recursos de corto plazo para generar ventas</t>
  </si>
  <si>
    <t>Rotación de activo operativo</t>
  </si>
  <si>
    <t>Ventas / Activo operativo neto</t>
  </si>
  <si>
    <t>Mide por cada peso invertido en activo operativo neto cuanto se genera en ventas durante el período</t>
  </si>
  <si>
    <t>Rotación de capital</t>
  </si>
  <si>
    <t>Ventas / ( patrimonio + pasivos a largo plazo)</t>
  </si>
  <si>
    <t>Determina el grado de financiación propia y a largo plazo en las ventas de la empresa.</t>
  </si>
  <si>
    <t>Rotación del patrimonio</t>
  </si>
  <si>
    <t>Ventas / patrimonio</t>
  </si>
  <si>
    <t>Participacion en las ventas de la inversión de los propietarios</t>
  </si>
  <si>
    <t>Rotación del efectivo</t>
  </si>
  <si>
    <t>365 / ciclo de caja</t>
  </si>
  <si>
    <t xml:space="preserve">Veces que rota el ciclo operativo neto en el período. </t>
  </si>
  <si>
    <t xml:space="preserve">FONDOS OCIOSOS </t>
  </si>
  <si>
    <t>Cuenta</t>
  </si>
  <si>
    <t xml:space="preserve">Valor actual </t>
  </si>
  <si>
    <t>dias rotacion</t>
  </si>
  <si>
    <t>politica rotacion</t>
  </si>
  <si>
    <t>saldo ideal</t>
  </si>
  <si>
    <t>fondos ociosos</t>
  </si>
  <si>
    <t>Deudores</t>
  </si>
  <si>
    <t>Inventario</t>
  </si>
  <si>
    <t>KTNO</t>
  </si>
  <si>
    <t>PROVEEDORES</t>
  </si>
  <si>
    <t>INVENTARIOS</t>
  </si>
  <si>
    <t>Días retorno</t>
  </si>
  <si>
    <t>Días de pago</t>
  </si>
  <si>
    <t>Ciclo caja neto</t>
  </si>
  <si>
    <t>días</t>
  </si>
  <si>
    <t xml:space="preserve">              días</t>
  </si>
  <si>
    <t>DISPONIBLE</t>
  </si>
  <si>
    <t>CARTERA</t>
  </si>
  <si>
    <t>Días deudores</t>
  </si>
  <si>
    <t>Días inventario</t>
  </si>
  <si>
    <t>Días proveedores</t>
  </si>
  <si>
    <t>Días Caja Operativa</t>
  </si>
  <si>
    <t>INDICADORES DE ENDEUDAMIENTO</t>
  </si>
  <si>
    <t>INDICADOR</t>
  </si>
  <si>
    <t>FORMULA</t>
  </si>
  <si>
    <t>Razón de independencia financiera  -
Financiación con recursos propios - 
Indice de propiedad</t>
  </si>
  <si>
    <t>Patrimonio / activo total</t>
  </si>
  <si>
    <t>Cuanto de los recursos de la empresa están financiados con participación de los propietarios</t>
  </si>
  <si>
    <t xml:space="preserve">Pasivo total / activo total </t>
  </si>
  <si>
    <t>Determina el grado de apalncamiento de acreedores en los activos de la empresa</t>
  </si>
  <si>
    <t>Pasivo corriente / pasivo total</t>
  </si>
  <si>
    <t xml:space="preserve">Establece cual es el porcentaje del total de deudas que deben ser canceladas en el corto plazo.  </t>
  </si>
  <si>
    <t>Apalancamiento a largo plazo</t>
  </si>
  <si>
    <t>Pasivo a largo plazo / pasivo total</t>
  </si>
  <si>
    <t>Determina del total de deudas, cuanto está financiado a largo plazo.</t>
  </si>
  <si>
    <t>Financiación con proveedores</t>
  </si>
  <si>
    <t>Proveedores / pasivo total</t>
  </si>
  <si>
    <t>Determina cuanto de los recursos financiados con terceros están comprometidos con los proveedores</t>
  </si>
  <si>
    <t>Financiación con obligaciones financieras</t>
  </si>
  <si>
    <t>Obligaciones financieras totales / pasivo total</t>
  </si>
  <si>
    <t xml:space="preserve">Determina del total de pasivos cuanto es financiado con obligaciones financieras </t>
  </si>
  <si>
    <t>Financiación con pasivos laborales</t>
  </si>
  <si>
    <t>Obligaciones laborales / pasivo total</t>
  </si>
  <si>
    <t>Determina cuanto de los recursos financiados con terceros están comprometidos con pasivo laboral</t>
  </si>
  <si>
    <t>Financiación con impuestos</t>
  </si>
  <si>
    <t>Impuestos por pagar / pasivo total</t>
  </si>
  <si>
    <t>Determina cuanto de los recursos financiados con terceros corresponden a impuestos por pagar</t>
  </si>
  <si>
    <t>Endeudamiento sin valorizaciones</t>
  </si>
  <si>
    <t>Total pasivo / (Activo total - valorizaciones)</t>
  </si>
  <si>
    <t>Determina cuál es el compromiso con acreedores sobre los activos sin considerar valorizaciones</t>
  </si>
  <si>
    <t>Carga financiera</t>
  </si>
  <si>
    <t>Gastos financieros / Ventas</t>
  </si>
  <si>
    <t>Porcentaje de las ventas que son dedicadas a cubrir la carga financiera</t>
  </si>
  <si>
    <t>Cobertura de gastos financieros o veces que se ha ganado el interés</t>
  </si>
  <si>
    <t>UAII / gastos financieros</t>
  </si>
  <si>
    <t>Capacidad de la empresa para generar utilidades operativas y cubrir sus intereses. (Veces)</t>
  </si>
  <si>
    <t>Relación gastos financieros a Ebitda</t>
  </si>
  <si>
    <t>Gastos financieros / Ebitda</t>
  </si>
  <si>
    <t>Relación de los gastos financieros con la caja operativa generada por la empresa.</t>
  </si>
  <si>
    <t>Relación obligaciones financieras a Ebitda</t>
  </si>
  <si>
    <t>Obligaciones financieras totales / Ebitda</t>
  </si>
  <si>
    <t>Determina cuanto de la caja operativa está comprometida por deudas con el sistema financiero</t>
  </si>
  <si>
    <t>Laverge o Apalancamiento financiero</t>
  </si>
  <si>
    <t>Obligaciones financieras totales / patrimonio</t>
  </si>
  <si>
    <t>Compromiso del patrimonio con entidades financieras.  Por cada $100 de patrimonio cuanto se debe por obligaciones financieras.</t>
  </si>
  <si>
    <t>Laverage o Apalancamiento total</t>
  </si>
  <si>
    <t>Pasivo total / patrimonio</t>
  </si>
  <si>
    <t>Compromiso de los propietarios con los accionistas.  Por cada $100  de patrimonio cuanto es deuda total</t>
  </si>
  <si>
    <t>Patrimonio ideal</t>
  </si>
  <si>
    <t>UAI / TMRR</t>
  </si>
  <si>
    <t>Determina cuál será el nivel de patrimonio a partir de la utilidad y la tasa esperada por los propietarios</t>
  </si>
  <si>
    <t>Estructura corriente</t>
  </si>
  <si>
    <t>Pasivo corriente / activo total</t>
  </si>
  <si>
    <t>Establece cuanto es la financiación de corto plazo con respecto al total de los activos</t>
  </si>
  <si>
    <t>Estructura de capital</t>
  </si>
  <si>
    <t>(Pasivo largo plazo + patrimonio) / activo total</t>
  </si>
  <si>
    <t>Determina cual es la financiación de largo plazo (pasivo l.p. y patrimonio) para crecimiento de la empresa</t>
  </si>
  <si>
    <t>Deuda total</t>
  </si>
  <si>
    <t>Deuda corto plazo</t>
  </si>
  <si>
    <t>INDICADORES DE RENTABILIDAD</t>
  </si>
  <si>
    <t>Margen Bruto - 
Rentabilidad bruta</t>
  </si>
  <si>
    <t>Utilidad bruta / ventas</t>
  </si>
  <si>
    <t>Determina la capacidad de ventas para generar utilidad bruta, es decir para cubrir los costos de ventas.</t>
  </si>
  <si>
    <t>Margen Operativo - 
Rentabilidad operativa</t>
  </si>
  <si>
    <t xml:space="preserve">UAII / ventas </t>
  </si>
  <si>
    <t>Cuanto genera de utilidad operativa sobre las ventas al cubrir costos y gastos en desarrollo de su objeto social</t>
  </si>
  <si>
    <t>Margen antes de impuestos</t>
  </si>
  <si>
    <t xml:space="preserve">UAI / ventas </t>
  </si>
  <si>
    <t>Cuanto ha obtenido la empresa como utilidad sobre las ventas antes de cubrir los impuestos de renta</t>
  </si>
  <si>
    <t>Margen neto - Rentabilidad neta - 
Productividad marginal</t>
  </si>
  <si>
    <t>Utilidad neta / ventas</t>
  </si>
  <si>
    <t>Por cada peso en ventas cuanto se obtiene de utilidad neta incluyendo operación y no operacional.</t>
  </si>
  <si>
    <t>Carga de costos de ventas</t>
  </si>
  <si>
    <t>Costo de ventas / ventas</t>
  </si>
  <si>
    <t>Cuánto representan los costos de ventas sobre el total de las ventas</t>
  </si>
  <si>
    <t>Carga administrativa</t>
  </si>
  <si>
    <t xml:space="preserve">Gastos administrativos / ventas </t>
  </si>
  <si>
    <t>Cuánto representa el total de gastos administrativos sobre las ventas.</t>
  </si>
  <si>
    <t>Carga mercadeo y ventas</t>
  </si>
  <si>
    <t xml:space="preserve">Gastos de mercadeo y ventas / ventas </t>
  </si>
  <si>
    <t>A cuanto equivale el total de gastos de mercadeo y ventas sobre el total de las ventas del período</t>
  </si>
  <si>
    <t>Carga gastos operativos</t>
  </si>
  <si>
    <t xml:space="preserve">Gastos operativos / ventas </t>
  </si>
  <si>
    <t>Participación del total de gastos operativos sobre las ventas del período</t>
  </si>
  <si>
    <t>Carga gastos financieros</t>
  </si>
  <si>
    <t>Gastos financieros / ventas</t>
  </si>
  <si>
    <t>Cuánto equivale el total de gastos financieros sobre las ventas del período</t>
  </si>
  <si>
    <t>Otros ingresos netos a ventas</t>
  </si>
  <si>
    <t>Otros ingresos netos / ventas</t>
  </si>
  <si>
    <t>Cuánto representan los ingresos no operativos netos sobre el total de ventas</t>
  </si>
  <si>
    <t xml:space="preserve">Potencial de utilidad </t>
  </si>
  <si>
    <t>Utilidad neta / activos totales</t>
  </si>
  <si>
    <t>Rendimiento del total de activos durante el período por la generación de utilidad neta</t>
  </si>
  <si>
    <t xml:space="preserve">% ROA - Return on assets
Retorno sobre activos </t>
  </si>
  <si>
    <t>Ebitda / activo total</t>
  </si>
  <si>
    <t>Determina la caja operativa obtenida en el período con el uso de la inversión total en activos</t>
  </si>
  <si>
    <t>% ROI - Return on investment
Retorno sobre inversión</t>
  </si>
  <si>
    <t>UAII / activos operativos</t>
  </si>
  <si>
    <t xml:space="preserve">Determina el rendimiento obtenido por la empresa en su operación con el uso de los activos operativos </t>
  </si>
  <si>
    <t>% ROE - Return on Equity 
Rentabilidad sobre patrimonio</t>
  </si>
  <si>
    <t xml:space="preserve">UAI / patrimonio promedio </t>
  </si>
  <si>
    <t>Determina el rendimiento obtenido antes de impuestos sobre la inversión realizada por los propietarios</t>
  </si>
  <si>
    <t>Ebitda</t>
  </si>
  <si>
    <t>UAII + depreciacion + amortizacion</t>
  </si>
  <si>
    <t>Caja operativa durante el período al no considerar partidas de causación contable que son movimiento de caja</t>
  </si>
  <si>
    <t>Margen Ebitda</t>
  </si>
  <si>
    <t xml:space="preserve">EBITDA / ventas </t>
  </si>
  <si>
    <t>Determina cuantos pesos se obtienen de caja operativa por cada $100 obtenidos en ventas durante el período</t>
  </si>
  <si>
    <t>Utilidades por acción</t>
  </si>
  <si>
    <t>Utilidades netas / número acciones circulación</t>
  </si>
  <si>
    <t>Determina el monto de utilidades obtenidas por cada acción ordinaria en circulación</t>
  </si>
  <si>
    <t>Dividendos por acción</t>
  </si>
  <si>
    <t>Dividendos pagados / número acciones circ.</t>
  </si>
  <si>
    <t>Determina el valor de dividendos que se pagó a cada accionista</t>
  </si>
  <si>
    <t>Valor en libros por acción</t>
  </si>
  <si>
    <t>Patrimonio / número acciones circulación</t>
  </si>
  <si>
    <t>Determina el valor aproximado de cada acción con base en el valor del patrimonio o activos menos pasivos</t>
  </si>
  <si>
    <t>Valor de la acción en el mercado</t>
  </si>
  <si>
    <t>Valor de la acción al cierre de cada período contable en el mercado accionario (en caso de cotizar en bolsa)</t>
  </si>
  <si>
    <t>Determina el valor de la acción cuando la empresa cotiza en bolsa.  Es el precio de la acción a diciembre 31 de cada año</t>
  </si>
  <si>
    <t>Q de Tobin</t>
  </si>
  <si>
    <t>Precio en bolsa / valor en libros por acción</t>
  </si>
  <si>
    <t>Es el respaldo del patrimonio sobre el precio de mercado.  Determina si la acción esta sobre o subvalorada</t>
  </si>
  <si>
    <t>Relación Precio Ganancia - RPG</t>
  </si>
  <si>
    <t>Precio en bolsa / utilidad neta por acción</t>
  </si>
  <si>
    <t xml:space="preserve">Determina en cuantos períodos se recuperaría la inversión en acción a partir de la utilidad obtenida </t>
  </si>
  <si>
    <t>Sistema Dupont</t>
  </si>
  <si>
    <t>Margen neto:   Utilidad neta / ventas</t>
  </si>
  <si>
    <t>Correlaciona los indicadores de rendimiento y los de actividad, al medir la generación de utilidades con el control de costos y gastos y el volumen de ventas con el uso eficiente de los activos. 
Es la capacidad del activo para producir utilidades independiente de la forma en que ha sido financiado.</t>
  </si>
  <si>
    <t>Eficiencia activos:   Ventas / activo total</t>
  </si>
  <si>
    <t>Margen neto x eficiencia uso activos</t>
  </si>
  <si>
    <t>R% - Tasa de Retención de Utilidades</t>
  </si>
  <si>
    <t>R% = 1- (Dividendos / Utilidad Neta)</t>
  </si>
  <si>
    <t>Que tanto retuvo la empresa en la Distribución de dividendos sobre la utilidad neta del periodo</t>
  </si>
  <si>
    <t>TCS - Tasa de Crecimiento Sostenible</t>
  </si>
  <si>
    <t>TCS = ROE * R% / (1 – (ROE * R%))</t>
  </si>
  <si>
    <t>permite  conocer  el potencial de crecimiento de una empresa, es inversamente proporcional a la repartición de utilidades y es proporcional a su eficiencia operativa en el uso de recursos patrimoniales</t>
  </si>
  <si>
    <t>Margen operativo</t>
  </si>
  <si>
    <t>Margen neto</t>
  </si>
  <si>
    <t>TMRR</t>
  </si>
  <si>
    <t>Rendimiento patrimonio</t>
  </si>
  <si>
    <t>Rendimiento activo</t>
  </si>
  <si>
    <t>Costo del capital</t>
  </si>
  <si>
    <t>Tasa de Crecimiento Sostenible</t>
  </si>
  <si>
    <t>año</t>
  </si>
  <si>
    <t>PROM</t>
  </si>
  <si>
    <t>Variación de Crecimiento</t>
  </si>
  <si>
    <t>TCS</t>
  </si>
  <si>
    <t>Zona</t>
  </si>
  <si>
    <t>ROI - WACC</t>
  </si>
  <si>
    <t>% Var Ventas</t>
  </si>
  <si>
    <t>Resultado</t>
  </si>
  <si>
    <t>Mayor que 0</t>
  </si>
  <si>
    <t>Crea Valor</t>
  </si>
  <si>
    <t>Menor que 0</t>
  </si>
  <si>
    <t>Limita la Creación de Valor</t>
  </si>
  <si>
    <t>Destruye Valor</t>
  </si>
  <si>
    <t>Resguarda el potencial de crear valor</t>
  </si>
  <si>
    <t>Patrimonio</t>
  </si>
  <si>
    <t>dividendos</t>
  </si>
  <si>
    <t>utilidad neta</t>
  </si>
  <si>
    <t>ROE</t>
  </si>
  <si>
    <t>R%</t>
  </si>
  <si>
    <t>COSTO PROMEDIO PONDERADO DEL CAPITAL</t>
  </si>
  <si>
    <t>DIAGNÓSTICO GENERAL SOBRE EL RIESGO DE ENDEUDAMIENTO</t>
  </si>
  <si>
    <t>FUENTE DE FINANCIACIÓN</t>
  </si>
  <si>
    <t>Valor en el balance al final del período</t>
  </si>
  <si>
    <t>Porcentaje de participación en el balance</t>
  </si>
  <si>
    <t>Tasa de interés de préstamos a corto plazo</t>
  </si>
  <si>
    <t>Porcentaje de participación de la fuente en total</t>
  </si>
  <si>
    <t>Costo de financiarse con proveedores</t>
  </si>
  <si>
    <t>Costo de financiar con otras cuentas por pagar</t>
  </si>
  <si>
    <t>Costo de financiarse con obligación laboral</t>
  </si>
  <si>
    <t>Costo de financiarse con impuestos</t>
  </si>
  <si>
    <t>Tasa de interés en prestamos de largo plazo</t>
  </si>
  <si>
    <t>Costo de financiarse con otros pasivos de l.p.</t>
  </si>
  <si>
    <t>Tasa esperada por el inversionista</t>
  </si>
  <si>
    <t>TOTAL FINANCIACIÓN</t>
  </si>
  <si>
    <t>COSTO PROMEDIO PONDERADO DE CAPITAL</t>
  </si>
  <si>
    <t>Calculo del Wacc a partir de participación y tasas</t>
  </si>
  <si>
    <t>INDICADORES DE GENERACIÓN DE VALOR</t>
  </si>
  <si>
    <t>INTERPRETACION</t>
  </si>
  <si>
    <t>Cartera + inventarios - proveedores</t>
  </si>
  <si>
    <t>Recursos operativos invertidos por la empresa diferentes a los financiados por proveedores.</t>
  </si>
  <si>
    <t>Productividad KTNO</t>
  </si>
  <si>
    <t>KTNO / Ventas</t>
  </si>
  <si>
    <t>Recursos necesarios para generar cada $100 en ventas durante el período</t>
  </si>
  <si>
    <t>Ebitda / Ventas</t>
  </si>
  <si>
    <t>Recursos generados como caja operativa por cada $100 en ventas del período</t>
  </si>
  <si>
    <t>Margen Ebitda / KTNO</t>
  </si>
  <si>
    <t>Veces que se recupera la inversión en KTNO para la generación de ventas con la caja operativa (Ebitda). Debe ser &gt; 1</t>
  </si>
  <si>
    <t>AON (activos operativos netos)</t>
  </si>
  <si>
    <t>KTNO + activos fijos netos</t>
  </si>
  <si>
    <t xml:space="preserve">Activos operativos netos utilizados para la generación de utilidades operativas sin considerar otros activos </t>
  </si>
  <si>
    <t>UODI - Utilidad operativa después de
impuestos</t>
  </si>
  <si>
    <t>UAII * (1-%imporenta)</t>
  </si>
  <si>
    <t>A la utilidad operacional le descuentan impuestos para determinar la verdadera utilidad operativa generada.</t>
  </si>
  <si>
    <t>% RAN (rentabilidad del activo neto)</t>
  </si>
  <si>
    <t xml:space="preserve">UODI / AON </t>
  </si>
  <si>
    <t>Rentabilidad operativa después de impuestos lograda a partir de los activos involucrados en la operación.</t>
  </si>
  <si>
    <t>Costo de capital</t>
  </si>
  <si>
    <t>Costo promedio ponderado del capital</t>
  </si>
  <si>
    <t>Es el costo promedio de financiación de recursos tanto de pasivos como del patrimonio según las tasas indicadas</t>
  </si>
  <si>
    <t>EVA</t>
  </si>
  <si>
    <t>AON *(%RAN - %CK)</t>
  </si>
  <si>
    <t>Es el rendimiento de capital logrado en el período para los accionistas como mayor valor por el uso de recursos.</t>
  </si>
  <si>
    <t>UODI - (AON * CK)</t>
  </si>
  <si>
    <t>El EVA es positivo si el rendimiento de los activos es mayor al costo de los recursos y es negativo si es menor.</t>
  </si>
  <si>
    <t>% EVA</t>
  </si>
  <si>
    <t xml:space="preserve">EVA / AON </t>
  </si>
  <si>
    <t>Determina cuanto se genera de valor por cada $100 invertidos en activos netos operativos.</t>
  </si>
  <si>
    <r>
      <t xml:space="preserve">Salud financiera
</t>
    </r>
    <r>
      <rPr>
        <sz val="10"/>
        <color indexed="8"/>
        <rFont val="Trebuchet MS"/>
        <family val="2"/>
      </rPr>
      <t xml:space="preserve">
Relaciona la posible suspensión de pagos con varias causas:  situación de liquidez, política de retención de beneficios, margen de utilidad, capitales propios y volumen de ventas</t>
    </r>
  </si>
  <si>
    <t>Z =  1.2 V + 1.4 W + 3.3 X + 0.6 Y + 1.0 Z 
Donde:
V =  KT / activo total
W = Utilidades acumuladas / activo total
X =  Utilidad operacional / activo total
Y = Patrimonio / pasivo total
Z =  Ventas / activo total</t>
  </si>
  <si>
    <r>
      <rPr>
        <b/>
        <sz val="10"/>
        <color theme="1"/>
        <rFont val="Trebuchet MS"/>
        <family val="2"/>
      </rPr>
      <t>Modelo de Z o de Altman´s Z Score</t>
    </r>
    <r>
      <rPr>
        <sz val="10"/>
        <color theme="1"/>
        <rFont val="Trebuchet MS"/>
        <family val="2"/>
      </rPr>
      <t xml:space="preserve">
Menor a 1,8 = Probabilidad alta de quiebra o suspensión de pagos
Entre 1,8 y 3 = Sitúa la empresa en zona gris o zona enfermiza.
Mayor que 3 = Posibilidad baja de quiebra o empresa saludable</t>
    </r>
  </si>
  <si>
    <r>
      <t xml:space="preserve">Modelo de Conan y Holder
</t>
    </r>
    <r>
      <rPr>
        <sz val="10"/>
        <color indexed="8"/>
        <rFont val="Trebuchet MS"/>
        <family val="2"/>
      </rPr>
      <t xml:space="preserve">
Es un modelo que analiza diferentes partidas de los estados financieros para determinar la probabilidad de incumplimiento o quiebra de la empresa</t>
    </r>
  </si>
  <si>
    <t>z = 16 V + 22 W - 87 X - 10 Y + 24 Z
Donde:
V =  Disponible / activo total
W = Activos fijos / activo total
X = Gastos financieros / ventas
Y = Gastos administrativos / EVA
Z = UAII / pasivo total</t>
  </si>
  <si>
    <t>Peligro:  Nota inferior a 4
Prudencia:  Nota entre 4 y 9
buen resultado:  Superior a 9</t>
  </si>
  <si>
    <t>RAN</t>
  </si>
  <si>
    <t>CK</t>
  </si>
  <si>
    <t>INDICADORES DE LIQUIDEZ</t>
  </si>
  <si>
    <t>KT - Capital de trabajo</t>
  </si>
  <si>
    <t>Activo corriente</t>
  </si>
  <si>
    <t>Recursos de corto plazo para cubrir deudas de corto plazo y la operación.</t>
  </si>
  <si>
    <t>% KT</t>
  </si>
  <si>
    <t>KT / Activo total</t>
  </si>
  <si>
    <t>Porcentaje del activo corriente sobre el activo total de la empresa</t>
  </si>
  <si>
    <t>KTN - Capital de trabajo neto</t>
  </si>
  <si>
    <t>Activo corriente - pasivo corriente</t>
  </si>
  <si>
    <t>Determina cuanto pesa el capital de trabajo neto sobre el total de activo corriente</t>
  </si>
  <si>
    <t>% KTN</t>
  </si>
  <si>
    <t>KTN / KT</t>
  </si>
  <si>
    <t>Margen de seguridad de la empresa para cumplir sus compromisos de corto plazo.</t>
  </si>
  <si>
    <t>KTO - Capital de trabajo operativo</t>
  </si>
  <si>
    <t>Deudores + inventarios</t>
  </si>
  <si>
    <t>Recursos operativos de corto plazo comprometidos en la operación por cartera pendiente y saldo inventarios</t>
  </si>
  <si>
    <t>% KTO</t>
  </si>
  <si>
    <t>KTO / KT</t>
  </si>
  <si>
    <t>Porcentaje de los recursos de corto plazo operativos sobre el total de activo corriente</t>
  </si>
  <si>
    <t xml:space="preserve">KTNO
Capital de trabajo neto operativo </t>
  </si>
  <si>
    <t>KTO - Proveedores</t>
  </si>
  <si>
    <t>Valor de los recursos operativos de corto plazo que no son financiados por los proveedores (recursos propios).</t>
  </si>
  <si>
    <t>% KTNO</t>
  </si>
  <si>
    <t>KTNO / KTO</t>
  </si>
  <si>
    <t>Porcentaje de los recursos financiados por la empresa sobre el total de recursos comprometidos de corto plazo</t>
  </si>
  <si>
    <t>Productividad KTO</t>
  </si>
  <si>
    <t xml:space="preserve">KTO / ventas </t>
  </si>
  <si>
    <t>Determina los recursos comprometidos en capital de trabajo operativo para la generación de ventas</t>
  </si>
  <si>
    <t xml:space="preserve">KTNO / ventas </t>
  </si>
  <si>
    <t>Recursos propios comprometidos diferentes a la financiación de proveedores para generar ventas</t>
  </si>
  <si>
    <t>Razon corriente - Razón circulante - 
Razón de solvencia - Razón de 
disponibilidad</t>
  </si>
  <si>
    <t>Activo corriente / pasivo corriente</t>
  </si>
  <si>
    <t>Capacidad de la empresa para atender las deudas a corto plazo con sus recursos corrientes.  Por cada peso de deuda cuanto tiene la empresa de respaldo.</t>
  </si>
  <si>
    <t>Inversa a la razón corriente</t>
  </si>
  <si>
    <t xml:space="preserve"> [ ( 1 - (1 / RC ) * 100 ] </t>
  </si>
  <si>
    <t>Determina el porcentaje que la empresa puede disminuir el activo corriente sin que afecte las deudas a corto plazo</t>
  </si>
  <si>
    <t>Prueba ácida o coeficiente liquidez</t>
  </si>
  <si>
    <t>(Activo corriente - inventarios) / pasivo corriente</t>
  </si>
  <si>
    <t>Capacidad para atender deudas de corto plazo sin tener que recurrir a la venta de inventarios.</t>
  </si>
  <si>
    <t>Liquidez Inmediata de primer grado</t>
  </si>
  <si>
    <t>(Disponible + inversiones) / pasivo corriente</t>
  </si>
  <si>
    <t xml:space="preserve">Determina los recursos actuales disponibles para hacer frente a deudas inmediatas.  </t>
  </si>
  <si>
    <t>Liquidez Inmediata de segundo grado</t>
  </si>
  <si>
    <t>(Disponible + inversiones + deudores) / pasivo cte</t>
  </si>
  <si>
    <t xml:space="preserve">Determina los recursos actuales disponibles y la cartera para hacer frente a deudas inmediatas.  </t>
  </si>
  <si>
    <t>Fondo de maniobra sobre deudas a
corto plazo</t>
  </si>
  <si>
    <t>KTN / Pasivos corrientes</t>
  </si>
  <si>
    <t>Determina si el capital de trabajo neto es suficiente para atender las deudas a corto plazo.  Valor adecuado 0.5 a 1</t>
  </si>
  <si>
    <t>Solvencia Financiera o Solidez</t>
  </si>
  <si>
    <t>Activo total / pasivo total</t>
  </si>
  <si>
    <t>Capacidad que tiene la empresa a corto  largo plazo para demostrar su consistencia financiera</t>
  </si>
  <si>
    <t>Razón de cobertura de deuda</t>
  </si>
  <si>
    <t xml:space="preserve"> (Flujo de caja operativo - dividendos pagados) / 
  pasivo corriente</t>
  </si>
  <si>
    <t>Determina el impacto de dividendos en la liquidez de la empresa y en su capacidad de cubrir deudas de corto plazo.  Si el resultado es elevado confirma capacidad de generar efectivo</t>
  </si>
  <si>
    <t>Razón de deuda total (flujo de caja a deuda total)</t>
  </si>
  <si>
    <t>Flujo de caja operativo / Total pasivos</t>
  </si>
  <si>
    <t>Determina la capacidad de generar fondos para cubrir la totalidad de deudas.  Entre más tienda a cero, mayor insolvencia o incapacidad futura</t>
  </si>
  <si>
    <t>Relación deudores a proveedores</t>
  </si>
  <si>
    <t>Deudores / proveedores</t>
  </si>
  <si>
    <t>Determina las veces que el saldo de deudores representa la financiación de recursos con proveedores</t>
  </si>
  <si>
    <t>Eficiencia activo cte</t>
  </si>
  <si>
    <t>Ventas / activo corriente</t>
  </si>
  <si>
    <t>Determina las veces que representan las ventas con relación a los recursos comprometidos en activo corriente</t>
  </si>
  <si>
    <t>Eficiencia activo fijo</t>
  </si>
  <si>
    <t>Ventas / activo fijo</t>
  </si>
  <si>
    <t>Determina las veces que representan las ventas con relación a los recursos comprometidos en activo fijo</t>
  </si>
  <si>
    <t>Variación KTNO</t>
  </si>
  <si>
    <t>Diferencia KTNO entre cada año</t>
  </si>
  <si>
    <t>Establece cuanto aumentó o disminuyó el capital de trabajo neto operativo.  Debe ser analizado con las ventas</t>
  </si>
  <si>
    <t>Variación activos fijos</t>
  </si>
  <si>
    <t>Diferencia saldo activos fijos en cada año</t>
  </si>
  <si>
    <t>Determina el uso de recursos para el crecimiento de los activos fijos operativos.</t>
  </si>
  <si>
    <t>Servicio de la deuda</t>
  </si>
  <si>
    <t>Diferencia obligaciones financieras + gasto interés</t>
  </si>
  <si>
    <t>Determina la variación en el saldo de las obligaciones financieras o recursos utilizados para el pago de deudas</t>
  </si>
  <si>
    <t>KT</t>
  </si>
  <si>
    <t>KTN</t>
  </si>
  <si>
    <t>KTO</t>
  </si>
  <si>
    <t>FLUJO DE CAJA</t>
  </si>
  <si>
    <t>INTERPRETACIÓN</t>
  </si>
  <si>
    <t>FLUJO DE CAJA BRUTO (FCB)</t>
  </si>
  <si>
    <t>EBITDA - IMPUESTO DE RENTA</t>
  </si>
  <si>
    <t>Determina el flujo de caja operativo bruto de la empresa al restarle el impuesto de renta</t>
  </si>
  <si>
    <t>EFECTIVO GENERADO EN LA OPERACIÓN (EGO)</t>
  </si>
  <si>
    <t>FCB - VARIACIÓN KTNO</t>
  </si>
  <si>
    <t>Al flujo de caja bruto se le resta la reposiicón de capital de trabajo neto operativo para obtener el EGO</t>
  </si>
  <si>
    <t>FLUJO DE CAJA LIBRE (FCL)</t>
  </si>
  <si>
    <t>EGO - VARIACIÓN ACTIVOS FIJOS SIN VALORIZACIÓN</t>
  </si>
  <si>
    <t>Al EGO se le resta la variación en activos fijos para garantizar el crecimiento de la empresa en reponer activos fijos = FCL</t>
  </si>
  <si>
    <t>FLUJO DE CAJA DEL ACCIONISTA (FCA)</t>
  </si>
  <si>
    <t>FCL + VARIACIÓN PASIVOS SIN PROVEEDORES - GASTOS FINANCIEROS</t>
  </si>
  <si>
    <t>El FCL se le resta el pago de deudas, tanto capital como intereses para obtener el flujo de caja del accionista</t>
  </si>
  <si>
    <t>FLUJO DE CAJA DISPONIBLE (FCD)</t>
  </si>
  <si>
    <t>FCA + VARIACIÓN CAPITAL SOCIAL - DIVIDENDOS PAGADOS</t>
  </si>
  <si>
    <t>Al FCA se le resta la variación en aportes de capital y los dividendos pagados para obtener el flujo de caja disponible despues de crecimiento, operación y dividendos</t>
  </si>
  <si>
    <t>ANÁLISIS HORIZONTAL AL BALANCE GENERAL</t>
  </si>
  <si>
    <t>var absoluta</t>
  </si>
  <si>
    <t>var relativa</t>
  </si>
  <si>
    <t xml:space="preserve">PASIVOS </t>
  </si>
  <si>
    <t>ANALISIS HORIZONTAL AL ESTADO DE RESULTADOS</t>
  </si>
  <si>
    <t>AUMENTO MÁXIMO</t>
  </si>
  <si>
    <t>AUMENTO MÍNIMO O DISMINUCIÓN MAXIMA</t>
  </si>
  <si>
    <t>ESTADO DE CAMBIOS EN EL PATRIMONIO</t>
  </si>
  <si>
    <t>SALDO INICIAL</t>
  </si>
  <si>
    <t>AUMENTOS</t>
  </si>
  <si>
    <t>DISMINUCIONES</t>
  </si>
  <si>
    <t>SALDO FINAL</t>
  </si>
  <si>
    <t>CONSOLIDADO</t>
  </si>
  <si>
    <t>ESTADO DE CAMBIOS EN LA SITUACION FINANCIERA</t>
  </si>
  <si>
    <t>FUENTES</t>
  </si>
  <si>
    <t>APLICACIONES</t>
  </si>
  <si>
    <t>FUENTES DE CORTO PLAZO</t>
  </si>
  <si>
    <t>APLICACIONES DE CORTO PLAZO</t>
  </si>
  <si>
    <t>TOTAL FUENTES DE CORTO PLAZO</t>
  </si>
  <si>
    <t>TOTAL APLICACIONES DE CORTO PLAZO</t>
  </si>
  <si>
    <t>FUENTES DE LARGO PLAZO</t>
  </si>
  <si>
    <t>TOTAL FUENTES DE LARGO PLAZO</t>
  </si>
  <si>
    <t>TOTAL APLICACIONES DE LARGO PLAZO</t>
  </si>
  <si>
    <t>GENERACION INTERNA DE RECURSOS</t>
  </si>
  <si>
    <t>Resultado del período</t>
  </si>
  <si>
    <t>Distribución de dividendos</t>
  </si>
  <si>
    <t>Depreciación del período</t>
  </si>
  <si>
    <t>TOTAL GENERACION INTERNA RECURSOS</t>
  </si>
  <si>
    <t>TOTAL FUENTES</t>
  </si>
  <si>
    <t>TOTAL APLICACIONES</t>
  </si>
  <si>
    <t>PRINCIPIO DE CONFORMIDAD FINANCIERA</t>
  </si>
  <si>
    <t>Este principio determina que con las fuentes de corto plazo, la empresa debe cubrir las aplicaciones de corto plazo y con las fuentes</t>
  </si>
  <si>
    <t>de largo plazo y la generación interna de fondos, cubrir sus aplicaciones de largo plazo</t>
  </si>
  <si>
    <t>DISTRIBUCION DE DIVIDENDOS</t>
  </si>
  <si>
    <t>TOTAL</t>
  </si>
  <si>
    <t>DATOS PARA ANÁLISIS GRÁFICO</t>
  </si>
  <si>
    <t>Activos</t>
  </si>
  <si>
    <t>Pasivos</t>
  </si>
  <si>
    <t>Activo largo plazo</t>
  </si>
  <si>
    <t>Pasivo corriente</t>
  </si>
  <si>
    <t>Pasivo largo plazo</t>
  </si>
  <si>
    <t>Ingresos</t>
  </si>
  <si>
    <t>Costos</t>
  </si>
  <si>
    <t>Gastos</t>
  </si>
  <si>
    <t>Total ingresos</t>
  </si>
  <si>
    <t>Total egresos</t>
  </si>
  <si>
    <t>Utilidad operativa</t>
  </si>
  <si>
    <t>Utilidad neta</t>
  </si>
  <si>
    <t>RANGO PARA CONTROL</t>
  </si>
  <si>
    <t>LIQUIDEZ Y ACTIVIDAD</t>
  </si>
  <si>
    <t>META</t>
  </si>
  <si>
    <t>SECTOR</t>
  </si>
  <si>
    <t>Mínimo</t>
  </si>
  <si>
    <t>Sobresaliente</t>
  </si>
  <si>
    <t>Prueba acida</t>
  </si>
  <si>
    <t>Dias cartera</t>
  </si>
  <si>
    <t>Dias inventario</t>
  </si>
  <si>
    <t>Dias proveedores</t>
  </si>
  <si>
    <t>ENDEUDAMIENTO</t>
  </si>
  <si>
    <t>Endeud. Corto Plazo</t>
  </si>
  <si>
    <t>Carga Financiera</t>
  </si>
  <si>
    <t>RENTABILIDAD</t>
  </si>
  <si>
    <t>Rent. Patrim.</t>
  </si>
  <si>
    <t>Rent. Activos</t>
  </si>
  <si>
    <t>Marg. Oper.</t>
  </si>
  <si>
    <t>Palanca crecimiento</t>
  </si>
  <si>
    <t>GENERACION VALOR</t>
  </si>
  <si>
    <t>A.N.de O.</t>
  </si>
  <si>
    <t>UODI</t>
  </si>
  <si>
    <t>Costo promedio de capital</t>
  </si>
  <si>
    <t>Rentabilidad del activo neto</t>
  </si>
  <si>
    <t>% de EVA</t>
  </si>
  <si>
    <t>TABLERO DE CONTROL DE INDICADORES</t>
  </si>
  <si>
    <t>Menor</t>
  </si>
  <si>
    <t>Medio</t>
  </si>
  <si>
    <t>Mayor</t>
  </si>
  <si>
    <t>Margen Bruto</t>
  </si>
  <si>
    <t>Margen Operativo</t>
  </si>
  <si>
    <t>Rentabilidad activo operativo</t>
  </si>
  <si>
    <t>Rentabilidad del patrimonio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</si>
</sst>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 #,##0.00;[Red]\-&quot;$&quot;\ #,##0.00"/>
    <numFmt numFmtId="41" formatCode="_-* #,##0_-;\-* #,##0_-;_-* &quot;-&quot;_-;_-@_-"/>
    <numFmt numFmtId="44" formatCode="_-&quot;$&quot;\ * #,##0.00_-;\-&quot;$&quot;\ * #,##0.00_-;_-&quot;$&quot;\ * &quot;-&quot;??_-;_-@_-"/>
    <numFmt numFmtId="164" formatCode="_-* #,##0.00\ _€_-;\-* #,##0.00\ _€_-;_-* &quot;-&quot;??\ _€_-;_-@_-"/>
    <numFmt numFmtId="165" formatCode="#,##0_ ;\-#,##0\ "/>
    <numFmt numFmtId="166" formatCode="0.0%"/>
    <numFmt numFmtId="167" formatCode="_-* #,##0\ _€_-;\-* #,##0\ _€_-;_-* &quot;-&quot;??\ _€_-;_-@_-"/>
    <numFmt numFmtId="168" formatCode="#,##0.0"/>
    <numFmt numFmtId="169" formatCode="0.0"/>
    <numFmt numFmtId="170" formatCode="_-&quot;$&quot;\ * #,##0_-;\-&quot;$&quot;\ * #,##0_-;_-&quot;$&quot;\ * &quot;-&quot;??_-;_-@_-"/>
    <numFmt numFmtId="171" formatCode="#,##0.00000"/>
    <numFmt numFmtId="172" formatCode="#,##0_ ;[Red]\-#,##0\ "/>
  </numFmts>
  <fonts count="47" x14ac:knownFonts="1">
    <font>
      <sz val="10"/>
      <color theme="1"/>
      <name val="Trebuchet MS"/>
      <family val="2"/>
    </font>
    <font>
      <sz val="11"/>
      <color theme="1"/>
      <name val="Calibri"/>
      <family val="2"/>
      <scheme val="minor"/>
    </font>
    <font>
      <sz val="10"/>
      <color indexed="8"/>
      <name val="Trebuchet MS"/>
      <family val="2"/>
    </font>
    <font>
      <sz val="10"/>
      <name val="Trebuchet MS"/>
      <family val="2"/>
    </font>
    <font>
      <b/>
      <sz val="10"/>
      <name val="Trebuchet MS"/>
      <family val="2"/>
    </font>
    <font>
      <sz val="8"/>
      <name val="Trebuchet MS"/>
      <family val="2"/>
    </font>
    <font>
      <b/>
      <sz val="16"/>
      <name val="Trebuchet MS"/>
      <family val="2"/>
    </font>
    <font>
      <b/>
      <sz val="11"/>
      <name val="Trebuchet MS"/>
      <family val="2"/>
    </font>
    <font>
      <b/>
      <sz val="10"/>
      <color indexed="8"/>
      <name val="Trebuchet MS"/>
      <family val="2"/>
    </font>
    <font>
      <b/>
      <sz val="10"/>
      <name val="Arial"/>
      <family val="2"/>
    </font>
    <font>
      <sz val="10"/>
      <name val="Arial"/>
      <family val="2"/>
    </font>
    <font>
      <sz val="16"/>
      <name val="Trebuchet MS"/>
      <family val="2"/>
    </font>
    <font>
      <sz val="11"/>
      <name val="Arial"/>
      <family val="2"/>
    </font>
    <font>
      <b/>
      <sz val="11"/>
      <name val="Arial"/>
      <family val="2"/>
    </font>
    <font>
      <b/>
      <sz val="12"/>
      <name val="Arial"/>
      <family val="2"/>
    </font>
    <font>
      <b/>
      <sz val="11"/>
      <color indexed="8"/>
      <name val="Arial"/>
      <family val="2"/>
    </font>
    <font>
      <sz val="11"/>
      <color indexed="8"/>
      <name val="Arial"/>
      <family val="2"/>
    </font>
    <font>
      <sz val="11"/>
      <color indexed="9"/>
      <name val="Arial"/>
      <family val="2"/>
    </font>
    <font>
      <b/>
      <u/>
      <sz val="12"/>
      <name val="Arial"/>
      <family val="2"/>
    </font>
    <font>
      <b/>
      <u/>
      <sz val="10"/>
      <name val="Arial"/>
      <family val="2"/>
    </font>
    <font>
      <b/>
      <sz val="14"/>
      <name val="Trebuchet MS"/>
      <family val="2"/>
    </font>
    <font>
      <b/>
      <sz val="11"/>
      <color indexed="8"/>
      <name val="Trebuchet MS"/>
      <family val="2"/>
    </font>
    <font>
      <sz val="11"/>
      <color indexed="8"/>
      <name val="Calibri"/>
      <family val="2"/>
    </font>
    <font>
      <sz val="7"/>
      <color indexed="8"/>
      <name val="Times New Roman"/>
      <family val="1"/>
    </font>
    <font>
      <sz val="10"/>
      <color theme="1"/>
      <name val="Trebuchet MS"/>
      <family val="2"/>
    </font>
    <font>
      <u/>
      <sz val="10"/>
      <color theme="10"/>
      <name val="Trebuchet MS"/>
      <family val="2"/>
    </font>
    <font>
      <b/>
      <sz val="10"/>
      <color theme="1"/>
      <name val="Trebuchet MS"/>
      <family val="2"/>
    </font>
    <font>
      <sz val="11"/>
      <color theme="0"/>
      <name val="Arial"/>
      <family val="2"/>
    </font>
    <font>
      <sz val="11"/>
      <color theme="1"/>
      <name val="Arial"/>
      <family val="2"/>
    </font>
    <font>
      <sz val="11"/>
      <color rgb="FFFF0000"/>
      <name val="Arial"/>
      <family val="2"/>
    </font>
    <font>
      <b/>
      <sz val="11"/>
      <color theme="1"/>
      <name val="Arial"/>
      <family val="2"/>
    </font>
    <font>
      <sz val="10"/>
      <color theme="0"/>
      <name val="Trebuchet MS"/>
      <family val="2"/>
    </font>
    <font>
      <b/>
      <sz val="10"/>
      <color rgb="FFFF0000"/>
      <name val="Trebuchet MS"/>
      <family val="2"/>
    </font>
    <font>
      <sz val="14"/>
      <color theme="10"/>
      <name val="Trebuchet MS"/>
      <family val="2"/>
    </font>
    <font>
      <b/>
      <sz val="14"/>
      <color theme="1"/>
      <name val="Trebuchet MS"/>
      <family val="2"/>
    </font>
    <font>
      <sz val="11"/>
      <color theme="1"/>
      <name val="Trebuchet MS"/>
      <family val="2"/>
    </font>
    <font>
      <sz val="10"/>
      <color rgb="FFFF0000"/>
      <name val="Trebuchet MS"/>
      <family val="2"/>
    </font>
    <font>
      <b/>
      <sz val="6"/>
      <color rgb="FF000000"/>
      <name val="Calibri"/>
      <family val="2"/>
    </font>
    <font>
      <sz val="11"/>
      <color theme="1"/>
      <name val="Calibri"/>
      <family val="2"/>
    </font>
    <font>
      <sz val="9"/>
      <color theme="1"/>
      <name val="Trebuchet MS"/>
      <family val="2"/>
    </font>
    <font>
      <sz val="8"/>
      <color theme="1"/>
      <name val="Trebuchet MS"/>
      <family val="2"/>
    </font>
    <font>
      <sz val="9"/>
      <color rgb="FFFF0000"/>
      <name val="Trebuchet MS"/>
      <family val="2"/>
    </font>
    <font>
      <b/>
      <sz val="16"/>
      <name val="Arial"/>
      <family val="2"/>
    </font>
    <font>
      <b/>
      <sz val="20"/>
      <name val="Arial"/>
      <family val="2"/>
    </font>
    <font>
      <b/>
      <sz val="20"/>
      <name val="Trebuchet MS"/>
      <family val="2"/>
    </font>
    <font>
      <sz val="12"/>
      <color theme="1"/>
      <name val="Times New Roman"/>
      <family val="1"/>
    </font>
    <font>
      <b/>
      <sz val="22"/>
      <color theme="1"/>
      <name val="Trebuchet MS"/>
      <family val="2"/>
    </font>
  </fonts>
  <fills count="2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9FB9F"/>
        <bgColor indexed="64"/>
      </patternFill>
    </fill>
    <fill>
      <patternFill patternType="solid">
        <fgColor theme="4" tint="0.79998168889431442"/>
        <bgColor indexed="64"/>
      </patternFill>
    </fill>
    <fill>
      <patternFill patternType="solid">
        <fgColor rgb="FFFEFECA"/>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rgb="FFFF0000"/>
      </left>
      <right style="thin">
        <color indexed="64"/>
      </right>
      <top style="double">
        <color rgb="FFFF0000"/>
      </top>
      <bottom style="double">
        <color rgb="FFFF0000"/>
      </bottom>
      <diagonal/>
    </border>
    <border>
      <left style="thin">
        <color indexed="64"/>
      </left>
      <right style="thin">
        <color indexed="64"/>
      </right>
      <top style="double">
        <color rgb="FFFF0000"/>
      </top>
      <bottom style="double">
        <color rgb="FFFF0000"/>
      </bottom>
      <diagonal/>
    </border>
    <border>
      <left style="thin">
        <color indexed="64"/>
      </left>
      <right style="double">
        <color rgb="FFFF0000"/>
      </right>
      <top style="double">
        <color rgb="FFFF0000"/>
      </top>
      <bottom style="double">
        <color rgb="FFFF0000"/>
      </bottom>
      <diagonal/>
    </border>
    <border>
      <left style="double">
        <color indexed="64"/>
      </left>
      <right style="double">
        <color indexed="64"/>
      </right>
      <top style="double">
        <color indexed="64"/>
      </top>
      <bottom style="double">
        <color indexed="64"/>
      </bottom>
      <diagonal/>
    </border>
    <border>
      <left style="double">
        <color rgb="FFFF0000"/>
      </left>
      <right/>
      <top style="double">
        <color rgb="FFFF0000"/>
      </top>
      <bottom style="thin">
        <color indexed="64"/>
      </bottom>
      <diagonal/>
    </border>
    <border>
      <left style="double">
        <color rgb="FFFF0000"/>
      </left>
      <right/>
      <top style="thin">
        <color indexed="64"/>
      </top>
      <bottom style="thin">
        <color indexed="64"/>
      </bottom>
      <diagonal/>
    </border>
    <border>
      <left style="double">
        <color rgb="FFFF0000"/>
      </left>
      <right/>
      <top style="thin">
        <color indexed="64"/>
      </top>
      <bottom style="double">
        <color rgb="FFFF000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9">
    <xf numFmtId="0" fontId="0" fillId="0" borderId="0"/>
    <xf numFmtId="0" fontId="25" fillId="0" borderId="0" applyNumberFormat="0" applyFill="0" applyBorder="0" applyAlignment="0" applyProtection="0">
      <alignment vertical="top"/>
      <protection locked="0"/>
    </xf>
    <xf numFmtId="164" fontId="2" fillId="0" borderId="0" applyFont="0" applyFill="0" applyBorder="0" applyAlignment="0" applyProtection="0"/>
    <xf numFmtId="9" fontId="2" fillId="0" borderId="0" applyFont="0" applyFill="0" applyBorder="0" applyAlignment="0" applyProtection="0"/>
    <xf numFmtId="41" fontId="24" fillId="0" borderId="0" applyFont="0" applyFill="0" applyBorder="0" applyAlignment="0" applyProtection="0"/>
    <xf numFmtId="0" fontId="1" fillId="0" borderId="0"/>
    <xf numFmtId="41" fontId="1" fillId="0" borderId="0" applyFont="0" applyFill="0" applyBorder="0" applyAlignment="0" applyProtection="0"/>
    <xf numFmtId="9" fontId="1" fillId="0" borderId="0" applyFont="0" applyFill="0" applyBorder="0" applyAlignment="0" applyProtection="0"/>
    <xf numFmtId="44" fontId="24" fillId="0" borderId="0" applyFont="0" applyFill="0" applyBorder="0" applyAlignment="0" applyProtection="0"/>
  </cellStyleXfs>
  <cellXfs count="588">
    <xf numFmtId="0" fontId="0" fillId="0" borderId="0" xfId="0"/>
    <xf numFmtId="3" fontId="0" fillId="0" borderId="0" xfId="0" applyNumberFormat="1"/>
    <xf numFmtId="0" fontId="3" fillId="0" borderId="0" xfId="0" applyFont="1"/>
    <xf numFmtId="3" fontId="3" fillId="0" borderId="1" xfId="0" applyNumberFormat="1" applyFont="1" applyBorder="1" applyAlignment="1">
      <alignment horizontal="right"/>
    </xf>
    <xf numFmtId="0" fontId="3" fillId="0" borderId="2" xfId="0" applyFont="1" applyBorder="1"/>
    <xf numFmtId="3" fontId="4" fillId="2" borderId="1" xfId="0" applyNumberFormat="1" applyFont="1" applyFill="1" applyBorder="1" applyAlignment="1">
      <alignment horizontal="right"/>
    </xf>
    <xf numFmtId="0" fontId="4" fillId="0" borderId="0" xfId="0" applyFont="1"/>
    <xf numFmtId="0" fontId="4" fillId="0" borderId="1" xfId="0" applyFont="1" applyBorder="1" applyAlignment="1">
      <alignment horizontal="center"/>
    </xf>
    <xf numFmtId="3" fontId="3" fillId="2" borderId="1" xfId="0" applyNumberFormat="1" applyFont="1" applyFill="1" applyBorder="1" applyAlignment="1">
      <alignment horizontal="right"/>
    </xf>
    <xf numFmtId="169" fontId="0" fillId="0" borderId="1" xfId="0" applyNumberFormat="1" applyBorder="1"/>
    <xf numFmtId="0" fontId="8" fillId="2" borderId="1" xfId="0" applyFont="1" applyFill="1" applyBorder="1"/>
    <xf numFmtId="1" fontId="0" fillId="0" borderId="1" xfId="0" applyNumberFormat="1" applyBorder="1"/>
    <xf numFmtId="0" fontId="0" fillId="0" borderId="1" xfId="0" applyBorder="1"/>
    <xf numFmtId="3" fontId="24" fillId="0" borderId="1" xfId="3" applyNumberFormat="1" applyFont="1" applyBorder="1"/>
    <xf numFmtId="0" fontId="5" fillId="4" borderId="3" xfId="0" applyFont="1" applyFill="1" applyBorder="1" applyAlignment="1">
      <alignment horizontal="center"/>
    </xf>
    <xf numFmtId="0" fontId="26" fillId="4" borderId="1" xfId="0" applyFont="1" applyFill="1" applyBorder="1" applyAlignment="1">
      <alignment horizontal="center"/>
    </xf>
    <xf numFmtId="0" fontId="26" fillId="5" borderId="1" xfId="0" applyFont="1" applyFill="1" applyBorder="1" applyAlignment="1">
      <alignment horizontal="center"/>
    </xf>
    <xf numFmtId="0" fontId="26" fillId="6" borderId="1" xfId="0" applyFont="1" applyFill="1" applyBorder="1" applyAlignment="1">
      <alignment horizontal="center"/>
    </xf>
    <xf numFmtId="0" fontId="26" fillId="7" borderId="1" xfId="0" applyFont="1" applyFill="1" applyBorder="1" applyAlignment="1">
      <alignment horizontal="center"/>
    </xf>
    <xf numFmtId="0" fontId="26" fillId="0" borderId="1" xfId="0" applyFont="1" applyBorder="1"/>
    <xf numFmtId="0" fontId="4" fillId="2" borderId="1" xfId="0" applyFont="1" applyFill="1" applyBorder="1" applyAlignment="1">
      <alignment horizontal="left"/>
    </xf>
    <xf numFmtId="0" fontId="7" fillId="2" borderId="1" xfId="0" applyFont="1" applyFill="1" applyBorder="1" applyAlignment="1">
      <alignment horizontal="center"/>
    </xf>
    <xf numFmtId="0" fontId="3" fillId="0" borderId="1" xfId="0" applyFont="1" applyBorder="1" applyAlignment="1">
      <alignment horizontal="left" indent="3"/>
    </xf>
    <xf numFmtId="0" fontId="4" fillId="2" borderId="1" xfId="0" applyFont="1" applyFill="1" applyBorder="1" applyAlignment="1">
      <alignment horizontal="left" indent="3"/>
    </xf>
    <xf numFmtId="0" fontId="3" fillId="0" borderId="1" xfId="0" applyFont="1" applyBorder="1" applyAlignment="1">
      <alignment horizontal="left"/>
    </xf>
    <xf numFmtId="0" fontId="4" fillId="2" borderId="1" xfId="0" applyFont="1" applyFill="1" applyBorder="1" applyAlignment="1">
      <alignment horizontal="left" indent="1"/>
    </xf>
    <xf numFmtId="0" fontId="3" fillId="0" borderId="1" xfId="0" applyFont="1" applyBorder="1" applyAlignment="1">
      <alignment horizontal="left" indent="1"/>
    </xf>
    <xf numFmtId="0" fontId="4" fillId="2" borderId="1" xfId="0" applyFont="1" applyFill="1" applyBorder="1"/>
    <xf numFmtId="0" fontId="4" fillId="2" borderId="1" xfId="0" applyFont="1" applyFill="1" applyBorder="1" applyAlignment="1">
      <alignment horizontal="center"/>
    </xf>
    <xf numFmtId="0" fontId="4" fillId="0" borderId="1" xfId="0" applyFont="1" applyBorder="1"/>
    <xf numFmtId="0" fontId="3" fillId="0" borderId="1" xfId="0" applyFont="1" applyBorder="1" applyAlignment="1">
      <alignment horizontal="left" indent="2"/>
    </xf>
    <xf numFmtId="3" fontId="4" fillId="2" borderId="1" xfId="0" applyNumberFormat="1" applyFont="1" applyFill="1" applyBorder="1"/>
    <xf numFmtId="1" fontId="0" fillId="0" borderId="0" xfId="0" applyNumberFormat="1" applyAlignment="1">
      <alignment horizontal="center"/>
    </xf>
    <xf numFmtId="0" fontId="8" fillId="2" borderId="1" xfId="0" applyFont="1" applyFill="1" applyBorder="1" applyAlignment="1">
      <alignment horizontal="center"/>
    </xf>
    <xf numFmtId="0" fontId="0" fillId="4" borderId="4" xfId="0" applyFill="1" applyBorder="1"/>
    <xf numFmtId="0" fontId="0" fillId="4" borderId="0" xfId="0" applyFill="1"/>
    <xf numFmtId="0" fontId="0" fillId="4" borderId="5" xfId="0" applyFill="1" applyBorder="1"/>
    <xf numFmtId="0" fontId="0" fillId="4" borderId="3" xfId="0" applyFill="1" applyBorder="1"/>
    <xf numFmtId="0" fontId="26" fillId="4" borderId="6" xfId="0" applyFont="1" applyFill="1" applyBorder="1"/>
    <xf numFmtId="0" fontId="0" fillId="4" borderId="7" xfId="0" applyFill="1" applyBorder="1"/>
    <xf numFmtId="3" fontId="3" fillId="0" borderId="1" xfId="0" applyNumberFormat="1" applyFont="1" applyBorder="1" applyAlignment="1">
      <alignment horizontal="center"/>
    </xf>
    <xf numFmtId="0" fontId="4" fillId="8" borderId="1" xfId="0" applyFont="1" applyFill="1" applyBorder="1" applyAlignment="1">
      <alignment horizontal="left"/>
    </xf>
    <xf numFmtId="3" fontId="4" fillId="8" borderId="1" xfId="0" applyNumberFormat="1" applyFont="1" applyFill="1" applyBorder="1" applyAlignment="1">
      <alignment horizontal="right"/>
    </xf>
    <xf numFmtId="0" fontId="4" fillId="9" borderId="1" xfId="0" applyFont="1" applyFill="1" applyBorder="1" applyAlignment="1">
      <alignment horizontal="left"/>
    </xf>
    <xf numFmtId="3" fontId="4" fillId="9" borderId="1" xfId="0" applyNumberFormat="1" applyFont="1" applyFill="1" applyBorder="1" applyAlignment="1">
      <alignment horizontal="right"/>
    </xf>
    <xf numFmtId="1" fontId="4" fillId="0" borderId="1" xfId="0" applyNumberFormat="1" applyFont="1" applyBorder="1" applyAlignment="1">
      <alignment horizontal="center"/>
    </xf>
    <xf numFmtId="0" fontId="2" fillId="0" borderId="1" xfId="0" applyFont="1" applyBorder="1" applyAlignment="1">
      <alignment wrapText="1"/>
    </xf>
    <xf numFmtId="0" fontId="8" fillId="0" borderId="1" xfId="0" applyFont="1" applyBorder="1"/>
    <xf numFmtId="3" fontId="26" fillId="0" borderId="1" xfId="3" applyNumberFormat="1" applyFont="1" applyBorder="1"/>
    <xf numFmtId="0" fontId="8" fillId="9" borderId="1" xfId="0" applyFont="1" applyFill="1" applyBorder="1"/>
    <xf numFmtId="0" fontId="26" fillId="9" borderId="1" xfId="0" applyFont="1" applyFill="1" applyBorder="1"/>
    <xf numFmtId="10" fontId="26" fillId="9" borderId="1" xfId="3" applyNumberFormat="1" applyFont="1" applyFill="1" applyBorder="1"/>
    <xf numFmtId="3" fontId="0" fillId="0" borderId="1" xfId="0" applyNumberFormat="1" applyBorder="1" applyAlignment="1">
      <alignment horizontal="center"/>
    </xf>
    <xf numFmtId="3" fontId="26" fillId="0" borderId="1" xfId="0" applyNumberFormat="1" applyFont="1" applyBorder="1" applyAlignment="1">
      <alignment horizontal="center"/>
    </xf>
    <xf numFmtId="3" fontId="26" fillId="0" borderId="0" xfId="0" applyNumberFormat="1" applyFont="1"/>
    <xf numFmtId="10" fontId="0" fillId="0" borderId="0" xfId="0" applyNumberFormat="1"/>
    <xf numFmtId="2" fontId="0" fillId="0" borderId="1" xfId="0" applyNumberFormat="1" applyBorder="1"/>
    <xf numFmtId="0" fontId="26" fillId="5" borderId="1" xfId="0" applyFont="1" applyFill="1" applyBorder="1"/>
    <xf numFmtId="0" fontId="0" fillId="10" borderId="1" xfId="0" applyFill="1" applyBorder="1"/>
    <xf numFmtId="0" fontId="26" fillId="11" borderId="1" xfId="0" applyFont="1" applyFill="1" applyBorder="1"/>
    <xf numFmtId="3" fontId="26" fillId="11" borderId="1" xfId="0" applyNumberFormat="1" applyFont="1" applyFill="1" applyBorder="1"/>
    <xf numFmtId="4" fontId="26" fillId="11" borderId="1" xfId="0" applyNumberFormat="1" applyFont="1" applyFill="1" applyBorder="1"/>
    <xf numFmtId="0" fontId="26" fillId="10" borderId="1" xfId="0" applyFont="1" applyFill="1" applyBorder="1"/>
    <xf numFmtId="3" fontId="26" fillId="10" borderId="1" xfId="0" applyNumberFormat="1" applyFont="1" applyFill="1" applyBorder="1"/>
    <xf numFmtId="0" fontId="0" fillId="9" borderId="1" xfId="0" applyFill="1" applyBorder="1"/>
    <xf numFmtId="10" fontId="0" fillId="9" borderId="1" xfId="0" applyNumberFormat="1" applyFill="1" applyBorder="1"/>
    <xf numFmtId="0" fontId="0" fillId="5" borderId="1" xfId="0" applyFill="1" applyBorder="1"/>
    <xf numFmtId="10" fontId="0" fillId="5" borderId="1" xfId="0" applyNumberFormat="1" applyFill="1" applyBorder="1"/>
    <xf numFmtId="0" fontId="0" fillId="5" borderId="1" xfId="0" applyFill="1" applyBorder="1" applyAlignment="1">
      <alignment horizontal="center"/>
    </xf>
    <xf numFmtId="0" fontId="0" fillId="9" borderId="1" xfId="0" applyFill="1" applyBorder="1" applyAlignment="1">
      <alignment horizontal="center"/>
    </xf>
    <xf numFmtId="0" fontId="26" fillId="11" borderId="1" xfId="0" applyFont="1" applyFill="1" applyBorder="1" applyAlignment="1">
      <alignment horizontal="center"/>
    </xf>
    <xf numFmtId="0" fontId="26" fillId="12" borderId="1" xfId="0" applyFont="1" applyFill="1" applyBorder="1"/>
    <xf numFmtId="0" fontId="0" fillId="12" borderId="1" xfId="0" applyFill="1" applyBorder="1" applyAlignment="1">
      <alignment horizontal="center"/>
    </xf>
    <xf numFmtId="0" fontId="0" fillId="12" borderId="1" xfId="0" applyFill="1" applyBorder="1"/>
    <xf numFmtId="10" fontId="0" fillId="12" borderId="1" xfId="0" applyNumberFormat="1" applyFill="1" applyBorder="1"/>
    <xf numFmtId="3" fontId="26" fillId="12" borderId="1" xfId="0" applyNumberFormat="1" applyFont="1" applyFill="1" applyBorder="1"/>
    <xf numFmtId="10" fontId="26" fillId="12" borderId="1" xfId="3" applyNumberFormat="1" applyFont="1" applyFill="1" applyBorder="1"/>
    <xf numFmtId="10" fontId="24" fillId="0" borderId="1" xfId="3" applyNumberFormat="1" applyFont="1" applyBorder="1"/>
    <xf numFmtId="0" fontId="11" fillId="4" borderId="5" xfId="0" applyFont="1" applyFill="1" applyBorder="1"/>
    <xf numFmtId="0" fontId="13" fillId="2" borderId="1" xfId="0" applyFont="1" applyFill="1" applyBorder="1" applyAlignment="1">
      <alignment horizontal="center"/>
    </xf>
    <xf numFmtId="0" fontId="12" fillId="0" borderId="0" xfId="0" applyFont="1"/>
    <xf numFmtId="0" fontId="13" fillId="2" borderId="1" xfId="0" applyFont="1" applyFill="1" applyBorder="1" applyAlignment="1">
      <alignment horizontal="left"/>
    </xf>
    <xf numFmtId="0" fontId="12" fillId="0" borderId="1" xfId="0" applyFont="1" applyBorder="1" applyAlignment="1">
      <alignment horizontal="left" indent="3"/>
    </xf>
    <xf numFmtId="3" fontId="12" fillId="0" borderId="1" xfId="0" applyNumberFormat="1" applyFont="1" applyBorder="1" applyAlignment="1">
      <alignment horizontal="right"/>
    </xf>
    <xf numFmtId="0" fontId="13" fillId="2" borderId="1" xfId="0" applyFont="1" applyFill="1" applyBorder="1" applyAlignment="1">
      <alignment horizontal="left" indent="3"/>
    </xf>
    <xf numFmtId="3" fontId="13" fillId="2" borderId="1" xfId="0" applyNumberFormat="1" applyFont="1" applyFill="1" applyBorder="1" applyAlignment="1">
      <alignment horizontal="right"/>
    </xf>
    <xf numFmtId="3" fontId="12" fillId="0" borderId="0" xfId="0" applyNumberFormat="1" applyFont="1"/>
    <xf numFmtId="0" fontId="13" fillId="9" borderId="1" xfId="0" applyFont="1" applyFill="1" applyBorder="1" applyAlignment="1">
      <alignment horizontal="left"/>
    </xf>
    <xf numFmtId="3" fontId="13" fillId="9" borderId="1" xfId="0" applyNumberFormat="1" applyFont="1" applyFill="1" applyBorder="1" applyAlignment="1">
      <alignment horizontal="right"/>
    </xf>
    <xf numFmtId="0" fontId="13" fillId="0" borderId="0" xfId="0" applyFont="1"/>
    <xf numFmtId="0" fontId="13" fillId="2" borderId="1" xfId="0" applyFont="1" applyFill="1" applyBorder="1" applyAlignment="1">
      <alignment horizontal="left" indent="1"/>
    </xf>
    <xf numFmtId="0" fontId="12" fillId="0" borderId="1" xfId="0" applyFont="1" applyBorder="1" applyAlignment="1">
      <alignment horizontal="left" indent="1"/>
    </xf>
    <xf numFmtId="0" fontId="12" fillId="4" borderId="5" xfId="0" applyFont="1" applyFill="1" applyBorder="1"/>
    <xf numFmtId="0" fontId="12" fillId="4" borderId="3" xfId="0" applyFont="1" applyFill="1" applyBorder="1"/>
    <xf numFmtId="0" fontId="12" fillId="4" borderId="9" xfId="0" applyFont="1" applyFill="1" applyBorder="1"/>
    <xf numFmtId="0" fontId="12" fillId="0" borderId="6" xfId="0" applyFont="1" applyBorder="1"/>
    <xf numFmtId="0" fontId="13" fillId="14" borderId="1" xfId="0" applyFont="1" applyFill="1" applyBorder="1" applyAlignment="1">
      <alignment horizontal="center"/>
    </xf>
    <xf numFmtId="0" fontId="13" fillId="4" borderId="1" xfId="0" applyFont="1" applyFill="1" applyBorder="1" applyAlignment="1">
      <alignment horizontal="center"/>
    </xf>
    <xf numFmtId="0" fontId="13" fillId="5" borderId="1" xfId="0" applyFont="1" applyFill="1" applyBorder="1" applyAlignment="1">
      <alignment horizontal="center"/>
    </xf>
    <xf numFmtId="0" fontId="12" fillId="8" borderId="11" xfId="0" applyFont="1" applyFill="1" applyBorder="1"/>
    <xf numFmtId="3" fontId="13" fillId="8" borderId="11" xfId="0" applyNumberFormat="1" applyFont="1" applyFill="1" applyBorder="1" applyAlignment="1">
      <alignment horizontal="center"/>
    </xf>
    <xf numFmtId="0" fontId="13" fillId="8" borderId="11" xfId="0" applyFont="1" applyFill="1" applyBorder="1"/>
    <xf numFmtId="9" fontId="13" fillId="8" borderId="12" xfId="3" applyFont="1" applyFill="1" applyBorder="1" applyAlignment="1">
      <alignment horizontal="center"/>
    </xf>
    <xf numFmtId="0" fontId="13" fillId="11" borderId="1" xfId="0" applyFont="1" applyFill="1" applyBorder="1" applyAlignment="1">
      <alignment horizontal="center"/>
    </xf>
    <xf numFmtId="0" fontId="27" fillId="0" borderId="0" xfId="0" applyFont="1"/>
    <xf numFmtId="3" fontId="27" fillId="0" borderId="0" xfId="0" applyNumberFormat="1" applyFont="1"/>
    <xf numFmtId="0" fontId="13" fillId="2" borderId="1" xfId="0" applyFont="1" applyFill="1" applyBorder="1"/>
    <xf numFmtId="0" fontId="12" fillId="0" borderId="1" xfId="0" applyFont="1" applyBorder="1"/>
    <xf numFmtId="166" fontId="12" fillId="0" borderId="1" xfId="3" applyNumberFormat="1" applyFont="1" applyFill="1" applyBorder="1" applyAlignment="1">
      <alignment horizontal="right"/>
    </xf>
    <xf numFmtId="0" fontId="28" fillId="0" borderId="0" xfId="0" applyFont="1"/>
    <xf numFmtId="166" fontId="13" fillId="2" borderId="1" xfId="3" applyNumberFormat="1" applyFont="1" applyFill="1" applyBorder="1" applyAlignment="1">
      <alignment horizontal="right"/>
    </xf>
    <xf numFmtId="0" fontId="12" fillId="0" borderId="1" xfId="0" applyFont="1" applyBorder="1" applyAlignment="1">
      <alignment horizontal="left"/>
    </xf>
    <xf numFmtId="0" fontId="13" fillId="8" borderId="1" xfId="0" applyFont="1" applyFill="1" applyBorder="1" applyAlignment="1">
      <alignment horizontal="left"/>
    </xf>
    <xf numFmtId="3" fontId="13" fillId="8" borderId="1" xfId="0" applyNumberFormat="1" applyFont="1" applyFill="1" applyBorder="1" applyAlignment="1">
      <alignment horizontal="right"/>
    </xf>
    <xf numFmtId="0" fontId="13" fillId="2" borderId="12" xfId="0" applyFont="1" applyFill="1" applyBorder="1" applyAlignment="1">
      <alignment horizontal="center"/>
    </xf>
    <xf numFmtId="3" fontId="12" fillId="0" borderId="6" xfId="0" applyNumberFormat="1" applyFont="1" applyBorder="1" applyAlignment="1">
      <alignment horizontal="right"/>
    </xf>
    <xf numFmtId="3" fontId="12" fillId="2" borderId="1" xfId="0" applyNumberFormat="1" applyFont="1" applyFill="1" applyBorder="1" applyAlignment="1">
      <alignment horizontal="right"/>
    </xf>
    <xf numFmtId="166" fontId="12" fillId="2" borderId="1" xfId="3" applyNumberFormat="1" applyFont="1" applyFill="1" applyBorder="1" applyAlignment="1">
      <alignment horizontal="right"/>
    </xf>
    <xf numFmtId="3" fontId="12" fillId="2" borderId="6" xfId="0" applyNumberFormat="1" applyFont="1" applyFill="1" applyBorder="1" applyAlignment="1">
      <alignment horizontal="right"/>
    </xf>
    <xf numFmtId="0" fontId="13" fillId="0" borderId="1" xfId="0" applyFont="1" applyBorder="1"/>
    <xf numFmtId="0" fontId="13" fillId="0" borderId="1" xfId="0" applyFont="1" applyBorder="1" applyAlignment="1">
      <alignment horizontal="center"/>
    </xf>
    <xf numFmtId="0" fontId="12" fillId="0" borderId="1" xfId="0" applyFont="1" applyBorder="1" applyAlignment="1">
      <alignment horizontal="left" indent="2"/>
    </xf>
    <xf numFmtId="3" fontId="13" fillId="2" borderId="1" xfId="0" applyNumberFormat="1" applyFont="1" applyFill="1" applyBorder="1"/>
    <xf numFmtId="3" fontId="12" fillId="0" borderId="1" xfId="0" applyNumberFormat="1" applyFont="1" applyBorder="1" applyAlignment="1">
      <alignment horizontal="left" indent="1"/>
    </xf>
    <xf numFmtId="1" fontId="12" fillId="0" borderId="0" xfId="0" applyNumberFormat="1" applyFont="1"/>
    <xf numFmtId="0" fontId="13" fillId="2" borderId="13" xfId="0" applyFont="1" applyFill="1" applyBorder="1"/>
    <xf numFmtId="0" fontId="13" fillId="2" borderId="13" xfId="0" applyFont="1" applyFill="1" applyBorder="1" applyAlignment="1">
      <alignment horizontal="center"/>
    </xf>
    <xf numFmtId="0" fontId="12" fillId="2" borderId="1" xfId="0" applyFont="1" applyFill="1" applyBorder="1"/>
    <xf numFmtId="0" fontId="12" fillId="0" borderId="14" xfId="0" applyFont="1" applyBorder="1" applyAlignment="1">
      <alignment horizontal="left" indent="2"/>
    </xf>
    <xf numFmtId="166" fontId="12" fillId="0" borderId="14" xfId="3" applyNumberFormat="1" applyFont="1" applyFill="1" applyBorder="1" applyAlignment="1">
      <alignment horizontal="right"/>
    </xf>
    <xf numFmtId="0" fontId="13" fillId="2" borderId="12" xfId="0" applyFont="1" applyFill="1" applyBorder="1"/>
    <xf numFmtId="0" fontId="13" fillId="0" borderId="6" xfId="0" applyFont="1" applyBorder="1" applyAlignment="1">
      <alignment horizontal="center"/>
    </xf>
    <xf numFmtId="3" fontId="12" fillId="0" borderId="14" xfId="0" applyNumberFormat="1" applyFont="1" applyBorder="1" applyAlignment="1">
      <alignment horizontal="right"/>
    </xf>
    <xf numFmtId="3" fontId="12" fillId="0" borderId="15" xfId="0" applyNumberFormat="1" applyFont="1" applyBorder="1" applyAlignment="1">
      <alignment horizontal="right"/>
    </xf>
    <xf numFmtId="10" fontId="13" fillId="8" borderId="12" xfId="3" applyNumberFormat="1" applyFont="1" applyFill="1" applyBorder="1" applyAlignment="1">
      <alignment horizontal="center"/>
    </xf>
    <xf numFmtId="0" fontId="28" fillId="15" borderId="0" xfId="0" applyFont="1" applyFill="1"/>
    <xf numFmtId="0" fontId="28" fillId="15" borderId="4" xfId="0" applyFont="1" applyFill="1" applyBorder="1"/>
    <xf numFmtId="0" fontId="28" fillId="15" borderId="16" xfId="0" applyFont="1" applyFill="1" applyBorder="1"/>
    <xf numFmtId="0" fontId="30" fillId="15" borderId="0" xfId="0" applyFont="1" applyFill="1" applyAlignment="1">
      <alignment horizontal="center"/>
    </xf>
    <xf numFmtId="0" fontId="13" fillId="15" borderId="4" xfId="0" applyFont="1" applyFill="1" applyBorder="1"/>
    <xf numFmtId="3" fontId="13" fillId="15" borderId="7" xfId="0" applyNumberFormat="1" applyFont="1" applyFill="1" applyBorder="1"/>
    <xf numFmtId="3" fontId="28" fillId="15" borderId="16" xfId="0" applyNumberFormat="1" applyFont="1" applyFill="1" applyBorder="1"/>
    <xf numFmtId="3" fontId="28" fillId="15" borderId="0" xfId="0" applyNumberFormat="1" applyFont="1" applyFill="1"/>
    <xf numFmtId="3" fontId="17" fillId="15" borderId="16" xfId="0" applyNumberFormat="1" applyFont="1" applyFill="1" applyBorder="1"/>
    <xf numFmtId="0" fontId="28" fillId="15" borderId="5" xfId="0" applyFont="1" applyFill="1" applyBorder="1"/>
    <xf numFmtId="3" fontId="28" fillId="15" borderId="3" xfId="0" applyNumberFormat="1" applyFont="1" applyFill="1" applyBorder="1"/>
    <xf numFmtId="3" fontId="28" fillId="15" borderId="9" xfId="0" applyNumberFormat="1" applyFont="1" applyFill="1" applyBorder="1"/>
    <xf numFmtId="0" fontId="9" fillId="15" borderId="0" xfId="0" applyFont="1" applyFill="1"/>
    <xf numFmtId="0" fontId="9" fillId="15" borderId="7" xfId="0" applyFont="1" applyFill="1" applyBorder="1"/>
    <xf numFmtId="3" fontId="9" fillId="15" borderId="7" xfId="0" applyNumberFormat="1" applyFont="1" applyFill="1" applyBorder="1"/>
    <xf numFmtId="3" fontId="10" fillId="15" borderId="0" xfId="0" applyNumberFormat="1" applyFont="1" applyFill="1"/>
    <xf numFmtId="0" fontId="3" fillId="15" borderId="0" xfId="0" applyFont="1" applyFill="1"/>
    <xf numFmtId="3" fontId="3" fillId="15" borderId="0" xfId="0" applyNumberFormat="1" applyFont="1" applyFill="1"/>
    <xf numFmtId="0" fontId="14" fillId="15" borderId="0" xfId="0" applyFont="1" applyFill="1" applyAlignment="1">
      <alignment horizontal="center"/>
    </xf>
    <xf numFmtId="0" fontId="18" fillId="15" borderId="0" xfId="0" applyFont="1" applyFill="1" applyAlignment="1">
      <alignment horizontal="left"/>
    </xf>
    <xf numFmtId="0" fontId="14" fillId="15" borderId="0" xfId="0" applyFont="1" applyFill="1" applyAlignment="1">
      <alignment horizontal="left"/>
    </xf>
    <xf numFmtId="3" fontId="4" fillId="15" borderId="0" xfId="0" applyNumberFormat="1" applyFont="1" applyFill="1"/>
    <xf numFmtId="0" fontId="13" fillId="15" borderId="17" xfId="0" applyFont="1" applyFill="1" applyBorder="1"/>
    <xf numFmtId="3" fontId="13" fillId="15" borderId="17" xfId="0" applyNumberFormat="1" applyFont="1" applyFill="1" applyBorder="1"/>
    <xf numFmtId="0" fontId="19" fillId="15" borderId="0" xfId="0" applyFont="1" applyFill="1"/>
    <xf numFmtId="0" fontId="5" fillId="4" borderId="5" xfId="0" applyFont="1" applyFill="1" applyBorder="1" applyAlignment="1">
      <alignment horizontal="center"/>
    </xf>
    <xf numFmtId="0" fontId="5" fillId="4" borderId="9" xfId="0" applyFont="1" applyFill="1" applyBorder="1" applyAlignment="1">
      <alignment horizontal="center"/>
    </xf>
    <xf numFmtId="0" fontId="31" fillId="0" borderId="0" xfId="0" applyFont="1"/>
    <xf numFmtId="1" fontId="0" fillId="0" borderId="1" xfId="0" applyNumberFormat="1" applyBorder="1" applyAlignment="1">
      <alignment horizontal="center"/>
    </xf>
    <xf numFmtId="1" fontId="26" fillId="0" borderId="1" xfId="0" applyNumberFormat="1" applyFont="1" applyBorder="1" applyAlignment="1">
      <alignment horizontal="center"/>
    </xf>
    <xf numFmtId="0" fontId="0" fillId="0" borderId="0" xfId="0" applyAlignment="1">
      <alignment horizontal="center"/>
    </xf>
    <xf numFmtId="0" fontId="0" fillId="16" borderId="15" xfId="0" applyFill="1" applyBorder="1"/>
    <xf numFmtId="0" fontId="0" fillId="16" borderId="18" xfId="0" applyFill="1" applyBorder="1"/>
    <xf numFmtId="1" fontId="0" fillId="16" borderId="19" xfId="0" applyNumberFormat="1" applyFill="1" applyBorder="1"/>
    <xf numFmtId="0" fontId="0" fillId="16" borderId="4" xfId="0" applyFill="1" applyBorder="1"/>
    <xf numFmtId="0" fontId="0" fillId="16" borderId="0" xfId="0" applyFill="1"/>
    <xf numFmtId="1" fontId="0" fillId="16" borderId="16" xfId="0" applyNumberFormat="1" applyFill="1" applyBorder="1"/>
    <xf numFmtId="0" fontId="0" fillId="16" borderId="5" xfId="0" applyFill="1" applyBorder="1"/>
    <xf numFmtId="0" fontId="0" fillId="16" borderId="3" xfId="0" applyFill="1" applyBorder="1"/>
    <xf numFmtId="1" fontId="0" fillId="16" borderId="9" xfId="0" applyNumberFormat="1" applyFill="1" applyBorder="1"/>
    <xf numFmtId="0" fontId="0" fillId="15" borderId="0" xfId="0" applyFill="1"/>
    <xf numFmtId="0" fontId="0" fillId="15" borderId="1" xfId="0" applyFill="1" applyBorder="1" applyAlignment="1">
      <alignment horizontal="center"/>
    </xf>
    <xf numFmtId="0" fontId="26" fillId="15" borderId="1" xfId="0" applyFont="1" applyFill="1" applyBorder="1"/>
    <xf numFmtId="9" fontId="26" fillId="15" borderId="1" xfId="3" applyFont="1" applyFill="1" applyBorder="1"/>
    <xf numFmtId="0" fontId="4" fillId="15" borderId="0" xfId="0" applyFont="1" applyFill="1"/>
    <xf numFmtId="0" fontId="32" fillId="15" borderId="0" xfId="0" applyFont="1" applyFill="1"/>
    <xf numFmtId="0" fontId="0" fillId="15" borderId="0" xfId="0" applyFill="1" applyAlignment="1">
      <alignment horizontal="justify"/>
    </xf>
    <xf numFmtId="0" fontId="33" fillId="17" borderId="1" xfId="1" applyFont="1" applyFill="1" applyBorder="1" applyAlignment="1" applyProtection="1"/>
    <xf numFmtId="0" fontId="33" fillId="18" borderId="1" xfId="1" applyFont="1" applyFill="1" applyBorder="1" applyAlignment="1" applyProtection="1"/>
    <xf numFmtId="0" fontId="34" fillId="5" borderId="1" xfId="0" applyFont="1" applyFill="1" applyBorder="1" applyAlignment="1">
      <alignment horizontal="center"/>
    </xf>
    <xf numFmtId="0" fontId="8" fillId="18" borderId="1" xfId="0" applyFont="1" applyFill="1" applyBorder="1" applyAlignment="1">
      <alignment vertical="center"/>
    </xf>
    <xf numFmtId="0" fontId="0" fillId="18" borderId="1" xfId="0" applyFill="1" applyBorder="1" applyAlignment="1">
      <alignment vertical="center"/>
    </xf>
    <xf numFmtId="0" fontId="0" fillId="18" borderId="1" xfId="0" applyFill="1" applyBorder="1" applyAlignment="1">
      <alignment horizontal="justify" vertical="center"/>
    </xf>
    <xf numFmtId="3" fontId="0" fillId="18" borderId="1" xfId="0" applyNumberFormat="1" applyFill="1" applyBorder="1" applyAlignment="1">
      <alignment vertical="center"/>
    </xf>
    <xf numFmtId="0" fontId="8" fillId="18" borderId="1" xfId="0" applyFont="1" applyFill="1" applyBorder="1" applyAlignment="1">
      <alignment vertical="center" wrapText="1"/>
    </xf>
    <xf numFmtId="0" fontId="0" fillId="18" borderId="1" xfId="0" applyFill="1" applyBorder="1" applyAlignment="1">
      <alignment horizontal="justify"/>
    </xf>
    <xf numFmtId="2" fontId="0" fillId="18" borderId="1" xfId="0" applyNumberFormat="1" applyFill="1" applyBorder="1" applyAlignment="1">
      <alignment vertical="center"/>
    </xf>
    <xf numFmtId="0" fontId="2" fillId="18" borderId="1" xfId="0" applyFont="1" applyFill="1" applyBorder="1" applyAlignment="1">
      <alignment vertical="center" wrapText="1"/>
    </xf>
    <xf numFmtId="2" fontId="24" fillId="18" borderId="1" xfId="3" applyNumberFormat="1" applyFont="1" applyFill="1" applyBorder="1" applyAlignment="1">
      <alignment vertical="center"/>
    </xf>
    <xf numFmtId="0" fontId="0" fillId="18" borderId="1" xfId="0" applyFill="1" applyBorder="1" applyAlignment="1">
      <alignment vertical="center" wrapText="1"/>
    </xf>
    <xf numFmtId="0" fontId="0" fillId="19" borderId="1" xfId="0" applyFill="1" applyBorder="1" applyAlignment="1">
      <alignment vertical="center"/>
    </xf>
    <xf numFmtId="0" fontId="0" fillId="19" borderId="1" xfId="0" applyFill="1" applyBorder="1" applyAlignment="1">
      <alignment horizontal="justify" vertical="center"/>
    </xf>
    <xf numFmtId="0" fontId="0" fillId="19" borderId="1" xfId="0" applyFill="1" applyBorder="1" applyAlignment="1">
      <alignment horizontal="justify"/>
    </xf>
    <xf numFmtId="0" fontId="8" fillId="19" borderId="1" xfId="0" applyFont="1" applyFill="1" applyBorder="1" applyAlignment="1">
      <alignment vertical="center" wrapText="1"/>
    </xf>
    <xf numFmtId="10" fontId="24" fillId="19" borderId="1" xfId="3" applyNumberFormat="1" applyFont="1" applyFill="1" applyBorder="1" applyAlignment="1">
      <alignment vertical="center"/>
    </xf>
    <xf numFmtId="0" fontId="8" fillId="19" borderId="1" xfId="0" applyFont="1" applyFill="1" applyBorder="1" applyAlignment="1">
      <alignment vertical="center"/>
    </xf>
    <xf numFmtId="2" fontId="0" fillId="19" borderId="1" xfId="0" applyNumberFormat="1" applyFill="1" applyBorder="1" applyAlignment="1">
      <alignment vertical="center"/>
    </xf>
    <xf numFmtId="0" fontId="0" fillId="19" borderId="1" xfId="0" applyFill="1" applyBorder="1" applyAlignment="1">
      <alignment vertical="center" wrapText="1"/>
    </xf>
    <xf numFmtId="2" fontId="24" fillId="19" borderId="1" xfId="3" applyNumberFormat="1" applyFont="1" applyFill="1" applyBorder="1" applyAlignment="1">
      <alignment vertical="center"/>
    </xf>
    <xf numFmtId="3" fontId="0" fillId="19" borderId="1" xfId="0" applyNumberFormat="1" applyFill="1" applyBorder="1" applyAlignment="1">
      <alignment vertical="center"/>
    </xf>
    <xf numFmtId="0" fontId="0" fillId="19" borderId="0" xfId="0" applyFill="1" applyAlignment="1">
      <alignment vertical="center"/>
    </xf>
    <xf numFmtId="0" fontId="0" fillId="18" borderId="0" xfId="0" applyFill="1" applyAlignment="1">
      <alignment vertical="center"/>
    </xf>
    <xf numFmtId="0" fontId="21" fillId="5" borderId="1" xfId="0" applyFont="1" applyFill="1" applyBorder="1" applyAlignment="1">
      <alignment horizontal="center"/>
    </xf>
    <xf numFmtId="0" fontId="35" fillId="5" borderId="0" xfId="0" applyFont="1" applyFill="1" applyAlignment="1">
      <alignment horizontal="center"/>
    </xf>
    <xf numFmtId="0" fontId="8" fillId="5" borderId="1" xfId="0" applyFont="1" applyFill="1" applyBorder="1" applyAlignment="1">
      <alignment horizontal="center" vertical="center" wrapText="1"/>
    </xf>
    <xf numFmtId="0" fontId="0" fillId="5" borderId="0" xfId="0" applyFill="1"/>
    <xf numFmtId="3" fontId="0" fillId="18" borderId="1" xfId="0" applyNumberFormat="1" applyFill="1" applyBorder="1" applyAlignment="1">
      <alignment horizontal="right" vertical="center"/>
    </xf>
    <xf numFmtId="0" fontId="3" fillId="15" borderId="0" xfId="0" applyFont="1" applyFill="1" applyAlignment="1">
      <alignment vertical="center" wrapText="1"/>
    </xf>
    <xf numFmtId="10" fontId="24" fillId="18" borderId="1" xfId="3" applyNumberFormat="1" applyFont="1" applyFill="1" applyBorder="1" applyAlignment="1">
      <alignment horizontal="right" vertical="center"/>
    </xf>
    <xf numFmtId="0" fontId="2" fillId="20" borderId="1" xfId="0" applyFont="1" applyFill="1" applyBorder="1" applyAlignment="1">
      <alignment vertical="center" wrapText="1"/>
    </xf>
    <xf numFmtId="0" fontId="0" fillId="20" borderId="1" xfId="0" applyFill="1" applyBorder="1" applyAlignment="1">
      <alignment vertical="center"/>
    </xf>
    <xf numFmtId="0" fontId="0" fillId="20" borderId="1" xfId="0" applyFill="1" applyBorder="1" applyAlignment="1">
      <alignment horizontal="justify" vertical="center"/>
    </xf>
    <xf numFmtId="10" fontId="24" fillId="20" borderId="1" xfId="3" applyNumberFormat="1" applyFont="1" applyFill="1" applyBorder="1" applyAlignment="1">
      <alignment vertical="center"/>
    </xf>
    <xf numFmtId="2" fontId="24" fillId="20" borderId="1" xfId="2" applyNumberFormat="1" applyFont="1" applyFill="1" applyBorder="1" applyAlignment="1">
      <alignment vertical="center"/>
    </xf>
    <xf numFmtId="0" fontId="2" fillId="21" borderId="1" xfId="0" applyFont="1" applyFill="1" applyBorder="1" applyAlignment="1">
      <alignment vertical="center" wrapText="1"/>
    </xf>
    <xf numFmtId="0" fontId="0" fillId="21" borderId="1" xfId="0" applyFill="1" applyBorder="1" applyAlignment="1">
      <alignment vertical="center"/>
    </xf>
    <xf numFmtId="0" fontId="0" fillId="21" borderId="1" xfId="0" applyFill="1" applyBorder="1" applyAlignment="1">
      <alignment horizontal="justify" vertical="center"/>
    </xf>
    <xf numFmtId="10" fontId="24" fillId="21" borderId="1" xfId="3" applyNumberFormat="1" applyFont="1" applyFill="1" applyBorder="1" applyAlignment="1">
      <alignment vertical="center"/>
    </xf>
    <xf numFmtId="3" fontId="0" fillId="21" borderId="1" xfId="0" applyNumberFormat="1" applyFill="1" applyBorder="1" applyAlignment="1">
      <alignment vertical="center"/>
    </xf>
    <xf numFmtId="0" fontId="12" fillId="4" borderId="0" xfId="0" applyFont="1" applyFill="1" applyAlignment="1">
      <alignment horizontal="center"/>
    </xf>
    <xf numFmtId="0" fontId="12" fillId="4" borderId="4" xfId="0" applyFont="1" applyFill="1" applyBorder="1"/>
    <xf numFmtId="0" fontId="12" fillId="4" borderId="0" xfId="0" applyFont="1" applyFill="1"/>
    <xf numFmtId="0" fontId="12" fillId="4" borderId="16" xfId="0" applyFont="1" applyFill="1" applyBorder="1"/>
    <xf numFmtId="166" fontId="12" fillId="0" borderId="0" xfId="3" applyNumberFormat="1" applyFont="1" applyFill="1" applyBorder="1" applyAlignment="1">
      <alignment horizontal="right"/>
    </xf>
    <xf numFmtId="3" fontId="28" fillId="0" borderId="0" xfId="0" applyNumberFormat="1" applyFont="1"/>
    <xf numFmtId="9" fontId="28" fillId="0" borderId="0" xfId="3" applyFont="1"/>
    <xf numFmtId="0" fontId="0" fillId="15" borderId="15" xfId="0" applyFill="1" applyBorder="1"/>
    <xf numFmtId="0" fontId="0" fillId="15" borderId="18" xfId="0" applyFill="1" applyBorder="1"/>
    <xf numFmtId="0" fontId="0" fillId="15" borderId="4" xfId="0" applyFill="1" applyBorder="1"/>
    <xf numFmtId="0" fontId="0" fillId="15" borderId="5" xfId="0" applyFill="1" applyBorder="1"/>
    <xf numFmtId="0" fontId="0" fillId="15" borderId="3" xfId="0" applyFill="1" applyBorder="1"/>
    <xf numFmtId="0" fontId="0" fillId="15" borderId="9" xfId="0" applyFill="1" applyBorder="1"/>
    <xf numFmtId="0" fontId="36" fillId="0" borderId="0" xfId="0" applyFont="1"/>
    <xf numFmtId="9" fontId="36" fillId="0" borderId="0" xfId="0" applyNumberFormat="1" applyFont="1"/>
    <xf numFmtId="0" fontId="8" fillId="22" borderId="1" xfId="0" applyFont="1" applyFill="1" applyBorder="1" applyAlignment="1">
      <alignment vertical="center" wrapText="1"/>
    </xf>
    <xf numFmtId="0" fontId="0" fillId="22" borderId="1" xfId="0" applyFill="1" applyBorder="1" applyAlignment="1">
      <alignment vertical="center"/>
    </xf>
    <xf numFmtId="2" fontId="0" fillId="22" borderId="1" xfId="0" applyNumberFormat="1" applyFill="1" applyBorder="1" applyAlignment="1">
      <alignment horizontal="justify" vertical="center"/>
    </xf>
    <xf numFmtId="0" fontId="8" fillId="22" borderId="1" xfId="0" applyFont="1" applyFill="1" applyBorder="1" applyAlignment="1">
      <alignment vertical="center"/>
    </xf>
    <xf numFmtId="2" fontId="0" fillId="18" borderId="1" xfId="0" applyNumberFormat="1" applyFill="1" applyBorder="1" applyAlignment="1">
      <alignment horizontal="justify" vertical="center"/>
    </xf>
    <xf numFmtId="0" fontId="0" fillId="22" borderId="1" xfId="0" applyFill="1" applyBorder="1" applyAlignment="1">
      <alignment horizontal="justify" vertical="center"/>
    </xf>
    <xf numFmtId="0" fontId="8" fillId="5" borderId="1" xfId="0" applyFont="1" applyFill="1" applyBorder="1" applyAlignment="1">
      <alignment horizontal="center"/>
    </xf>
    <xf numFmtId="165" fontId="2" fillId="18" borderId="1" xfId="2" applyNumberFormat="1" applyFont="1" applyFill="1" applyBorder="1" applyAlignment="1">
      <alignment horizontal="right" vertical="center"/>
    </xf>
    <xf numFmtId="10" fontId="2" fillId="18" borderId="1" xfId="3" applyNumberFormat="1" applyFont="1" applyFill="1" applyBorder="1" applyAlignment="1">
      <alignment vertical="center"/>
    </xf>
    <xf numFmtId="0" fontId="0" fillId="18" borderId="1" xfId="0" applyFill="1" applyBorder="1" applyAlignment="1">
      <alignment horizontal="justify" vertical="center" wrapText="1"/>
    </xf>
    <xf numFmtId="165" fontId="2" fillId="22" borderId="1" xfId="2" applyNumberFormat="1" applyFont="1" applyFill="1" applyBorder="1" applyAlignment="1">
      <alignment horizontal="right" vertical="center"/>
    </xf>
    <xf numFmtId="0" fontId="0" fillId="22" borderId="1" xfId="0" applyFill="1" applyBorder="1" applyAlignment="1">
      <alignment vertical="center" wrapText="1"/>
    </xf>
    <xf numFmtId="0" fontId="0" fillId="22" borderId="1" xfId="0" applyFill="1" applyBorder="1" applyAlignment="1">
      <alignment horizontal="justify" vertical="center" wrapText="1"/>
    </xf>
    <xf numFmtId="0" fontId="12" fillId="4" borderId="20" xfId="0" applyFont="1" applyFill="1" applyBorder="1"/>
    <xf numFmtId="0" fontId="12" fillId="4" borderId="21" xfId="0" applyFont="1" applyFill="1" applyBorder="1"/>
    <xf numFmtId="0" fontId="12" fillId="4" borderId="22" xfId="0" applyFont="1" applyFill="1" applyBorder="1"/>
    <xf numFmtId="0" fontId="37" fillId="0" borderId="0" xfId="0" applyFont="1" applyAlignment="1">
      <alignment horizontal="center"/>
    </xf>
    <xf numFmtId="41" fontId="0" fillId="0" borderId="0" xfId="4" applyFont="1"/>
    <xf numFmtId="1" fontId="0" fillId="0" borderId="0" xfId="0" applyNumberFormat="1" applyAlignment="1">
      <alignment horizontal="left"/>
    </xf>
    <xf numFmtId="3" fontId="0" fillId="0" borderId="0" xfId="0" applyNumberFormat="1" applyAlignment="1">
      <alignment horizontal="right"/>
    </xf>
    <xf numFmtId="0" fontId="0" fillId="0" borderId="0" xfId="0" applyAlignment="1">
      <alignment horizontal="right"/>
    </xf>
    <xf numFmtId="1" fontId="36" fillId="0" borderId="0" xfId="0" applyNumberFormat="1" applyFont="1"/>
    <xf numFmtId="41" fontId="39" fillId="0" borderId="0" xfId="4" applyFont="1"/>
    <xf numFmtId="41" fontId="40" fillId="0" borderId="0" xfId="4" applyFont="1"/>
    <xf numFmtId="41" fontId="41" fillId="0" borderId="0" xfId="4" applyFont="1"/>
    <xf numFmtId="0" fontId="3" fillId="15" borderId="0" xfId="0" applyFont="1" applyFill="1" applyAlignment="1">
      <alignment vertical="center"/>
    </xf>
    <xf numFmtId="0" fontId="11" fillId="4" borderId="5" xfId="0" applyFont="1" applyFill="1" applyBorder="1" applyAlignment="1">
      <alignment vertical="center"/>
    </xf>
    <xf numFmtId="0" fontId="3" fillId="0" borderId="0" xfId="0" applyFont="1" applyAlignment="1">
      <alignment vertical="center"/>
    </xf>
    <xf numFmtId="0" fontId="27" fillId="0" borderId="0" xfId="0" applyFont="1" applyAlignment="1">
      <alignment vertical="center"/>
    </xf>
    <xf numFmtId="0" fontId="12" fillId="0" borderId="0" xfId="0" applyFont="1" applyAlignment="1">
      <alignment vertical="center"/>
    </xf>
    <xf numFmtId="0" fontId="13" fillId="3" borderId="0" xfId="0" applyFont="1" applyFill="1" applyAlignment="1">
      <alignment vertical="center"/>
    </xf>
    <xf numFmtId="0" fontId="13" fillId="8" borderId="35" xfId="0" applyFont="1" applyFill="1" applyBorder="1" applyAlignment="1">
      <alignment horizontal="left" vertical="center"/>
    </xf>
    <xf numFmtId="0" fontId="13" fillId="8" borderId="36" xfId="0" applyFont="1" applyFill="1" applyBorder="1" applyAlignment="1">
      <alignment horizontal="center" vertical="center"/>
    </xf>
    <xf numFmtId="0" fontId="13" fillId="8" borderId="37" xfId="0" applyFont="1" applyFill="1" applyBorder="1" applyAlignment="1">
      <alignment horizontal="center" vertical="center"/>
    </xf>
    <xf numFmtId="0" fontId="13" fillId="8" borderId="23" xfId="0" applyFont="1" applyFill="1" applyBorder="1" applyAlignment="1">
      <alignment vertical="center"/>
    </xf>
    <xf numFmtId="0" fontId="12" fillId="3" borderId="24" xfId="0" applyFont="1" applyFill="1" applyBorder="1" applyAlignment="1">
      <alignment horizontal="left" vertical="center"/>
    </xf>
    <xf numFmtId="3" fontId="12" fillId="4" borderId="30" xfId="0" applyNumberFormat="1" applyFont="1" applyFill="1" applyBorder="1" applyAlignment="1" applyProtection="1">
      <alignment horizontal="right" vertical="center"/>
      <protection locked="0"/>
    </xf>
    <xf numFmtId="3" fontId="12" fillId="4" borderId="31" xfId="0" applyNumberFormat="1" applyFont="1" applyFill="1" applyBorder="1" applyAlignment="1" applyProtection="1">
      <alignment horizontal="right" vertical="center"/>
      <protection locked="0"/>
    </xf>
    <xf numFmtId="0" fontId="12" fillId="3" borderId="25" xfId="0" applyFont="1" applyFill="1" applyBorder="1" applyAlignment="1">
      <alignment horizontal="left" vertical="center"/>
    </xf>
    <xf numFmtId="3" fontId="12" fillId="4" borderId="1" xfId="0" applyNumberFormat="1" applyFont="1" applyFill="1" applyBorder="1" applyAlignment="1" applyProtection="1">
      <alignment horizontal="right" vertical="center"/>
      <protection locked="0"/>
    </xf>
    <xf numFmtId="3" fontId="12" fillId="4" borderId="26" xfId="0" applyNumberFormat="1" applyFont="1" applyFill="1" applyBorder="1" applyAlignment="1" applyProtection="1">
      <alignment horizontal="right" vertical="center"/>
      <protection locked="0"/>
    </xf>
    <xf numFmtId="0" fontId="12" fillId="3" borderId="27" xfId="0" applyFont="1" applyFill="1" applyBorder="1" applyAlignment="1">
      <alignment horizontal="left" vertical="center"/>
    </xf>
    <xf numFmtId="3" fontId="12" fillId="4" borderId="28" xfId="0" applyNumberFormat="1" applyFont="1" applyFill="1" applyBorder="1" applyAlignment="1" applyProtection="1">
      <alignment horizontal="right" vertical="center"/>
      <protection locked="0"/>
    </xf>
    <xf numFmtId="3" fontId="12" fillId="4" borderId="29" xfId="0" applyNumberFormat="1" applyFont="1" applyFill="1" applyBorder="1" applyAlignment="1" applyProtection="1">
      <alignment horizontal="right" vertical="center"/>
      <protection locked="0"/>
    </xf>
    <xf numFmtId="3" fontId="12" fillId="0" borderId="0" xfId="0" applyNumberFormat="1" applyFont="1" applyAlignment="1">
      <alignment vertical="center"/>
    </xf>
    <xf numFmtId="0" fontId="12" fillId="0" borderId="25" xfId="0" applyFont="1" applyBorder="1" applyAlignment="1">
      <alignment vertical="center"/>
    </xf>
    <xf numFmtId="3" fontId="12" fillId="4" borderId="1" xfId="0" applyNumberFormat="1" applyFont="1" applyFill="1" applyBorder="1" applyAlignment="1">
      <alignment horizontal="right" vertical="center"/>
    </xf>
    <xf numFmtId="166" fontId="12" fillId="4" borderId="1" xfId="3" applyNumberFormat="1" applyFont="1" applyFill="1" applyBorder="1" applyAlignment="1" applyProtection="1">
      <alignment horizontal="right" vertical="center"/>
    </xf>
    <xf numFmtId="0" fontId="12" fillId="0" borderId="27" xfId="0" applyFont="1" applyBorder="1" applyAlignment="1">
      <alignment vertical="center"/>
    </xf>
    <xf numFmtId="3" fontId="12" fillId="4" borderId="28" xfId="0" applyNumberFormat="1" applyFont="1" applyFill="1" applyBorder="1" applyAlignment="1">
      <alignment horizontal="right" vertical="center"/>
    </xf>
    <xf numFmtId="9" fontId="28" fillId="9" borderId="1" xfId="0" applyNumberFormat="1" applyFont="1" applyFill="1" applyBorder="1" applyAlignment="1">
      <alignment vertical="center"/>
    </xf>
    <xf numFmtId="10" fontId="28" fillId="9" borderId="1" xfId="0" applyNumberFormat="1" applyFont="1" applyFill="1" applyBorder="1" applyAlignment="1">
      <alignment vertical="center"/>
    </xf>
    <xf numFmtId="166" fontId="28" fillId="9" borderId="1" xfId="0" applyNumberFormat="1" applyFont="1" applyFill="1" applyBorder="1" applyAlignment="1">
      <alignment vertical="center"/>
    </xf>
    <xf numFmtId="9" fontId="16" fillId="9" borderId="1" xfId="3" applyFont="1" applyFill="1" applyBorder="1" applyAlignment="1" applyProtection="1">
      <alignment vertical="center"/>
    </xf>
    <xf numFmtId="0" fontId="15" fillId="0" borderId="25" xfId="0" applyFont="1" applyBorder="1" applyAlignment="1">
      <alignment vertical="center"/>
    </xf>
    <xf numFmtId="166" fontId="16" fillId="4" borderId="1" xfId="3" applyNumberFormat="1" applyFont="1" applyFill="1" applyBorder="1" applyAlignment="1" applyProtection="1">
      <alignment vertical="center"/>
    </xf>
    <xf numFmtId="166" fontId="16" fillId="4" borderId="26" xfId="3" applyNumberFormat="1" applyFont="1" applyFill="1" applyBorder="1" applyAlignment="1" applyProtection="1">
      <alignment vertical="center"/>
    </xf>
    <xf numFmtId="169" fontId="28" fillId="4" borderId="1" xfId="0" applyNumberFormat="1" applyFont="1" applyFill="1" applyBorder="1" applyAlignment="1">
      <alignment vertical="center"/>
    </xf>
    <xf numFmtId="169" fontId="28" fillId="4" borderId="26" xfId="0" applyNumberFormat="1" applyFont="1" applyFill="1" applyBorder="1" applyAlignment="1">
      <alignment vertical="center"/>
    </xf>
    <xf numFmtId="168" fontId="28" fillId="4" borderId="1" xfId="0" applyNumberFormat="1" applyFont="1" applyFill="1" applyBorder="1" applyAlignment="1">
      <alignment vertical="center"/>
    </xf>
    <xf numFmtId="1" fontId="28" fillId="4" borderId="1" xfId="0" applyNumberFormat="1" applyFont="1" applyFill="1" applyBorder="1" applyAlignment="1">
      <alignment vertical="center"/>
    </xf>
    <xf numFmtId="1" fontId="28" fillId="4" borderId="26" xfId="0" applyNumberFormat="1" applyFont="1" applyFill="1" applyBorder="1" applyAlignment="1">
      <alignment vertical="center"/>
    </xf>
    <xf numFmtId="0" fontId="15" fillId="0" borderId="25" xfId="0" applyFont="1" applyBorder="1" applyAlignment="1">
      <alignment vertical="center" wrapText="1"/>
    </xf>
    <xf numFmtId="10" fontId="28" fillId="4" borderId="1" xfId="3" applyNumberFormat="1" applyFont="1" applyFill="1" applyBorder="1" applyAlignment="1" applyProtection="1">
      <alignment vertical="center"/>
    </xf>
    <xf numFmtId="10" fontId="28" fillId="4" borderId="26" xfId="3" applyNumberFormat="1" applyFont="1" applyFill="1" applyBorder="1" applyAlignment="1" applyProtection="1">
      <alignment vertical="center"/>
    </xf>
    <xf numFmtId="2" fontId="28" fillId="4" borderId="26" xfId="0" applyNumberFormat="1" applyFont="1" applyFill="1" applyBorder="1" applyAlignment="1">
      <alignment vertical="center"/>
    </xf>
    <xf numFmtId="0" fontId="15" fillId="0" borderId="27" xfId="0" applyFont="1" applyBorder="1" applyAlignment="1">
      <alignment vertical="center" wrapText="1"/>
    </xf>
    <xf numFmtId="10" fontId="16" fillId="4" borderId="29" xfId="3" applyNumberFormat="1" applyFont="1" applyFill="1" applyBorder="1" applyAlignment="1" applyProtection="1">
      <alignment vertical="center"/>
    </xf>
    <xf numFmtId="169" fontId="0" fillId="19" borderId="1" xfId="0" applyNumberFormat="1" applyFill="1" applyBorder="1" applyAlignment="1">
      <alignment horizontal="center" vertical="center"/>
    </xf>
    <xf numFmtId="3" fontId="12" fillId="0" borderId="7" xfId="0" applyNumberFormat="1" applyFont="1" applyBorder="1"/>
    <xf numFmtId="3" fontId="27" fillId="0" borderId="0" xfId="0" applyNumberFormat="1" applyFont="1" applyAlignment="1">
      <alignment vertical="center"/>
    </xf>
    <xf numFmtId="9" fontId="27" fillId="0" borderId="0" xfId="3" applyFont="1" applyFill="1" applyAlignment="1" applyProtection="1">
      <alignment vertical="center"/>
    </xf>
    <xf numFmtId="167" fontId="0" fillId="0" borderId="0" xfId="2" applyNumberFormat="1" applyFont="1"/>
    <xf numFmtId="170" fontId="0" fillId="0" borderId="0" xfId="8" applyNumberFormat="1" applyFont="1"/>
    <xf numFmtId="8" fontId="24" fillId="22" borderId="1" xfId="8" applyNumberFormat="1" applyFont="1" applyFill="1" applyBorder="1" applyAlignment="1">
      <alignment vertical="center"/>
    </xf>
    <xf numFmtId="0" fontId="15" fillId="15" borderId="0" xfId="0" applyFont="1" applyFill="1" applyAlignment="1">
      <alignment horizontal="center" vertical="center" wrapText="1"/>
    </xf>
    <xf numFmtId="0" fontId="29" fillId="0" borderId="0" xfId="0" applyFont="1" applyAlignment="1">
      <alignment vertical="center"/>
    </xf>
    <xf numFmtId="168" fontId="29" fillId="0" borderId="0" xfId="0" applyNumberFormat="1" applyFont="1" applyAlignment="1">
      <alignment vertical="center"/>
    </xf>
    <xf numFmtId="3" fontId="29" fillId="0" borderId="0" xfId="0" applyNumberFormat="1" applyFont="1" applyAlignment="1">
      <alignment vertical="center"/>
    </xf>
    <xf numFmtId="0" fontId="3" fillId="15" borderId="0" xfId="0" applyFont="1" applyFill="1" applyAlignment="1">
      <alignment horizontal="center" vertical="center" wrapText="1"/>
    </xf>
    <xf numFmtId="9" fontId="12" fillId="0" borderId="0" xfId="3" applyFont="1" applyFill="1"/>
    <xf numFmtId="167" fontId="12" fillId="0" borderId="0" xfId="2" applyNumberFormat="1" applyFont="1" applyFill="1"/>
    <xf numFmtId="9" fontId="12" fillId="0" borderId="0" xfId="3" applyFont="1" applyFill="1" applyBorder="1"/>
    <xf numFmtId="0" fontId="12" fillId="0" borderId="0" xfId="0" applyFont="1" applyAlignment="1">
      <alignment horizontal="center"/>
    </xf>
    <xf numFmtId="2" fontId="0" fillId="19" borderId="1" xfId="3" applyNumberFormat="1" applyFont="1" applyFill="1" applyBorder="1" applyAlignment="1">
      <alignment horizontal="center" vertical="center"/>
    </xf>
    <xf numFmtId="2" fontId="3" fillId="0" borderId="0" xfId="0" applyNumberFormat="1" applyFont="1"/>
    <xf numFmtId="3" fontId="3" fillId="0" borderId="0" xfId="0" applyNumberFormat="1" applyFont="1"/>
    <xf numFmtId="10" fontId="3" fillId="0" borderId="0" xfId="0" applyNumberFormat="1" applyFont="1"/>
    <xf numFmtId="0" fontId="13" fillId="0" borderId="0" xfId="0" applyFont="1" applyAlignment="1">
      <alignment horizontal="center"/>
    </xf>
    <xf numFmtId="0" fontId="21" fillId="5" borderId="0" xfId="0" applyFont="1" applyFill="1" applyAlignment="1">
      <alignment horizontal="center"/>
    </xf>
    <xf numFmtId="0" fontId="12" fillId="0" borderId="25" xfId="0" applyFont="1" applyBorder="1" applyAlignment="1">
      <alignment horizontal="left" vertical="center"/>
    </xf>
    <xf numFmtId="0" fontId="12" fillId="0" borderId="1" xfId="0" applyFont="1" applyBorder="1" applyAlignment="1">
      <alignment vertical="center"/>
    </xf>
    <xf numFmtId="9" fontId="12" fillId="4" borderId="26" xfId="3" applyFont="1" applyFill="1" applyBorder="1" applyAlignment="1" applyProtection="1">
      <alignment horizontal="right" vertical="center"/>
      <protection locked="0"/>
    </xf>
    <xf numFmtId="0" fontId="12" fillId="0" borderId="24" xfId="0" applyFont="1" applyBorder="1" applyAlignment="1">
      <alignment vertical="center"/>
    </xf>
    <xf numFmtId="3" fontId="12" fillId="4" borderId="30" xfId="0" applyNumberFormat="1" applyFont="1" applyFill="1" applyBorder="1" applyAlignment="1">
      <alignment horizontal="right" vertical="center"/>
    </xf>
    <xf numFmtId="0" fontId="12" fillId="0" borderId="26" xfId="0" applyFont="1" applyBorder="1" applyAlignment="1">
      <alignment vertical="center"/>
    </xf>
    <xf numFmtId="0" fontId="13" fillId="2" borderId="38" xfId="0" applyFont="1" applyFill="1" applyBorder="1" applyAlignment="1">
      <alignment vertical="center"/>
    </xf>
    <xf numFmtId="0" fontId="28" fillId="15" borderId="24" xfId="0" applyFont="1" applyFill="1" applyBorder="1" applyAlignment="1">
      <alignment vertical="center"/>
    </xf>
    <xf numFmtId="9" fontId="28" fillId="9" borderId="30" xfId="0" applyNumberFormat="1" applyFont="1" applyFill="1" applyBorder="1" applyAlignment="1">
      <alignment vertical="center"/>
    </xf>
    <xf numFmtId="0" fontId="12" fillId="15" borderId="25" xfId="0" applyFont="1" applyFill="1" applyBorder="1" applyAlignment="1">
      <alignment vertical="center"/>
    </xf>
    <xf numFmtId="0" fontId="28" fillId="15" borderId="25" xfId="0" applyFont="1" applyFill="1" applyBorder="1" applyAlignment="1">
      <alignment vertical="center"/>
    </xf>
    <xf numFmtId="0" fontId="28" fillId="15" borderId="27" xfId="0" applyFont="1" applyFill="1" applyBorder="1" applyAlignment="1">
      <alignment vertical="center"/>
    </xf>
    <xf numFmtId="9" fontId="16" fillId="9" borderId="28" xfId="3" applyFont="1" applyFill="1" applyBorder="1" applyAlignment="1" applyProtection="1">
      <alignment vertical="center"/>
    </xf>
    <xf numFmtId="0" fontId="13" fillId="2" borderId="38" xfId="0" applyFont="1" applyFill="1" applyBorder="1" applyAlignment="1">
      <alignment vertical="center" wrapText="1"/>
    </xf>
    <xf numFmtId="0" fontId="15" fillId="13" borderId="24"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15" fillId="13" borderId="31" xfId="0" applyFont="1" applyFill="1" applyBorder="1" applyAlignment="1">
      <alignment horizontal="center" vertical="center" wrapText="1"/>
    </xf>
    <xf numFmtId="3" fontId="13" fillId="4" borderId="1" xfId="0" applyNumberFormat="1" applyFont="1" applyFill="1" applyBorder="1" applyAlignment="1" applyProtection="1">
      <alignment horizontal="right" vertical="center"/>
      <protection locked="0"/>
    </xf>
    <xf numFmtId="0" fontId="13" fillId="4" borderId="25" xfId="0" applyFont="1" applyFill="1" applyBorder="1" applyAlignment="1">
      <alignment horizontal="left" vertical="center"/>
    </xf>
    <xf numFmtId="0" fontId="13" fillId="23" borderId="39" xfId="0" applyFont="1" applyFill="1" applyBorder="1" applyAlignment="1">
      <alignment horizontal="left" vertical="center"/>
    </xf>
    <xf numFmtId="0" fontId="13" fillId="23" borderId="40" xfId="0" applyFont="1" applyFill="1" applyBorder="1" applyAlignment="1">
      <alignment vertical="center"/>
    </xf>
    <xf numFmtId="0" fontId="13" fillId="23" borderId="41" xfId="0" applyFont="1" applyFill="1" applyBorder="1" applyAlignment="1">
      <alignment vertical="center"/>
    </xf>
    <xf numFmtId="9" fontId="29" fillId="0" borderId="0" xfId="3" applyFont="1" applyAlignment="1">
      <alignment vertical="center"/>
    </xf>
    <xf numFmtId="9" fontId="12" fillId="0" borderId="0" xfId="3" applyFont="1" applyAlignment="1">
      <alignment vertical="center"/>
    </xf>
    <xf numFmtId="166" fontId="12" fillId="0" borderId="0" xfId="3" applyNumberFormat="1" applyFont="1" applyAlignment="1">
      <alignment vertical="center"/>
    </xf>
    <xf numFmtId="4" fontId="27" fillId="0" borderId="0" xfId="0" applyNumberFormat="1" applyFont="1"/>
    <xf numFmtId="171" fontId="27" fillId="0" borderId="0" xfId="0" applyNumberFormat="1" applyFont="1"/>
    <xf numFmtId="166" fontId="13" fillId="13" borderId="1" xfId="3" applyNumberFormat="1" applyFont="1" applyFill="1" applyBorder="1" applyAlignment="1">
      <alignment horizontal="right"/>
    </xf>
    <xf numFmtId="0" fontId="3" fillId="15" borderId="3" xfId="0" applyFont="1" applyFill="1" applyBorder="1" applyAlignment="1">
      <alignment horizontal="justify" vertical="center" wrapText="1"/>
    </xf>
    <xf numFmtId="0" fontId="0" fillId="15" borderId="18" xfId="0" applyFill="1" applyBorder="1" applyAlignment="1">
      <alignment horizontal="center"/>
    </xf>
    <xf numFmtId="0" fontId="0" fillId="15" borderId="19" xfId="0" applyFill="1" applyBorder="1" applyAlignment="1">
      <alignment horizontal="center"/>
    </xf>
    <xf numFmtId="0" fontId="0" fillId="15" borderId="0" xfId="0" applyFill="1" applyAlignment="1">
      <alignment horizontal="center"/>
    </xf>
    <xf numFmtId="0" fontId="0" fillId="15" borderId="16" xfId="0" applyFill="1" applyBorder="1" applyAlignment="1">
      <alignment horizontal="center"/>
    </xf>
    <xf numFmtId="0" fontId="0" fillId="15" borderId="3" xfId="0" applyFill="1" applyBorder="1" applyAlignment="1">
      <alignment horizontal="center"/>
    </xf>
    <xf numFmtId="0" fontId="0" fillId="15" borderId="9" xfId="0" applyFill="1" applyBorder="1" applyAlignment="1">
      <alignment horizontal="center"/>
    </xf>
    <xf numFmtId="0" fontId="12" fillId="0" borderId="0" xfId="0" applyFont="1" applyAlignment="1">
      <alignment horizontal="right"/>
    </xf>
    <xf numFmtId="0" fontId="2" fillId="24" borderId="1" xfId="0" applyFont="1" applyFill="1" applyBorder="1" applyAlignment="1">
      <alignment vertical="center" wrapText="1"/>
    </xf>
    <xf numFmtId="166" fontId="0" fillId="18" borderId="1" xfId="3" applyNumberFormat="1" applyFont="1" applyFill="1" applyBorder="1" applyAlignment="1">
      <alignment horizontal="center" vertical="center"/>
    </xf>
    <xf numFmtId="3" fontId="0" fillId="0" borderId="0" xfId="0" applyNumberFormat="1" applyAlignment="1">
      <alignment horizontal="center"/>
    </xf>
    <xf numFmtId="3" fontId="26" fillId="0" borderId="0" xfId="0" applyNumberFormat="1" applyFont="1" applyAlignment="1">
      <alignment horizontal="center"/>
    </xf>
    <xf numFmtId="1" fontId="0" fillId="18" borderId="1" xfId="0" applyNumberFormat="1" applyFill="1" applyBorder="1" applyAlignment="1">
      <alignment horizontal="center" vertical="center"/>
    </xf>
    <xf numFmtId="1" fontId="0" fillId="19" borderId="1" xfId="0" applyNumberFormat="1" applyFill="1" applyBorder="1" applyAlignment="1">
      <alignment horizontal="center" vertical="center"/>
    </xf>
    <xf numFmtId="2" fontId="0" fillId="18" borderId="1" xfId="0" applyNumberFormat="1" applyFill="1" applyBorder="1" applyAlignment="1">
      <alignment horizontal="center" vertical="center"/>
    </xf>
    <xf numFmtId="2" fontId="0" fillId="19" borderId="1" xfId="0" applyNumberFormat="1" applyFill="1" applyBorder="1" applyAlignment="1">
      <alignment horizontal="center" vertical="center"/>
    </xf>
    <xf numFmtId="0" fontId="12" fillId="0" borderId="12" xfId="0" applyFont="1" applyBorder="1" applyAlignment="1">
      <alignment horizontal="left" indent="3"/>
    </xf>
    <xf numFmtId="166" fontId="12" fillId="0" borderId="12" xfId="3" applyNumberFormat="1" applyFont="1" applyFill="1" applyBorder="1" applyAlignment="1">
      <alignment horizontal="right"/>
    </xf>
    <xf numFmtId="3" fontId="12" fillId="2" borderId="1" xfId="0" applyNumberFormat="1" applyFont="1" applyFill="1" applyBorder="1" applyAlignment="1">
      <alignment horizontal="center"/>
    </xf>
    <xf numFmtId="3" fontId="12" fillId="0" borderId="1" xfId="0" applyNumberFormat="1" applyFont="1" applyBorder="1" applyAlignment="1">
      <alignment horizontal="center"/>
    </xf>
    <xf numFmtId="3" fontId="13" fillId="2" borderId="1" xfId="0" applyNumberFormat="1" applyFont="1" applyFill="1" applyBorder="1" applyAlignment="1">
      <alignment horizontal="center"/>
    </xf>
    <xf numFmtId="1" fontId="12" fillId="0" borderId="0" xfId="0" applyNumberFormat="1" applyFont="1" applyAlignment="1">
      <alignment horizontal="center"/>
    </xf>
    <xf numFmtId="0" fontId="28" fillId="0" borderId="0" xfId="0" applyFont="1" applyAlignment="1">
      <alignment horizontal="center"/>
    </xf>
    <xf numFmtId="0" fontId="12" fillId="4" borderId="21" xfId="0" applyFont="1" applyFill="1" applyBorder="1" applyAlignment="1">
      <alignment horizontal="center"/>
    </xf>
    <xf numFmtId="0" fontId="12" fillId="4" borderId="22" xfId="0" applyFont="1" applyFill="1" applyBorder="1" applyAlignment="1">
      <alignment horizontal="center"/>
    </xf>
    <xf numFmtId="166" fontId="13" fillId="2" borderId="1" xfId="3" applyNumberFormat="1" applyFont="1" applyFill="1" applyBorder="1" applyAlignment="1">
      <alignment horizontal="center"/>
    </xf>
    <xf numFmtId="166" fontId="12" fillId="0" borderId="1" xfId="3" applyNumberFormat="1" applyFont="1" applyFill="1" applyBorder="1" applyAlignment="1">
      <alignment horizontal="center"/>
    </xf>
    <xf numFmtId="166" fontId="12" fillId="0" borderId="14" xfId="3" applyNumberFormat="1" applyFont="1" applyFill="1" applyBorder="1" applyAlignment="1">
      <alignment horizontal="center"/>
    </xf>
    <xf numFmtId="3" fontId="13" fillId="0" borderId="1" xfId="0" applyNumberFormat="1" applyFont="1" applyBorder="1" applyAlignment="1">
      <alignment horizontal="left" indent="1"/>
    </xf>
    <xf numFmtId="166" fontId="13" fillId="0" borderId="1" xfId="3" applyNumberFormat="1" applyFont="1" applyFill="1" applyBorder="1" applyAlignment="1">
      <alignment horizontal="center"/>
    </xf>
    <xf numFmtId="0" fontId="3" fillId="15" borderId="3" xfId="0" applyFont="1" applyFill="1" applyBorder="1" applyAlignment="1">
      <alignment vertical="center" wrapText="1"/>
    </xf>
    <xf numFmtId="0" fontId="21" fillId="5" borderId="12" xfId="0" applyFont="1" applyFill="1" applyBorder="1" applyAlignment="1">
      <alignment horizontal="center"/>
    </xf>
    <xf numFmtId="0" fontId="3" fillId="15" borderId="0" xfId="0" applyFont="1" applyFill="1" applyAlignment="1">
      <alignment horizontal="justify" vertical="center" wrapText="1"/>
    </xf>
    <xf numFmtId="9" fontId="0" fillId="22" borderId="1" xfId="3" applyFont="1" applyFill="1" applyBorder="1" applyAlignment="1">
      <alignment horizontal="center" vertical="center"/>
    </xf>
    <xf numFmtId="10" fontId="24" fillId="22" borderId="1" xfId="3" applyNumberFormat="1" applyFont="1" applyFill="1" applyBorder="1" applyAlignment="1">
      <alignment horizontal="center" vertical="center"/>
    </xf>
    <xf numFmtId="10" fontId="24" fillId="18" borderId="1" xfId="3" applyNumberFormat="1" applyFont="1" applyFill="1" applyBorder="1" applyAlignment="1">
      <alignment horizontal="center" vertical="center"/>
    </xf>
    <xf numFmtId="3" fontId="0" fillId="18" borderId="1" xfId="0" applyNumberFormat="1" applyFill="1" applyBorder="1" applyAlignment="1">
      <alignment horizontal="center" vertical="center"/>
    </xf>
    <xf numFmtId="3" fontId="0" fillId="22" borderId="1" xfId="0" applyNumberFormat="1" applyFill="1" applyBorder="1" applyAlignment="1">
      <alignment horizontal="center" vertical="center"/>
    </xf>
    <xf numFmtId="4" fontId="0" fillId="22" borderId="1" xfId="0" applyNumberFormat="1" applyFill="1" applyBorder="1" applyAlignment="1">
      <alignment horizontal="center" vertical="center"/>
    </xf>
    <xf numFmtId="0" fontId="3" fillId="0" borderId="0" xfId="0" applyFont="1" applyAlignment="1">
      <alignment horizontal="center"/>
    </xf>
    <xf numFmtId="9" fontId="3" fillId="0" borderId="0" xfId="0" applyNumberFormat="1" applyFont="1" applyAlignment="1">
      <alignment horizontal="center"/>
    </xf>
    <xf numFmtId="9" fontId="3" fillId="0" borderId="0" xfId="3" applyFont="1" applyAlignment="1">
      <alignment horizontal="center"/>
    </xf>
    <xf numFmtId="2" fontId="24" fillId="18" borderId="1" xfId="3" applyNumberFormat="1" applyFont="1" applyFill="1" applyBorder="1" applyAlignment="1">
      <alignment horizontal="center" vertical="center"/>
    </xf>
    <xf numFmtId="0" fontId="36" fillId="15" borderId="5" xfId="0" applyFont="1" applyFill="1" applyBorder="1"/>
    <xf numFmtId="0" fontId="36" fillId="15" borderId="3" xfId="0" applyFont="1" applyFill="1" applyBorder="1"/>
    <xf numFmtId="0" fontId="36" fillId="15" borderId="9" xfId="0" applyFont="1" applyFill="1" applyBorder="1"/>
    <xf numFmtId="169" fontId="0" fillId="0" borderId="0" xfId="0" applyNumberFormat="1"/>
    <xf numFmtId="8" fontId="24" fillId="18" borderId="1" xfId="8" applyNumberFormat="1" applyFont="1" applyFill="1" applyBorder="1" applyAlignment="1">
      <alignment vertical="center"/>
    </xf>
    <xf numFmtId="172" fontId="12" fillId="0" borderId="1" xfId="0" applyNumberFormat="1" applyFont="1" applyBorder="1" applyAlignment="1">
      <alignment horizontal="right"/>
    </xf>
    <xf numFmtId="172" fontId="12" fillId="13" borderId="1" xfId="0" applyNumberFormat="1" applyFont="1" applyFill="1" applyBorder="1" applyAlignment="1">
      <alignment horizontal="right"/>
    </xf>
    <xf numFmtId="166" fontId="12" fillId="13" borderId="1" xfId="3" applyNumberFormat="1" applyFont="1" applyFill="1" applyBorder="1" applyAlignment="1">
      <alignment horizontal="right"/>
    </xf>
    <xf numFmtId="4" fontId="3" fillId="0" borderId="8" xfId="0" applyNumberFormat="1" applyFont="1" applyBorder="1" applyAlignment="1">
      <alignment horizontal="center"/>
    </xf>
    <xf numFmtId="3" fontId="3" fillId="15" borderId="0" xfId="0" applyNumberFormat="1" applyFont="1" applyFill="1" applyAlignment="1">
      <alignment horizontal="center"/>
    </xf>
    <xf numFmtId="0" fontId="3" fillId="15" borderId="0" xfId="0" applyFont="1" applyFill="1" applyAlignment="1">
      <alignment horizontal="center"/>
    </xf>
    <xf numFmtId="10" fontId="3" fillId="0" borderId="1" xfId="3" applyNumberFormat="1" applyFont="1" applyFill="1" applyBorder="1" applyAlignment="1">
      <alignment horizontal="center"/>
    </xf>
    <xf numFmtId="10" fontId="4" fillId="2" borderId="1" xfId="3" applyNumberFormat="1" applyFont="1" applyFill="1" applyBorder="1" applyAlignment="1">
      <alignment horizontal="center"/>
    </xf>
    <xf numFmtId="10" fontId="4" fillId="9" borderId="1" xfId="3" applyNumberFormat="1" applyFont="1" applyFill="1" applyBorder="1" applyAlignment="1">
      <alignment horizontal="center"/>
    </xf>
    <xf numFmtId="3" fontId="4" fillId="8" borderId="1" xfId="0" applyNumberFormat="1" applyFont="1" applyFill="1" applyBorder="1" applyAlignment="1">
      <alignment horizontal="center"/>
    </xf>
    <xf numFmtId="10" fontId="4" fillId="8" borderId="1" xfId="3" applyNumberFormat="1" applyFont="1" applyFill="1" applyBorder="1" applyAlignment="1">
      <alignment horizontal="center"/>
    </xf>
    <xf numFmtId="3" fontId="4" fillId="2" borderId="1" xfId="0" applyNumberFormat="1" applyFont="1" applyFill="1" applyBorder="1" applyAlignment="1">
      <alignment horizontal="center"/>
    </xf>
    <xf numFmtId="10" fontId="3" fillId="2" borderId="1" xfId="3" applyNumberFormat="1" applyFont="1" applyFill="1" applyBorder="1" applyAlignment="1">
      <alignment horizontal="center"/>
    </xf>
    <xf numFmtId="10" fontId="3" fillId="15" borderId="0" xfId="0" applyNumberFormat="1" applyFont="1" applyFill="1" applyAlignment="1">
      <alignment horizontal="center"/>
    </xf>
    <xf numFmtId="10" fontId="3" fillId="0" borderId="1" xfId="3" applyNumberFormat="1" applyFont="1" applyBorder="1" applyAlignment="1">
      <alignment horizontal="center"/>
    </xf>
    <xf numFmtId="9" fontId="12" fillId="0" borderId="1" xfId="3" applyFont="1" applyBorder="1" applyAlignment="1">
      <alignment horizontal="right"/>
    </xf>
    <xf numFmtId="0" fontId="7" fillId="9" borderId="3" xfId="0" applyFont="1" applyFill="1" applyBorder="1" applyAlignment="1">
      <alignment horizontal="center" vertical="center"/>
    </xf>
    <xf numFmtId="0" fontId="7" fillId="4" borderId="3" xfId="0" applyFont="1" applyFill="1" applyBorder="1" applyAlignment="1">
      <alignment horizontal="center" vertical="center"/>
    </xf>
    <xf numFmtId="172" fontId="3" fillId="0" borderId="1" xfId="0" applyNumberFormat="1" applyFont="1" applyBorder="1" applyAlignment="1">
      <alignment horizontal="center"/>
    </xf>
    <xf numFmtId="172" fontId="3" fillId="13" borderId="1" xfId="0" applyNumberFormat="1" applyFont="1" applyFill="1" applyBorder="1" applyAlignment="1">
      <alignment horizontal="center"/>
    </xf>
    <xf numFmtId="172" fontId="4" fillId="13" borderId="1" xfId="0" applyNumberFormat="1" applyFont="1" applyFill="1" applyBorder="1" applyAlignment="1">
      <alignment horizontal="center"/>
    </xf>
    <xf numFmtId="172" fontId="4" fillId="9" borderId="1" xfId="0" applyNumberFormat="1" applyFont="1" applyFill="1" applyBorder="1" applyAlignment="1">
      <alignment horizontal="center"/>
    </xf>
    <xf numFmtId="0" fontId="26" fillId="0" borderId="0" xfId="0" applyFont="1"/>
    <xf numFmtId="0" fontId="26" fillId="0" borderId="0" xfId="0" applyFont="1" applyAlignment="1">
      <alignment horizontal="center"/>
    </xf>
    <xf numFmtId="0" fontId="0" fillId="0" borderId="0" xfId="0" applyAlignment="1">
      <alignment horizontal="left" indent="1"/>
    </xf>
    <xf numFmtId="3" fontId="26" fillId="0" borderId="7" xfId="0" applyNumberFormat="1" applyFont="1" applyBorder="1"/>
    <xf numFmtId="0" fontId="0" fillId="10" borderId="0" xfId="0" applyFill="1"/>
    <xf numFmtId="0" fontId="26" fillId="10" borderId="0" xfId="0" applyFont="1" applyFill="1"/>
    <xf numFmtId="0" fontId="26" fillId="11" borderId="0" xfId="0" applyFont="1" applyFill="1"/>
    <xf numFmtId="0" fontId="0" fillId="12" borderId="0" xfId="0" applyFill="1"/>
    <xf numFmtId="3" fontId="26" fillId="12" borderId="0" xfId="0" applyNumberFormat="1" applyFont="1" applyFill="1"/>
    <xf numFmtId="10" fontId="26" fillId="12" borderId="0" xfId="3" applyNumberFormat="1" applyFont="1" applyFill="1" applyBorder="1"/>
    <xf numFmtId="4" fontId="26" fillId="11" borderId="1" xfId="0" applyNumberFormat="1" applyFont="1" applyFill="1" applyBorder="1" applyAlignment="1">
      <alignment horizontal="center"/>
    </xf>
    <xf numFmtId="3" fontId="26" fillId="11" borderId="1" xfId="0" applyNumberFormat="1" applyFont="1" applyFill="1" applyBorder="1" applyAlignment="1">
      <alignment horizontal="center"/>
    </xf>
    <xf numFmtId="10" fontId="0" fillId="5" borderId="1" xfId="0" applyNumberFormat="1" applyFill="1" applyBorder="1" applyAlignment="1">
      <alignment horizontal="center"/>
    </xf>
    <xf numFmtId="164" fontId="24" fillId="5" borderId="1" xfId="2" applyFont="1" applyFill="1" applyBorder="1" applyAlignment="1">
      <alignment horizontal="right"/>
    </xf>
    <xf numFmtId="10" fontId="3" fillId="15" borderId="0" xfId="3" applyNumberFormat="1" applyFont="1" applyFill="1" applyAlignment="1">
      <alignment horizontal="center"/>
    </xf>
    <xf numFmtId="0" fontId="45" fillId="0" borderId="0" xfId="0" applyFont="1"/>
    <xf numFmtId="9" fontId="0" fillId="0" borderId="0" xfId="0" applyNumberFormat="1" applyAlignment="1">
      <alignment horizontal="center"/>
    </xf>
    <xf numFmtId="10" fontId="0" fillId="0" borderId="0" xfId="0" applyNumberFormat="1" applyAlignment="1">
      <alignment horizontal="center"/>
    </xf>
    <xf numFmtId="9" fontId="0" fillId="0" borderId="0" xfId="3" applyFont="1" applyAlignment="1">
      <alignment horizontal="center"/>
    </xf>
    <xf numFmtId="10" fontId="0" fillId="0" borderId="0" xfId="3" applyNumberFormat="1" applyFont="1" applyAlignment="1">
      <alignment horizontal="center"/>
    </xf>
    <xf numFmtId="0" fontId="0" fillId="5" borderId="0" xfId="0" applyFill="1" applyAlignment="1">
      <alignment horizontal="center"/>
    </xf>
    <xf numFmtId="9" fontId="0" fillId="0" borderId="0" xfId="0" applyNumberFormat="1"/>
    <xf numFmtId="166" fontId="0" fillId="5" borderId="0" xfId="0" applyNumberFormat="1" applyFill="1" applyAlignment="1">
      <alignment horizontal="center"/>
    </xf>
    <xf numFmtId="3" fontId="2" fillId="18" borderId="1" xfId="2" applyNumberFormat="1" applyFont="1" applyFill="1" applyBorder="1" applyAlignment="1">
      <alignment horizontal="right" vertical="center"/>
    </xf>
    <xf numFmtId="10" fontId="2" fillId="22" borderId="1" xfId="3" applyNumberFormat="1" applyFont="1" applyFill="1" applyBorder="1" applyAlignment="1">
      <alignment horizontal="right" vertical="center"/>
    </xf>
    <xf numFmtId="10" fontId="2" fillId="18" borderId="1" xfId="3" applyNumberFormat="1" applyFont="1" applyFill="1" applyBorder="1" applyAlignment="1">
      <alignment horizontal="right" vertical="center"/>
    </xf>
    <xf numFmtId="4" fontId="2" fillId="22" borderId="1" xfId="2" applyNumberFormat="1" applyFont="1" applyFill="1" applyBorder="1" applyAlignment="1">
      <alignment horizontal="right" vertical="center"/>
    </xf>
    <xf numFmtId="3" fontId="2" fillId="22" borderId="1" xfId="2" applyNumberFormat="1" applyFont="1" applyFill="1" applyBorder="1" applyAlignment="1">
      <alignment horizontal="right" vertical="center"/>
    </xf>
    <xf numFmtId="10" fontId="2" fillId="22" borderId="1" xfId="3" applyNumberFormat="1" applyFont="1" applyFill="1" applyBorder="1" applyAlignment="1">
      <alignment vertical="center"/>
    </xf>
    <xf numFmtId="4" fontId="2" fillId="18" borderId="1" xfId="2" applyNumberFormat="1" applyFont="1" applyFill="1" applyBorder="1" applyAlignment="1">
      <alignment horizontal="right" vertical="center"/>
    </xf>
    <xf numFmtId="10" fontId="2" fillId="19" borderId="1" xfId="3" applyNumberFormat="1" applyFont="1" applyFill="1" applyBorder="1" applyAlignment="1">
      <alignment vertical="center"/>
    </xf>
    <xf numFmtId="0" fontId="38" fillId="15" borderId="0" xfId="0" applyFont="1" applyFill="1" applyAlignment="1">
      <alignment horizontal="justify" vertical="center"/>
    </xf>
    <xf numFmtId="0" fontId="38" fillId="15" borderId="0" xfId="0" applyFont="1" applyFill="1" applyAlignment="1">
      <alignment horizontal="justify"/>
    </xf>
    <xf numFmtId="0" fontId="34" fillId="5" borderId="6" xfId="0" applyFont="1" applyFill="1" applyBorder="1" applyAlignment="1">
      <alignment horizontal="center"/>
    </xf>
    <xf numFmtId="0" fontId="34" fillId="5" borderId="7" xfId="0" applyFont="1" applyFill="1" applyBorder="1" applyAlignment="1">
      <alignment horizontal="center"/>
    </xf>
    <xf numFmtId="0" fontId="34" fillId="5" borderId="10" xfId="0" applyFont="1" applyFill="1" applyBorder="1" applyAlignment="1">
      <alignment horizontal="center"/>
    </xf>
    <xf numFmtId="0" fontId="43" fillId="4" borderId="42" xfId="0" applyFont="1" applyFill="1" applyBorder="1" applyAlignment="1" applyProtection="1">
      <alignment horizontal="center" vertical="center"/>
      <protection locked="0"/>
    </xf>
    <xf numFmtId="0" fontId="43" fillId="4" borderId="43" xfId="0" applyFont="1" applyFill="1" applyBorder="1" applyAlignment="1" applyProtection="1">
      <alignment horizontal="center" vertical="center"/>
      <protection locked="0"/>
    </xf>
    <xf numFmtId="0" fontId="43" fillId="4" borderId="44" xfId="0" applyFont="1" applyFill="1" applyBorder="1" applyAlignment="1" applyProtection="1">
      <alignment horizontal="center" vertical="center"/>
      <protection locked="0"/>
    </xf>
    <xf numFmtId="0" fontId="42" fillId="4" borderId="45" xfId="0" applyFont="1" applyFill="1" applyBorder="1" applyAlignment="1" applyProtection="1">
      <alignment horizontal="center" vertical="center" wrapText="1"/>
      <protection locked="0"/>
    </xf>
    <xf numFmtId="0" fontId="42" fillId="4" borderId="0" xfId="0" applyFont="1" applyFill="1" applyAlignment="1" applyProtection="1">
      <alignment horizontal="center" vertical="center" wrapText="1"/>
      <protection locked="0"/>
    </xf>
    <xf numFmtId="0" fontId="42" fillId="4" borderId="32" xfId="0" applyFont="1" applyFill="1" applyBorder="1" applyAlignment="1" applyProtection="1">
      <alignment horizontal="center" vertical="center" wrapText="1"/>
      <protection locked="0"/>
    </xf>
    <xf numFmtId="0" fontId="13" fillId="4" borderId="46" xfId="0" applyFont="1" applyFill="1" applyBorder="1" applyAlignment="1" applyProtection="1">
      <alignment horizontal="center" vertical="center"/>
      <protection locked="0"/>
    </xf>
    <xf numFmtId="0" fontId="13" fillId="4" borderId="47" xfId="0" applyFont="1" applyFill="1" applyBorder="1" applyAlignment="1" applyProtection="1">
      <alignment horizontal="center" vertical="center"/>
      <protection locked="0"/>
    </xf>
    <xf numFmtId="0" fontId="13" fillId="4" borderId="48" xfId="0" applyFont="1" applyFill="1" applyBorder="1" applyAlignment="1" applyProtection="1">
      <alignment horizontal="center" vertical="center"/>
      <protection locked="0"/>
    </xf>
    <xf numFmtId="0" fontId="6" fillId="4" borderId="15" xfId="0" applyFont="1" applyFill="1" applyBorder="1" applyAlignment="1">
      <alignment horizontal="center"/>
    </xf>
    <xf numFmtId="0" fontId="6" fillId="4" borderId="18" xfId="0" applyFont="1" applyFill="1" applyBorder="1" applyAlignment="1">
      <alignment horizontal="center"/>
    </xf>
    <xf numFmtId="0" fontId="6" fillId="4" borderId="19" xfId="0" applyFont="1" applyFill="1" applyBorder="1" applyAlignment="1">
      <alignment horizontal="center"/>
    </xf>
    <xf numFmtId="0" fontId="7" fillId="2" borderId="6" xfId="0" applyFont="1" applyFill="1" applyBorder="1" applyAlignment="1">
      <alignment horizontal="center"/>
    </xf>
    <xf numFmtId="0" fontId="7" fillId="2" borderId="10" xfId="0" applyFont="1" applyFill="1" applyBorder="1" applyAlignment="1">
      <alignment horizontal="center"/>
    </xf>
    <xf numFmtId="0" fontId="7" fillId="4" borderId="3" xfId="0" applyFont="1" applyFill="1" applyBorder="1" applyAlignment="1">
      <alignment horizontal="center" vertical="center"/>
    </xf>
    <xf numFmtId="0" fontId="7" fillId="9" borderId="3" xfId="0" applyFont="1" applyFill="1" applyBorder="1" applyAlignment="1">
      <alignment horizontal="center" vertical="center"/>
    </xf>
    <xf numFmtId="0" fontId="7" fillId="9" borderId="9" xfId="0" applyFont="1" applyFill="1" applyBorder="1" applyAlignment="1">
      <alignment horizontal="center" vertical="center"/>
    </xf>
    <xf numFmtId="0" fontId="43" fillId="4" borderId="4" xfId="0" applyFont="1" applyFill="1" applyBorder="1" applyAlignment="1">
      <alignment horizontal="center"/>
    </xf>
    <xf numFmtId="0" fontId="43" fillId="4" borderId="0" xfId="0" applyFont="1" applyFill="1" applyAlignment="1">
      <alignment horizontal="center"/>
    </xf>
    <xf numFmtId="0" fontId="42" fillId="4" borderId="4" xfId="0" applyFont="1" applyFill="1" applyBorder="1" applyAlignment="1">
      <alignment horizontal="center"/>
    </xf>
    <xf numFmtId="0" fontId="42" fillId="4" borderId="0" xfId="0" applyFont="1" applyFill="1" applyAlignment="1">
      <alignment horizontal="center"/>
    </xf>
    <xf numFmtId="0" fontId="12" fillId="4" borderId="4" xfId="0" applyFont="1" applyFill="1" applyBorder="1" applyAlignment="1">
      <alignment horizontal="center"/>
    </xf>
    <xf numFmtId="0" fontId="12" fillId="4" borderId="0" xfId="0" applyFont="1" applyFill="1" applyAlignment="1">
      <alignment horizontal="center"/>
    </xf>
    <xf numFmtId="0" fontId="13" fillId="4" borderId="4" xfId="0" applyFont="1" applyFill="1" applyBorder="1" applyAlignment="1">
      <alignment horizontal="center"/>
    </xf>
    <xf numFmtId="0" fontId="13" fillId="4" borderId="0" xfId="0" applyFont="1" applyFill="1" applyAlignment="1">
      <alignment horizontal="center"/>
    </xf>
    <xf numFmtId="0" fontId="43" fillId="4" borderId="15" xfId="0" applyFont="1" applyFill="1" applyBorder="1" applyAlignment="1">
      <alignment horizontal="center"/>
    </xf>
    <xf numFmtId="0" fontId="43" fillId="4" borderId="18" xfId="0" applyFont="1" applyFill="1" applyBorder="1" applyAlignment="1">
      <alignment horizontal="center"/>
    </xf>
    <xf numFmtId="0" fontId="43" fillId="4" borderId="19" xfId="0" applyFont="1" applyFill="1" applyBorder="1" applyAlignment="1">
      <alignment horizontal="center"/>
    </xf>
    <xf numFmtId="0" fontId="13" fillId="4" borderId="16" xfId="0" applyFont="1" applyFill="1" applyBorder="1" applyAlignment="1">
      <alignment horizontal="center"/>
    </xf>
    <xf numFmtId="0" fontId="12" fillId="4" borderId="5" xfId="0" applyFont="1" applyFill="1" applyBorder="1" applyAlignment="1">
      <alignment horizontal="center"/>
    </xf>
    <xf numFmtId="0" fontId="12" fillId="4" borderId="3" xfId="0" applyFont="1" applyFill="1" applyBorder="1" applyAlignment="1">
      <alignment horizontal="center"/>
    </xf>
    <xf numFmtId="0" fontId="12" fillId="4" borderId="9" xfId="0" applyFont="1" applyFill="1" applyBorder="1" applyAlignment="1">
      <alignment horizontal="center"/>
    </xf>
    <xf numFmtId="0" fontId="6" fillId="4" borderId="4" xfId="0" applyFont="1" applyFill="1" applyBorder="1" applyAlignment="1">
      <alignment horizontal="center"/>
    </xf>
    <xf numFmtId="0" fontId="6" fillId="4" borderId="0" xfId="0" applyFont="1" applyFill="1" applyAlignment="1">
      <alignment horizontal="center"/>
    </xf>
    <xf numFmtId="0" fontId="5" fillId="4" borderId="4" xfId="0" applyFont="1" applyFill="1" applyBorder="1" applyAlignment="1">
      <alignment horizontal="center"/>
    </xf>
    <xf numFmtId="0" fontId="5" fillId="4" borderId="0" xfId="0" applyFont="1" applyFill="1" applyAlignment="1">
      <alignment horizontal="center"/>
    </xf>
    <xf numFmtId="0" fontId="36" fillId="0" borderId="0" xfId="0" applyFont="1" applyAlignment="1">
      <alignment horizontal="center"/>
    </xf>
    <xf numFmtId="0" fontId="0" fillId="18" borderId="6" xfId="0" applyFill="1" applyBorder="1" applyAlignment="1">
      <alignment horizontal="left" vertical="center"/>
    </xf>
    <xf numFmtId="0" fontId="0" fillId="18" borderId="10" xfId="0" applyFill="1" applyBorder="1" applyAlignment="1">
      <alignment horizontal="left" vertical="center"/>
    </xf>
    <xf numFmtId="0" fontId="0" fillId="18" borderId="6" xfId="0" applyFill="1" applyBorder="1" applyAlignment="1">
      <alignment horizontal="justify"/>
    </xf>
    <xf numFmtId="0" fontId="0" fillId="18" borderId="7" xfId="0" applyFill="1" applyBorder="1" applyAlignment="1">
      <alignment horizontal="justify"/>
    </xf>
    <xf numFmtId="0" fontId="0" fillId="18" borderId="10" xfId="0" applyFill="1" applyBorder="1" applyAlignment="1">
      <alignment horizontal="justify"/>
    </xf>
    <xf numFmtId="3" fontId="0" fillId="0" borderId="6" xfId="0" applyNumberFormat="1" applyBorder="1" applyAlignment="1">
      <alignment horizontal="center"/>
    </xf>
    <xf numFmtId="3" fontId="0" fillId="0" borderId="7" xfId="0" applyNumberFormat="1" applyBorder="1" applyAlignment="1">
      <alignment horizontal="center"/>
    </xf>
    <xf numFmtId="3" fontId="0" fillId="0" borderId="10" xfId="0" applyNumberFormat="1" applyBorder="1" applyAlignment="1">
      <alignment horizontal="center"/>
    </xf>
    <xf numFmtId="3" fontId="26" fillId="0" borderId="6" xfId="0" applyNumberFormat="1" applyFont="1" applyBorder="1" applyAlignment="1">
      <alignment horizontal="center"/>
    </xf>
    <xf numFmtId="3" fontId="26" fillId="0" borderId="7" xfId="0" applyNumberFormat="1" applyFont="1" applyBorder="1" applyAlignment="1">
      <alignment horizontal="center"/>
    </xf>
    <xf numFmtId="3" fontId="26" fillId="0" borderId="10" xfId="0" applyNumberFormat="1" applyFont="1" applyBorder="1" applyAlignment="1">
      <alignment horizontal="center"/>
    </xf>
    <xf numFmtId="0" fontId="6" fillId="9" borderId="6" xfId="0" applyFont="1" applyFill="1" applyBorder="1" applyAlignment="1">
      <alignment horizontal="center"/>
    </xf>
    <xf numFmtId="0" fontId="6" fillId="9" borderId="7" xfId="0" applyFont="1" applyFill="1" applyBorder="1" applyAlignment="1">
      <alignment horizontal="center"/>
    </xf>
    <xf numFmtId="0" fontId="6" fillId="9" borderId="10" xfId="0" applyFont="1" applyFill="1" applyBorder="1" applyAlignment="1">
      <alignment horizont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0" fillId="19" borderId="6" xfId="0" applyFill="1" applyBorder="1" applyAlignment="1">
      <alignment horizontal="left" vertical="center"/>
    </xf>
    <xf numFmtId="0" fontId="0" fillId="19" borderId="10" xfId="0" applyFill="1" applyBorder="1" applyAlignment="1">
      <alignment horizontal="left" vertical="center"/>
    </xf>
    <xf numFmtId="0" fontId="0" fillId="19" borderId="6" xfId="0" applyFill="1" applyBorder="1" applyAlignment="1">
      <alignment horizontal="justify"/>
    </xf>
    <xf numFmtId="0" fontId="0" fillId="19" borderId="7" xfId="0" applyFill="1" applyBorder="1" applyAlignment="1">
      <alignment horizontal="justify"/>
    </xf>
    <xf numFmtId="0" fontId="0" fillId="19" borderId="10" xfId="0" applyFill="1" applyBorder="1" applyAlignment="1">
      <alignment horizontal="justify"/>
    </xf>
    <xf numFmtId="0" fontId="21" fillId="5" borderId="5" xfId="0" applyFont="1" applyFill="1" applyBorder="1" applyAlignment="1">
      <alignment horizontal="center"/>
    </xf>
    <xf numFmtId="0" fontId="21" fillId="5" borderId="3" xfId="0" applyFont="1" applyFill="1" applyBorder="1" applyAlignment="1">
      <alignment horizontal="center"/>
    </xf>
    <xf numFmtId="0" fontId="21" fillId="5" borderId="9" xfId="0" applyFont="1" applyFill="1" applyBorder="1" applyAlignment="1">
      <alignment horizontal="center"/>
    </xf>
    <xf numFmtId="0" fontId="6" fillId="4" borderId="16" xfId="0" applyFont="1" applyFill="1" applyBorder="1" applyAlignment="1">
      <alignment horizontal="center"/>
    </xf>
    <xf numFmtId="0" fontId="8" fillId="18" borderId="14"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12" xfId="0" applyFont="1" applyFill="1" applyBorder="1" applyAlignment="1">
      <alignment horizontal="center" vertical="center"/>
    </xf>
    <xf numFmtId="2" fontId="0" fillId="18" borderId="14" xfId="0" applyNumberFormat="1" applyFill="1" applyBorder="1" applyAlignment="1">
      <alignment horizontal="justify" vertical="center" wrapText="1"/>
    </xf>
    <xf numFmtId="2" fontId="0" fillId="18" borderId="11" xfId="0" applyNumberFormat="1" applyFill="1" applyBorder="1" applyAlignment="1">
      <alignment horizontal="justify" vertical="center"/>
    </xf>
    <xf numFmtId="2" fontId="0" fillId="18" borderId="12" xfId="0" applyNumberFormat="1" applyFill="1" applyBorder="1" applyAlignment="1">
      <alignment horizontal="justify" vertical="center"/>
    </xf>
    <xf numFmtId="0" fontId="46" fillId="4" borderId="0" xfId="0" applyFont="1" applyFill="1" applyAlignment="1">
      <alignment horizontal="center"/>
    </xf>
    <xf numFmtId="0" fontId="26" fillId="4" borderId="0" xfId="0" applyFont="1" applyFill="1" applyAlignment="1">
      <alignment horizontal="center"/>
    </xf>
    <xf numFmtId="0" fontId="0" fillId="15" borderId="15" xfId="0" applyFill="1" applyBorder="1" applyAlignment="1">
      <alignment horizontal="center"/>
    </xf>
    <xf numFmtId="0" fontId="0" fillId="15" borderId="18" xfId="0" applyFill="1" applyBorder="1" applyAlignment="1">
      <alignment horizontal="center"/>
    </xf>
    <xf numFmtId="0" fontId="0" fillId="15" borderId="19" xfId="0" applyFill="1" applyBorder="1" applyAlignment="1">
      <alignment horizontal="center"/>
    </xf>
    <xf numFmtId="0" fontId="0" fillId="15" borderId="4" xfId="0" applyFill="1" applyBorder="1" applyAlignment="1">
      <alignment horizontal="center"/>
    </xf>
    <xf numFmtId="0" fontId="0" fillId="15" borderId="0" xfId="0" applyFill="1" applyAlignment="1">
      <alignment horizontal="center"/>
    </xf>
    <xf numFmtId="0" fontId="0" fillId="15" borderId="16" xfId="0" applyFill="1" applyBorder="1" applyAlignment="1">
      <alignment horizontal="center"/>
    </xf>
    <xf numFmtId="0" fontId="0" fillId="15" borderId="5" xfId="0" applyFill="1" applyBorder="1" applyAlignment="1">
      <alignment horizontal="center"/>
    </xf>
    <xf numFmtId="0" fontId="0" fillId="15" borderId="3" xfId="0" applyFill="1" applyBorder="1" applyAlignment="1">
      <alignment horizontal="center"/>
    </xf>
    <xf numFmtId="0" fontId="0" fillId="15" borderId="9" xfId="0" applyFill="1" applyBorder="1" applyAlignment="1">
      <alignment horizontal="center"/>
    </xf>
    <xf numFmtId="0" fontId="20" fillId="4" borderId="15" xfId="0" applyFont="1" applyFill="1" applyBorder="1" applyAlignment="1">
      <alignment horizontal="center"/>
    </xf>
    <xf numFmtId="0" fontId="20" fillId="4" borderId="18" xfId="0" applyFont="1" applyFill="1" applyBorder="1" applyAlignment="1">
      <alignment horizontal="center"/>
    </xf>
    <xf numFmtId="0" fontId="20" fillId="4" borderId="19" xfId="0" applyFont="1" applyFill="1" applyBorder="1" applyAlignment="1">
      <alignment horizontal="center"/>
    </xf>
    <xf numFmtId="0" fontId="20" fillId="4" borderId="4" xfId="0" applyFont="1" applyFill="1" applyBorder="1" applyAlignment="1">
      <alignment horizontal="center"/>
    </xf>
    <xf numFmtId="0" fontId="20" fillId="4" borderId="0" xfId="0" applyFont="1" applyFill="1" applyAlignment="1">
      <alignment horizontal="center"/>
    </xf>
    <xf numFmtId="0" fontId="20" fillId="4" borderId="16" xfId="0" applyFont="1" applyFill="1" applyBorder="1" applyAlignment="1">
      <alignment horizontal="center"/>
    </xf>
    <xf numFmtId="0" fontId="35" fillId="4" borderId="5" xfId="0" applyFont="1" applyFill="1" applyBorder="1" applyAlignment="1">
      <alignment horizontal="center"/>
    </xf>
    <xf numFmtId="0" fontId="35" fillId="4" borderId="3" xfId="0" applyFont="1" applyFill="1" applyBorder="1" applyAlignment="1">
      <alignment horizontal="center"/>
    </xf>
    <xf numFmtId="0" fontId="35" fillId="4" borderId="9" xfId="0" applyFont="1" applyFill="1" applyBorder="1" applyAlignment="1">
      <alignment horizontal="center"/>
    </xf>
    <xf numFmtId="0" fontId="3" fillId="15" borderId="5"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3" fillId="15" borderId="9" xfId="0" applyFont="1" applyFill="1" applyBorder="1" applyAlignment="1">
      <alignment horizontal="center" vertical="center" wrapText="1"/>
    </xf>
    <xf numFmtId="0" fontId="44" fillId="4" borderId="4" xfId="0" applyFont="1" applyFill="1" applyBorder="1" applyAlignment="1">
      <alignment horizontal="center"/>
    </xf>
    <xf numFmtId="0" fontId="44" fillId="4" borderId="0" xfId="0" applyFont="1" applyFill="1" applyAlignment="1">
      <alignment horizontal="center"/>
    </xf>
    <xf numFmtId="0" fontId="13" fillId="4" borderId="15" xfId="0" applyFont="1" applyFill="1" applyBorder="1" applyAlignment="1">
      <alignment horizontal="center"/>
    </xf>
    <xf numFmtId="0" fontId="13" fillId="4" borderId="18" xfId="0" applyFont="1" applyFill="1" applyBorder="1" applyAlignment="1">
      <alignment horizontal="center"/>
    </xf>
    <xf numFmtId="0" fontId="13" fillId="4" borderId="19" xfId="0" applyFont="1" applyFill="1" applyBorder="1" applyAlignment="1">
      <alignment horizontal="center"/>
    </xf>
    <xf numFmtId="0" fontId="13" fillId="2" borderId="6" xfId="0" applyFont="1" applyFill="1" applyBorder="1" applyAlignment="1">
      <alignment horizontal="center"/>
    </xf>
    <xf numFmtId="0" fontId="13" fillId="2" borderId="10" xfId="0" applyFont="1" applyFill="1" applyBorder="1" applyAlignment="1">
      <alignment horizontal="center"/>
    </xf>
    <xf numFmtId="0" fontId="12" fillId="0" borderId="14" xfId="0" applyFont="1" applyBorder="1" applyAlignment="1">
      <alignment horizontal="center"/>
    </xf>
    <xf numFmtId="0" fontId="12" fillId="0" borderId="12" xfId="0" applyFont="1" applyBorder="1" applyAlignment="1">
      <alignment horizontal="center"/>
    </xf>
    <xf numFmtId="0" fontId="13" fillId="2" borderId="33" xfId="0" applyFont="1" applyFill="1" applyBorder="1" applyAlignment="1">
      <alignment horizontal="center"/>
    </xf>
    <xf numFmtId="0" fontId="13" fillId="2" borderId="34" xfId="0" applyFont="1" applyFill="1" applyBorder="1" applyAlignment="1">
      <alignment horizont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10" xfId="0" applyFont="1" applyFill="1" applyBorder="1" applyAlignment="1">
      <alignment horizontal="center" vertical="center"/>
    </xf>
    <xf numFmtId="0" fontId="14" fillId="4" borderId="4" xfId="0" applyFont="1" applyFill="1" applyBorder="1" applyAlignment="1">
      <alignment horizontal="center"/>
    </xf>
    <xf numFmtId="0" fontId="14" fillId="4" borderId="0" xfId="0" applyFont="1" applyFill="1" applyAlignment="1">
      <alignment horizontal="center"/>
    </xf>
    <xf numFmtId="0" fontId="14" fillId="4" borderId="15" xfId="0" applyFont="1" applyFill="1" applyBorder="1" applyAlignment="1">
      <alignment horizontal="center"/>
    </xf>
    <xf numFmtId="0" fontId="14" fillId="4" borderId="18" xfId="0" applyFont="1" applyFill="1" applyBorder="1" applyAlignment="1">
      <alignment horizontal="center"/>
    </xf>
    <xf numFmtId="0" fontId="14" fillId="4" borderId="19" xfId="0" applyFont="1" applyFill="1" applyBorder="1" applyAlignment="1">
      <alignment horizontal="center"/>
    </xf>
    <xf numFmtId="0" fontId="14" fillId="4" borderId="16" xfId="0" applyFont="1" applyFill="1" applyBorder="1" applyAlignment="1">
      <alignment horizontal="center"/>
    </xf>
    <xf numFmtId="0" fontId="14" fillId="4" borderId="5" xfId="0" applyFont="1" applyFill="1" applyBorder="1" applyAlignment="1">
      <alignment horizontal="center"/>
    </xf>
    <xf numFmtId="0" fontId="14" fillId="4" borderId="3" xfId="0" applyFont="1" applyFill="1" applyBorder="1" applyAlignment="1">
      <alignment horizontal="center"/>
    </xf>
    <xf numFmtId="0" fontId="14" fillId="4" borderId="9" xfId="0" applyFont="1" applyFill="1" applyBorder="1" applyAlignment="1">
      <alignment horizontal="center"/>
    </xf>
    <xf numFmtId="0" fontId="4" fillId="15" borderId="0" xfId="0" applyFont="1" applyFill="1" applyAlignment="1">
      <alignment horizontal="center"/>
    </xf>
    <xf numFmtId="0" fontId="26" fillId="5" borderId="1" xfId="0" applyFont="1" applyFill="1" applyBorder="1" applyAlignment="1">
      <alignment horizontal="center"/>
    </xf>
    <xf numFmtId="0" fontId="0" fillId="15" borderId="1" xfId="0" applyFill="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10" xfId="0" applyFont="1" applyBorder="1" applyAlignment="1">
      <alignment horizontal="center"/>
    </xf>
    <xf numFmtId="0" fontId="8" fillId="9" borderId="6" xfId="0" applyFont="1" applyFill="1" applyBorder="1" applyAlignment="1">
      <alignment horizontal="center"/>
    </xf>
    <xf numFmtId="0" fontId="8" fillId="9" borderId="7" xfId="0" applyFont="1" applyFill="1" applyBorder="1" applyAlignment="1">
      <alignment horizontal="center"/>
    </xf>
    <xf numFmtId="0" fontId="8" fillId="9" borderId="10" xfId="0" applyFont="1" applyFill="1" applyBorder="1" applyAlignment="1">
      <alignment horizontal="center"/>
    </xf>
    <xf numFmtId="166" fontId="0" fillId="0" borderId="0" xfId="3" applyNumberFormat="1" applyFont="1" applyAlignment="1">
      <alignment horizontal="center" vertical="center"/>
    </xf>
  </cellXfs>
  <cellStyles count="9">
    <cellStyle name="Hipervínculo" xfId="1" builtinId="8"/>
    <cellStyle name="Millares" xfId="2" builtinId="3"/>
    <cellStyle name="Millares [0]" xfId="4" builtinId="6"/>
    <cellStyle name="Millares [0] 2" xfId="6" xr:uid="{00000000-0005-0000-0000-000003000000}"/>
    <cellStyle name="Moneda" xfId="8" builtinId="4"/>
    <cellStyle name="Normal" xfId="0" builtinId="0"/>
    <cellStyle name="Normal 2" xfId="5" xr:uid="{00000000-0005-0000-0000-000005000000}"/>
    <cellStyle name="Porcentaje" xfId="3" builtinId="5"/>
    <cellStyle name="Porcentaje 2" xfId="7" xr:uid="{00000000-0005-0000-0000-000007000000}"/>
  </cellStyles>
  <dxfs count="116">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condense val="0"/>
        <extend val="0"/>
        <color indexed="13"/>
      </font>
      <fill>
        <patternFill>
          <bgColor indexed="10"/>
        </patternFill>
      </fill>
    </dxf>
    <dxf>
      <font>
        <condense val="0"/>
        <extend val="0"/>
        <color rgb="FF9C0006"/>
      </font>
      <fill>
        <patternFill>
          <bgColor rgb="FFFFC7CE"/>
        </patternFill>
      </fill>
    </dxf>
    <dxf>
      <font>
        <color theme="7" tint="-0.499984740745262"/>
      </font>
      <fill>
        <patternFill>
          <bgColor theme="8" tint="0.59996337778862885"/>
        </patternFill>
      </fill>
    </dxf>
    <dxf>
      <font>
        <condense val="0"/>
        <extend val="0"/>
        <color rgb="FF9C0006"/>
      </font>
      <fill>
        <patternFill>
          <bgColor rgb="FFFFC7CE"/>
        </patternFill>
      </fill>
    </dxf>
    <dxf>
      <fill>
        <patternFill>
          <bgColor theme="8" tint="0.59996337778862885"/>
        </patternFill>
      </fill>
    </dxf>
    <dxf>
      <font>
        <condense val="0"/>
        <extend val="0"/>
        <color rgb="FF9C0006"/>
      </font>
      <fill>
        <patternFill>
          <bgColor rgb="FFFFC7CE"/>
        </patternFill>
      </fill>
    </dxf>
    <dxf>
      <font>
        <color theme="7" tint="-0.499984740745262"/>
      </font>
      <fill>
        <patternFill>
          <bgColor theme="8" tint="0.59996337778862885"/>
        </patternFill>
      </fill>
    </dxf>
    <dxf>
      <font>
        <condense val="0"/>
        <extend val="0"/>
        <color rgb="FF9C0006"/>
      </font>
      <fill>
        <patternFill>
          <bgColor rgb="FFFFC7CE"/>
        </patternFill>
      </fill>
    </dxf>
    <dxf>
      <fill>
        <patternFill>
          <bgColor theme="8" tint="0.59996337778862885"/>
        </patternFill>
      </fill>
    </dxf>
    <dxf>
      <font>
        <condense val="0"/>
        <extend val="0"/>
        <color rgb="FF9C0006"/>
      </font>
      <fill>
        <patternFill>
          <bgColor rgb="FFFFC7CE"/>
        </patternFill>
      </fill>
    </dxf>
    <dxf>
      <font>
        <color theme="7" tint="-0.499984740745262"/>
      </font>
      <fill>
        <patternFill>
          <bgColor theme="8" tint="0.59996337778862885"/>
        </patternFill>
      </fill>
    </dxf>
    <dxf>
      <font>
        <condense val="0"/>
        <extend val="0"/>
        <color rgb="FF9C0006"/>
      </font>
      <fill>
        <patternFill>
          <bgColor rgb="FFFFC7CE"/>
        </patternFill>
      </fill>
    </dxf>
    <dxf>
      <font>
        <color theme="8" tint="-0.499984740745262"/>
      </font>
      <fill>
        <patternFill>
          <bgColor theme="8"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2060"/>
      </font>
      <fill>
        <patternFill>
          <bgColor theme="8" tint="0.59996337778862885"/>
        </patternFill>
      </fill>
    </dxf>
    <dxf>
      <font>
        <color rgb="FF9C0006"/>
      </font>
      <fill>
        <patternFill>
          <bgColor rgb="FFFFC7CE"/>
        </patternFill>
      </fill>
    </dxf>
    <dxf>
      <font>
        <color rgb="FF006100"/>
      </font>
      <fill>
        <patternFill>
          <bgColor rgb="FFC6EFCE"/>
        </patternFill>
      </fill>
    </dxf>
    <dxf>
      <font>
        <color auto="1"/>
      </font>
      <fill>
        <patternFill>
          <bgColor rgb="FFFFFF00"/>
        </patternFill>
      </fill>
    </dxf>
    <dxf>
      <font>
        <condense val="0"/>
        <extend val="0"/>
        <color rgb="FF9C0006"/>
      </font>
      <fill>
        <patternFill>
          <bgColor rgb="FFFFC7CE"/>
        </patternFill>
      </fill>
    </dxf>
    <dxf>
      <font>
        <color theme="1"/>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2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'Resumen balance'!$B$43</c:f>
              <c:strCache>
                <c:ptCount val="1"/>
                <c:pt idx="0">
                  <c:v>2018</c:v>
                </c:pt>
              </c:strCache>
            </c:strRef>
          </c:tx>
          <c:invertIfNegative val="0"/>
          <c:cat>
            <c:strRef>
              <c:f>'Resumen balance'!$A$44:$A$46</c:f>
              <c:strCache>
                <c:ptCount val="3"/>
                <c:pt idx="0">
                  <c:v>ACTIVOS</c:v>
                </c:pt>
                <c:pt idx="1">
                  <c:v>PASIVOS</c:v>
                </c:pt>
                <c:pt idx="2">
                  <c:v>PATRIMONIO</c:v>
                </c:pt>
              </c:strCache>
            </c:strRef>
          </c:cat>
          <c:val>
            <c:numRef>
              <c:f>'Resumen balance'!$B$44:$B$46</c:f>
              <c:numCache>
                <c:formatCode>#,##0</c:formatCode>
                <c:ptCount val="3"/>
                <c:pt idx="0">
                  <c:v>8957294765</c:v>
                </c:pt>
                <c:pt idx="1">
                  <c:v>4361547849.7866659</c:v>
                </c:pt>
                <c:pt idx="2">
                  <c:v>4595746915.2133341</c:v>
                </c:pt>
              </c:numCache>
            </c:numRef>
          </c:val>
          <c:extLst>
            <c:ext xmlns:c16="http://schemas.microsoft.com/office/drawing/2014/chart" uri="{C3380CC4-5D6E-409C-BE32-E72D297353CC}">
              <c16:uniqueId val="{00000000-CBD2-4F04-AEE1-FDE3B5CD7196}"/>
            </c:ext>
          </c:extLst>
        </c:ser>
        <c:ser>
          <c:idx val="1"/>
          <c:order val="1"/>
          <c:tx>
            <c:strRef>
              <c:f>'Resumen balance'!$D$43</c:f>
              <c:strCache>
                <c:ptCount val="1"/>
                <c:pt idx="0">
                  <c:v>2019</c:v>
                </c:pt>
              </c:strCache>
            </c:strRef>
          </c:tx>
          <c:invertIfNegative val="0"/>
          <c:cat>
            <c:strRef>
              <c:f>'Resumen balance'!$A$44:$A$46</c:f>
              <c:strCache>
                <c:ptCount val="3"/>
                <c:pt idx="0">
                  <c:v>ACTIVOS</c:v>
                </c:pt>
                <c:pt idx="1">
                  <c:v>PASIVOS</c:v>
                </c:pt>
                <c:pt idx="2">
                  <c:v>PATRIMONIO</c:v>
                </c:pt>
              </c:strCache>
            </c:strRef>
          </c:cat>
          <c:val>
            <c:numRef>
              <c:f>'Resumen balance'!$D$44:$D$46</c:f>
              <c:numCache>
                <c:formatCode>#,##0</c:formatCode>
                <c:ptCount val="3"/>
                <c:pt idx="0">
                  <c:v>10528589969.5</c:v>
                </c:pt>
                <c:pt idx="1">
                  <c:v>5631265134</c:v>
                </c:pt>
                <c:pt idx="2">
                  <c:v>4897324835.499999</c:v>
                </c:pt>
              </c:numCache>
            </c:numRef>
          </c:val>
          <c:extLst>
            <c:ext xmlns:c16="http://schemas.microsoft.com/office/drawing/2014/chart" uri="{C3380CC4-5D6E-409C-BE32-E72D297353CC}">
              <c16:uniqueId val="{00000001-CBD2-4F04-AEE1-FDE3B5CD7196}"/>
            </c:ext>
          </c:extLst>
        </c:ser>
        <c:ser>
          <c:idx val="2"/>
          <c:order val="2"/>
          <c:tx>
            <c:strRef>
              <c:f>'Resumen balance'!$F$43</c:f>
              <c:strCache>
                <c:ptCount val="1"/>
                <c:pt idx="0">
                  <c:v>2020</c:v>
                </c:pt>
              </c:strCache>
            </c:strRef>
          </c:tx>
          <c:invertIfNegative val="0"/>
          <c:cat>
            <c:strRef>
              <c:f>'Resumen balance'!$A$44:$A$46</c:f>
              <c:strCache>
                <c:ptCount val="3"/>
                <c:pt idx="0">
                  <c:v>ACTIVOS</c:v>
                </c:pt>
                <c:pt idx="1">
                  <c:v>PASIVOS</c:v>
                </c:pt>
                <c:pt idx="2">
                  <c:v>PATRIMONIO</c:v>
                </c:pt>
              </c:strCache>
            </c:strRef>
          </c:cat>
          <c:val>
            <c:numRef>
              <c:f>'Resumen balance'!$F$44:$F$46</c:f>
              <c:numCache>
                <c:formatCode>#,##0</c:formatCode>
                <c:ptCount val="3"/>
                <c:pt idx="0">
                  <c:v>14239007523.5</c:v>
                </c:pt>
                <c:pt idx="1">
                  <c:v>6390307082</c:v>
                </c:pt>
                <c:pt idx="2">
                  <c:v>7848700441.5</c:v>
                </c:pt>
              </c:numCache>
            </c:numRef>
          </c:val>
          <c:extLst>
            <c:ext xmlns:c16="http://schemas.microsoft.com/office/drawing/2014/chart" uri="{C3380CC4-5D6E-409C-BE32-E72D297353CC}">
              <c16:uniqueId val="{00000002-CBD2-4F04-AEE1-FDE3B5CD7196}"/>
            </c:ext>
          </c:extLst>
        </c:ser>
        <c:ser>
          <c:idx val="3"/>
          <c:order val="3"/>
          <c:tx>
            <c:strRef>
              <c:f>'Resumen balance'!$H$43</c:f>
              <c:strCache>
                <c:ptCount val="1"/>
                <c:pt idx="0">
                  <c:v>2021</c:v>
                </c:pt>
              </c:strCache>
            </c:strRef>
          </c:tx>
          <c:invertIfNegative val="0"/>
          <c:cat>
            <c:strRef>
              <c:f>'Resumen balance'!$A$44:$A$46</c:f>
              <c:strCache>
                <c:ptCount val="3"/>
                <c:pt idx="0">
                  <c:v>ACTIVOS</c:v>
                </c:pt>
                <c:pt idx="1">
                  <c:v>PASIVOS</c:v>
                </c:pt>
                <c:pt idx="2">
                  <c:v>PATRIMONIO</c:v>
                </c:pt>
              </c:strCache>
            </c:strRef>
          </c:cat>
          <c:val>
            <c:numRef>
              <c:f>'Resumen balance'!$H$44:$H$46</c:f>
              <c:numCache>
                <c:formatCode>#,##0</c:formatCode>
                <c:ptCount val="3"/>
                <c:pt idx="0">
                  <c:v>18426335135.5</c:v>
                </c:pt>
                <c:pt idx="1">
                  <c:v>9977532296</c:v>
                </c:pt>
                <c:pt idx="2">
                  <c:v>8448802839.499999</c:v>
                </c:pt>
              </c:numCache>
            </c:numRef>
          </c:val>
          <c:extLst>
            <c:ext xmlns:c16="http://schemas.microsoft.com/office/drawing/2014/chart" uri="{C3380CC4-5D6E-409C-BE32-E72D297353CC}">
              <c16:uniqueId val="{00000001-ED4C-4849-8146-BA2F2DA2D588}"/>
            </c:ext>
          </c:extLst>
        </c:ser>
        <c:ser>
          <c:idx val="4"/>
          <c:order val="4"/>
          <c:tx>
            <c:strRef>
              <c:f>'Resumen balance'!$J$43</c:f>
              <c:strCache>
                <c:ptCount val="1"/>
                <c:pt idx="0">
                  <c:v>2022</c:v>
                </c:pt>
              </c:strCache>
            </c:strRef>
          </c:tx>
          <c:invertIfNegative val="0"/>
          <c:cat>
            <c:strRef>
              <c:f>'Resumen balance'!$A$44:$A$46</c:f>
              <c:strCache>
                <c:ptCount val="3"/>
                <c:pt idx="0">
                  <c:v>ACTIVOS</c:v>
                </c:pt>
                <c:pt idx="1">
                  <c:v>PASIVOS</c:v>
                </c:pt>
                <c:pt idx="2">
                  <c:v>PATRIMONIO</c:v>
                </c:pt>
              </c:strCache>
            </c:strRef>
          </c:cat>
          <c:val>
            <c:numRef>
              <c:f>'Resumen balance'!$J$44:$J$46</c:f>
              <c:numCache>
                <c:formatCode>#,##0</c:formatCode>
                <c:ptCount val="3"/>
                <c:pt idx="0">
                  <c:v>21477375502</c:v>
                </c:pt>
                <c:pt idx="1">
                  <c:v>16520220126.024788</c:v>
                </c:pt>
                <c:pt idx="2">
                  <c:v>10006441667.975208</c:v>
                </c:pt>
              </c:numCache>
            </c:numRef>
          </c:val>
          <c:extLst>
            <c:ext xmlns:c16="http://schemas.microsoft.com/office/drawing/2014/chart" uri="{C3380CC4-5D6E-409C-BE32-E72D297353CC}">
              <c16:uniqueId val="{00000002-D81A-4FF6-9C2B-6C69134D0E4F}"/>
            </c:ext>
          </c:extLst>
        </c:ser>
        <c:ser>
          <c:idx val="5"/>
          <c:order val="5"/>
          <c:tx>
            <c:strRef>
              <c:f>'Resumen balance'!$L$43</c:f>
              <c:strCache>
                <c:ptCount val="1"/>
                <c:pt idx="0">
                  <c:v>2023</c:v>
                </c:pt>
              </c:strCache>
            </c:strRef>
          </c:tx>
          <c:invertIfNegative val="0"/>
          <c:cat>
            <c:strRef>
              <c:f>'Resumen balance'!$A$44:$A$46</c:f>
              <c:strCache>
                <c:ptCount val="3"/>
                <c:pt idx="0">
                  <c:v>ACTIVOS</c:v>
                </c:pt>
                <c:pt idx="1">
                  <c:v>PASIVOS</c:v>
                </c:pt>
                <c:pt idx="2">
                  <c:v>PATRIMONIO</c:v>
                </c:pt>
              </c:strCache>
            </c:strRef>
          </c:cat>
          <c:val>
            <c:numRef>
              <c:f>'Resumen balance'!$L$44:$L$46</c:f>
              <c:numCache>
                <c:formatCode>#,##0</c:formatCode>
                <c:ptCount val="3"/>
                <c:pt idx="0">
                  <c:v>26526661794</c:v>
                </c:pt>
                <c:pt idx="1">
                  <c:v>16520220126.024788</c:v>
                </c:pt>
                <c:pt idx="2">
                  <c:v>10006441667.975208</c:v>
                </c:pt>
              </c:numCache>
            </c:numRef>
          </c:val>
          <c:extLst>
            <c:ext xmlns:c16="http://schemas.microsoft.com/office/drawing/2014/chart" uri="{C3380CC4-5D6E-409C-BE32-E72D297353CC}">
              <c16:uniqueId val="{00000003-D81A-4FF6-9C2B-6C69134D0E4F}"/>
            </c:ext>
          </c:extLst>
        </c:ser>
        <c:dLbls>
          <c:showLegendKey val="0"/>
          <c:showVal val="0"/>
          <c:showCatName val="0"/>
          <c:showSerName val="0"/>
          <c:showPercent val="0"/>
          <c:showBubbleSize val="0"/>
        </c:dLbls>
        <c:gapWidth val="150"/>
        <c:shape val="cylinder"/>
        <c:axId val="415952832"/>
        <c:axId val="415951744"/>
        <c:axId val="0"/>
      </c:bar3DChart>
      <c:catAx>
        <c:axId val="4159528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51744"/>
        <c:crosses val="autoZero"/>
        <c:auto val="1"/>
        <c:lblAlgn val="ctr"/>
        <c:lblOffset val="100"/>
        <c:noMultiLvlLbl val="0"/>
      </c:catAx>
      <c:valAx>
        <c:axId val="415951744"/>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52832"/>
        <c:crosses val="autoZero"/>
        <c:crossBetween val="between"/>
      </c:valAx>
      <c:spPr>
        <a:noFill/>
        <a:ln w="25400">
          <a:noFill/>
        </a:ln>
      </c:spPr>
    </c:plotArea>
    <c:legend>
      <c:legendPos val="r"/>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55" l="0.70000000000000062" r="0.70000000000000062" t="0.75000000000000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b="1" i="0" u="none" strike="noStrike" baseline="0">
              <a:solidFill>
                <a:srgbClr val="000000"/>
              </a:solidFill>
              <a:latin typeface="Calibri"/>
              <a:ea typeface="Calibri"/>
              <a:cs typeface="Calibri"/>
            </a:defRPr>
          </a:pPr>
          <a:endParaRPr lang="es-CO"/>
        </a:p>
      </c:txPr>
    </c:title>
    <c:autoTitleDeleted val="0"/>
    <c:view3D>
      <c:rotX val="30"/>
      <c:rotY val="0"/>
      <c:rAngAx val="0"/>
    </c:view3D>
    <c:floor>
      <c:thickness val="0"/>
    </c:floor>
    <c:sideWall>
      <c:thickness val="0"/>
    </c:sideWall>
    <c:backWall>
      <c:thickness val="0"/>
    </c:backWall>
    <c:plotArea>
      <c:layout/>
      <c:pie3DChart>
        <c:varyColors val="1"/>
        <c:ser>
          <c:idx val="0"/>
          <c:order val="0"/>
          <c:tx>
            <c:strRef>
              <c:f>'Resumen balance'!$N$63</c:f>
              <c:strCache>
                <c:ptCount val="1"/>
                <c:pt idx="0">
                  <c:v>REFERENTE</c:v>
                </c:pt>
              </c:strCache>
            </c:strRef>
          </c:tx>
          <c:dPt>
            <c:idx val="0"/>
            <c:bubble3D val="0"/>
            <c:extLst>
              <c:ext xmlns:c16="http://schemas.microsoft.com/office/drawing/2014/chart" uri="{C3380CC4-5D6E-409C-BE32-E72D297353CC}">
                <c16:uniqueId val="{00000000-2810-48C8-9FF7-8664424FBE12}"/>
              </c:ext>
            </c:extLst>
          </c:dPt>
          <c:dPt>
            <c:idx val="1"/>
            <c:bubble3D val="0"/>
            <c:extLst>
              <c:ext xmlns:c16="http://schemas.microsoft.com/office/drawing/2014/chart" uri="{C3380CC4-5D6E-409C-BE32-E72D297353CC}">
                <c16:uniqueId val="{00000001-2810-48C8-9FF7-8664424FBE12}"/>
              </c:ext>
            </c:extLst>
          </c:dPt>
          <c:dLbls>
            <c:dLbl>
              <c:idx val="0"/>
              <c:layout>
                <c:manualLayout>
                  <c:x val="-0.17998592729100354"/>
                  <c:y val="-0.267902072982121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810-48C8-9FF7-8664424FBE12}"/>
                </c:ext>
              </c:extLst>
            </c:dLbl>
            <c:dLbl>
              <c:idx val="1"/>
              <c:layout>
                <c:manualLayout>
                  <c:x val="-5.7639135533590229E-2"/>
                  <c:y val="-3.68594146888127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810-48C8-9FF7-8664424FBE12}"/>
                </c:ext>
              </c:extLst>
            </c:dLbl>
            <c:dLbl>
              <c:idx val="2"/>
              <c:layout>
                <c:manualLayout>
                  <c:x val="0.23467962249399668"/>
                  <c:y val="-0.1052610090405369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810-48C8-9FF7-8664424FBE12}"/>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balance'!$A$67:$A$68</c:f>
              <c:strCache>
                <c:ptCount val="2"/>
                <c:pt idx="0">
                  <c:v>ACTIVO NO CORRIENTE</c:v>
                </c:pt>
                <c:pt idx="1">
                  <c:v>ACTIVO CORRIENTE</c:v>
                </c:pt>
              </c:strCache>
            </c:strRef>
          </c:cat>
          <c:val>
            <c:numRef>
              <c:f>'Resumen balance'!$N$67:$N$68</c:f>
              <c:numCache>
                <c:formatCode>0%</c:formatCode>
                <c:ptCount val="2"/>
                <c:pt idx="0">
                  <c:v>0.63147041014155825</c:v>
                </c:pt>
                <c:pt idx="1">
                  <c:v>0.3685295898584417</c:v>
                </c:pt>
              </c:numCache>
            </c:numRef>
          </c:val>
          <c:extLst>
            <c:ext xmlns:c16="http://schemas.microsoft.com/office/drawing/2014/chart" uri="{C3380CC4-5D6E-409C-BE32-E72D297353CC}">
              <c16:uniqueId val="{00000003-2810-48C8-9FF7-8664424FBE12}"/>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tx>
            <c:strRef>
              <c:f>'Resumen balance'!$N$63</c:f>
              <c:strCache>
                <c:ptCount val="1"/>
                <c:pt idx="0">
                  <c:v>REFERENTE</c:v>
                </c:pt>
              </c:strCache>
            </c:strRef>
          </c:tx>
          <c:dPt>
            <c:idx val="0"/>
            <c:bubble3D val="0"/>
            <c:extLst>
              <c:ext xmlns:c16="http://schemas.microsoft.com/office/drawing/2014/chart" uri="{C3380CC4-5D6E-409C-BE32-E72D297353CC}">
                <c16:uniqueId val="{00000000-B5C6-4016-A410-FAD91B6C3CD9}"/>
              </c:ext>
            </c:extLst>
          </c:dPt>
          <c:dPt>
            <c:idx val="1"/>
            <c:bubble3D val="0"/>
            <c:extLst>
              <c:ext xmlns:c16="http://schemas.microsoft.com/office/drawing/2014/chart" uri="{C3380CC4-5D6E-409C-BE32-E72D297353CC}">
                <c16:uniqueId val="{00000001-B5C6-4016-A410-FAD91B6C3CD9}"/>
              </c:ext>
            </c:extLst>
          </c:dPt>
          <c:dPt>
            <c:idx val="2"/>
            <c:bubble3D val="0"/>
            <c:extLst>
              <c:ext xmlns:c16="http://schemas.microsoft.com/office/drawing/2014/chart" uri="{C3380CC4-5D6E-409C-BE32-E72D297353CC}">
                <c16:uniqueId val="{00000002-B5C6-4016-A410-FAD91B6C3CD9}"/>
              </c:ext>
            </c:extLst>
          </c:dPt>
          <c:dLbls>
            <c:dLbl>
              <c:idx val="0"/>
              <c:layout>
                <c:manualLayout>
                  <c:x val="7.5333221645167037E-2"/>
                  <c:y val="-3.93305466446323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5C6-4016-A410-FAD91B6C3CD9}"/>
                </c:ext>
              </c:extLst>
            </c:dLbl>
            <c:dLbl>
              <c:idx val="1"/>
              <c:layout>
                <c:manualLayout>
                  <c:x val="1.6119729714636741E-2"/>
                  <c:y val="0.1079025307021810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5C6-4016-A410-FAD91B6C3CD9}"/>
                </c:ext>
              </c:extLst>
            </c:dLbl>
            <c:dLbl>
              <c:idx val="2"/>
              <c:layout>
                <c:manualLayout>
                  <c:x val="0.23467962249399668"/>
                  <c:y val="-0.1052610090405368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5C6-4016-A410-FAD91B6C3CD9}"/>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balance'!$A$64:$A$66</c:f>
              <c:strCache>
                <c:ptCount val="3"/>
                <c:pt idx="0">
                  <c:v>PASIVO CORRIENTE</c:v>
                </c:pt>
                <c:pt idx="1">
                  <c:v>PASIVO NO CORRIENTE</c:v>
                </c:pt>
                <c:pt idx="2">
                  <c:v>PATRIMONIO</c:v>
                </c:pt>
              </c:strCache>
            </c:strRef>
          </c:cat>
          <c:val>
            <c:numRef>
              <c:f>'Resumen balance'!$N$64:$N$66</c:f>
              <c:numCache>
                <c:formatCode>0%</c:formatCode>
                <c:ptCount val="3"/>
                <c:pt idx="0">
                  <c:v>0.2360450594823322</c:v>
                </c:pt>
                <c:pt idx="1">
                  <c:v>0.35320077761515478</c:v>
                </c:pt>
                <c:pt idx="2">
                  <c:v>0.41075416290251304</c:v>
                </c:pt>
              </c:numCache>
            </c:numRef>
          </c:val>
          <c:extLst>
            <c:ext xmlns:c16="http://schemas.microsoft.com/office/drawing/2014/chart" uri="{C3380CC4-5D6E-409C-BE32-E72D297353CC}">
              <c16:uniqueId val="{00000003-B5C6-4016-A410-FAD91B6C3CD9}"/>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b="1" i="0" u="none" strike="noStrike" baseline="0">
              <a:solidFill>
                <a:srgbClr val="000000"/>
              </a:solidFill>
              <a:latin typeface="Calibri"/>
              <a:ea typeface="Calibri"/>
              <a:cs typeface="Calibri"/>
            </a:defRPr>
          </a:pPr>
          <a:endParaRPr lang="es-CO"/>
        </a:p>
      </c:txPr>
    </c:title>
    <c:autoTitleDeleted val="0"/>
    <c:view3D>
      <c:rotX val="30"/>
      <c:rotY val="0"/>
      <c:rAngAx val="0"/>
    </c:view3D>
    <c:floor>
      <c:thickness val="0"/>
    </c:floor>
    <c:sideWall>
      <c:thickness val="0"/>
    </c:sideWall>
    <c:backWall>
      <c:thickness val="0"/>
    </c:backWall>
    <c:plotArea>
      <c:layout/>
      <c:pie3DChart>
        <c:varyColors val="1"/>
        <c:ser>
          <c:idx val="0"/>
          <c:order val="0"/>
          <c:tx>
            <c:strRef>
              <c:f>'Resumen balance'!$L$63</c:f>
              <c:strCache>
                <c:ptCount val="1"/>
                <c:pt idx="0">
                  <c:v>2023</c:v>
                </c:pt>
              </c:strCache>
            </c:strRef>
          </c:tx>
          <c:dPt>
            <c:idx val="0"/>
            <c:bubble3D val="0"/>
            <c:extLst>
              <c:ext xmlns:c16="http://schemas.microsoft.com/office/drawing/2014/chart" uri="{C3380CC4-5D6E-409C-BE32-E72D297353CC}">
                <c16:uniqueId val="{00000000-7B2B-4003-A25A-C8B8C756A056}"/>
              </c:ext>
            </c:extLst>
          </c:dPt>
          <c:dPt>
            <c:idx val="1"/>
            <c:bubble3D val="0"/>
            <c:extLst>
              <c:ext xmlns:c16="http://schemas.microsoft.com/office/drawing/2014/chart" uri="{C3380CC4-5D6E-409C-BE32-E72D297353CC}">
                <c16:uniqueId val="{00000001-7B2B-4003-A25A-C8B8C756A056}"/>
              </c:ext>
            </c:extLst>
          </c:dPt>
          <c:dLbls>
            <c:dLbl>
              <c:idx val="0"/>
              <c:layout>
                <c:manualLayout>
                  <c:x val="-0.17998592729100354"/>
                  <c:y val="-0.267902072982121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B2B-4003-A25A-C8B8C756A056}"/>
                </c:ext>
              </c:extLst>
            </c:dLbl>
            <c:dLbl>
              <c:idx val="1"/>
              <c:layout>
                <c:manualLayout>
                  <c:x val="-5.7639135533590229E-2"/>
                  <c:y val="-3.68594146888127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B2B-4003-A25A-C8B8C756A056}"/>
                </c:ext>
              </c:extLst>
            </c:dLbl>
            <c:dLbl>
              <c:idx val="2"/>
              <c:layout>
                <c:manualLayout>
                  <c:x val="0.23467962249399668"/>
                  <c:y val="-0.1052610090405369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B2B-4003-A25A-C8B8C756A056}"/>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balance'!$A$67:$A$68</c:f>
              <c:strCache>
                <c:ptCount val="2"/>
                <c:pt idx="0">
                  <c:v>ACTIVO NO CORRIENTE</c:v>
                </c:pt>
                <c:pt idx="1">
                  <c:v>ACTIVO CORRIENTE</c:v>
                </c:pt>
              </c:strCache>
            </c:strRef>
          </c:cat>
          <c:val>
            <c:numRef>
              <c:f>'Resumen balance'!$L$67:$L$68</c:f>
              <c:numCache>
                <c:formatCode>0%</c:formatCode>
                <c:ptCount val="2"/>
                <c:pt idx="0">
                  <c:v>0.44585835099971571</c:v>
                </c:pt>
                <c:pt idx="1">
                  <c:v>0.55414164900028429</c:v>
                </c:pt>
              </c:numCache>
            </c:numRef>
          </c:val>
          <c:extLst>
            <c:ext xmlns:c16="http://schemas.microsoft.com/office/drawing/2014/chart" uri="{C3380CC4-5D6E-409C-BE32-E72D297353CC}">
              <c16:uniqueId val="{00000003-7B2B-4003-A25A-C8B8C756A056}"/>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tx>
            <c:strRef>
              <c:f>'Resumen balance'!$L$63</c:f>
              <c:strCache>
                <c:ptCount val="1"/>
                <c:pt idx="0">
                  <c:v>2023</c:v>
                </c:pt>
              </c:strCache>
            </c:strRef>
          </c:tx>
          <c:dPt>
            <c:idx val="0"/>
            <c:bubble3D val="0"/>
            <c:extLst>
              <c:ext xmlns:c16="http://schemas.microsoft.com/office/drawing/2014/chart" uri="{C3380CC4-5D6E-409C-BE32-E72D297353CC}">
                <c16:uniqueId val="{00000000-8234-4785-B94B-8346DE0313FB}"/>
              </c:ext>
            </c:extLst>
          </c:dPt>
          <c:dPt>
            <c:idx val="1"/>
            <c:bubble3D val="0"/>
            <c:extLst>
              <c:ext xmlns:c16="http://schemas.microsoft.com/office/drawing/2014/chart" uri="{C3380CC4-5D6E-409C-BE32-E72D297353CC}">
                <c16:uniqueId val="{00000001-8234-4785-B94B-8346DE0313FB}"/>
              </c:ext>
            </c:extLst>
          </c:dPt>
          <c:dPt>
            <c:idx val="2"/>
            <c:bubble3D val="0"/>
            <c:extLst>
              <c:ext xmlns:c16="http://schemas.microsoft.com/office/drawing/2014/chart" uri="{C3380CC4-5D6E-409C-BE32-E72D297353CC}">
                <c16:uniqueId val="{00000002-8234-4785-B94B-8346DE0313FB}"/>
              </c:ext>
            </c:extLst>
          </c:dPt>
          <c:dLbls>
            <c:dLbl>
              <c:idx val="0"/>
              <c:layout>
                <c:manualLayout>
                  <c:x val="7.5333221645167037E-2"/>
                  <c:y val="-3.93305466446323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234-4785-B94B-8346DE0313FB}"/>
                </c:ext>
              </c:extLst>
            </c:dLbl>
            <c:dLbl>
              <c:idx val="1"/>
              <c:layout>
                <c:manualLayout>
                  <c:x val="1.6119729714636741E-2"/>
                  <c:y val="0.1079025307021810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234-4785-B94B-8346DE0313FB}"/>
                </c:ext>
              </c:extLst>
            </c:dLbl>
            <c:dLbl>
              <c:idx val="2"/>
              <c:layout>
                <c:manualLayout>
                  <c:x val="0.23467962249399668"/>
                  <c:y val="-0.1052610090405368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234-4785-B94B-8346DE0313FB}"/>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balance'!$A$64:$A$66</c:f>
              <c:strCache>
                <c:ptCount val="3"/>
                <c:pt idx="0">
                  <c:v>PASIVO CORRIENTE</c:v>
                </c:pt>
                <c:pt idx="1">
                  <c:v>PASIVO NO CORRIENTE</c:v>
                </c:pt>
                <c:pt idx="2">
                  <c:v>PATRIMONIO</c:v>
                </c:pt>
              </c:strCache>
            </c:strRef>
          </c:cat>
          <c:val>
            <c:numRef>
              <c:f>'Resumen balance'!$L$64:$L$66</c:f>
              <c:numCache>
                <c:formatCode>0%</c:formatCode>
                <c:ptCount val="3"/>
                <c:pt idx="0">
                  <c:v>0.43334376796800167</c:v>
                </c:pt>
                <c:pt idx="1">
                  <c:v>0.1894341848070987</c:v>
                </c:pt>
                <c:pt idx="2">
                  <c:v>0.37722204722489966</c:v>
                </c:pt>
              </c:numCache>
            </c:numRef>
          </c:val>
          <c:extLst>
            <c:ext xmlns:c16="http://schemas.microsoft.com/office/drawing/2014/chart" uri="{C3380CC4-5D6E-409C-BE32-E72D297353CC}">
              <c16:uniqueId val="{00000003-8234-4785-B94B-8346DE0313F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b="1" i="0" u="none" strike="noStrike" baseline="0">
              <a:solidFill>
                <a:srgbClr val="000000"/>
              </a:solidFill>
              <a:latin typeface="Calibri"/>
              <a:ea typeface="Calibri"/>
              <a:cs typeface="Calibri"/>
            </a:defRPr>
          </a:pPr>
          <a:endParaRPr lang="es-CO"/>
        </a:p>
      </c:txPr>
    </c:title>
    <c:autoTitleDeleted val="0"/>
    <c:view3D>
      <c:rotX val="30"/>
      <c:rotY val="0"/>
      <c:rAngAx val="0"/>
    </c:view3D>
    <c:floor>
      <c:thickness val="0"/>
    </c:floor>
    <c:sideWall>
      <c:thickness val="0"/>
    </c:sideWall>
    <c:backWall>
      <c:thickness val="0"/>
    </c:backWall>
    <c:plotArea>
      <c:layout/>
      <c:pie3DChart>
        <c:varyColors val="1"/>
        <c:ser>
          <c:idx val="0"/>
          <c:order val="0"/>
          <c:tx>
            <c:strRef>
              <c:f>'Resumen balance'!$J$63</c:f>
              <c:strCache>
                <c:ptCount val="1"/>
                <c:pt idx="0">
                  <c:v>2022</c:v>
                </c:pt>
              </c:strCache>
            </c:strRef>
          </c:tx>
          <c:dPt>
            <c:idx val="0"/>
            <c:bubble3D val="0"/>
            <c:extLst>
              <c:ext xmlns:c16="http://schemas.microsoft.com/office/drawing/2014/chart" uri="{C3380CC4-5D6E-409C-BE32-E72D297353CC}">
                <c16:uniqueId val="{00000000-98DC-4E1B-BA18-E06450E35057}"/>
              </c:ext>
            </c:extLst>
          </c:dPt>
          <c:dPt>
            <c:idx val="1"/>
            <c:bubble3D val="0"/>
            <c:extLst>
              <c:ext xmlns:c16="http://schemas.microsoft.com/office/drawing/2014/chart" uri="{C3380CC4-5D6E-409C-BE32-E72D297353CC}">
                <c16:uniqueId val="{00000001-98DC-4E1B-BA18-E06450E35057}"/>
              </c:ext>
            </c:extLst>
          </c:dPt>
          <c:dLbls>
            <c:dLbl>
              <c:idx val="0"/>
              <c:layout>
                <c:manualLayout>
                  <c:x val="-0.17998592729100354"/>
                  <c:y val="-0.267902072982121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8DC-4E1B-BA18-E06450E35057}"/>
                </c:ext>
              </c:extLst>
            </c:dLbl>
            <c:dLbl>
              <c:idx val="1"/>
              <c:layout>
                <c:manualLayout>
                  <c:x val="-5.7639135533590229E-2"/>
                  <c:y val="-3.68594146888127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8DC-4E1B-BA18-E06450E35057}"/>
                </c:ext>
              </c:extLst>
            </c:dLbl>
            <c:dLbl>
              <c:idx val="2"/>
              <c:layout>
                <c:manualLayout>
                  <c:x val="0.23467962249399668"/>
                  <c:y val="-0.1052610090405369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8DC-4E1B-BA18-E06450E35057}"/>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balance'!$A$67:$A$68</c:f>
              <c:strCache>
                <c:ptCount val="2"/>
                <c:pt idx="0">
                  <c:v>ACTIVO NO CORRIENTE</c:v>
                </c:pt>
                <c:pt idx="1">
                  <c:v>ACTIVO CORRIENTE</c:v>
                </c:pt>
              </c:strCache>
            </c:strRef>
          </c:cat>
          <c:val>
            <c:numRef>
              <c:f>'Resumen balance'!$J$67:$J$68</c:f>
              <c:numCache>
                <c:formatCode>0%</c:formatCode>
                <c:ptCount val="2"/>
                <c:pt idx="0">
                  <c:v>0.44585835099971571</c:v>
                </c:pt>
                <c:pt idx="1">
                  <c:v>0.36379405339207682</c:v>
                </c:pt>
              </c:numCache>
            </c:numRef>
          </c:val>
          <c:extLst>
            <c:ext xmlns:c16="http://schemas.microsoft.com/office/drawing/2014/chart" uri="{C3380CC4-5D6E-409C-BE32-E72D297353CC}">
              <c16:uniqueId val="{00000003-98DC-4E1B-BA18-E06450E35057}"/>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tx>
            <c:strRef>
              <c:f>'Resumen balance'!$J$63</c:f>
              <c:strCache>
                <c:ptCount val="1"/>
                <c:pt idx="0">
                  <c:v>2022</c:v>
                </c:pt>
              </c:strCache>
            </c:strRef>
          </c:tx>
          <c:dPt>
            <c:idx val="0"/>
            <c:bubble3D val="0"/>
            <c:extLst>
              <c:ext xmlns:c16="http://schemas.microsoft.com/office/drawing/2014/chart" uri="{C3380CC4-5D6E-409C-BE32-E72D297353CC}">
                <c16:uniqueId val="{00000000-DB98-4312-A0D6-3E4556A2D077}"/>
              </c:ext>
            </c:extLst>
          </c:dPt>
          <c:dPt>
            <c:idx val="1"/>
            <c:bubble3D val="0"/>
            <c:extLst>
              <c:ext xmlns:c16="http://schemas.microsoft.com/office/drawing/2014/chart" uri="{C3380CC4-5D6E-409C-BE32-E72D297353CC}">
                <c16:uniqueId val="{00000001-DB98-4312-A0D6-3E4556A2D077}"/>
              </c:ext>
            </c:extLst>
          </c:dPt>
          <c:dPt>
            <c:idx val="2"/>
            <c:bubble3D val="0"/>
            <c:extLst>
              <c:ext xmlns:c16="http://schemas.microsoft.com/office/drawing/2014/chart" uri="{C3380CC4-5D6E-409C-BE32-E72D297353CC}">
                <c16:uniqueId val="{00000002-DB98-4312-A0D6-3E4556A2D077}"/>
              </c:ext>
            </c:extLst>
          </c:dPt>
          <c:dLbls>
            <c:dLbl>
              <c:idx val="0"/>
              <c:layout>
                <c:manualLayout>
                  <c:x val="7.5333221645167037E-2"/>
                  <c:y val="-3.93305466446323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B98-4312-A0D6-3E4556A2D077}"/>
                </c:ext>
              </c:extLst>
            </c:dLbl>
            <c:dLbl>
              <c:idx val="1"/>
              <c:layout>
                <c:manualLayout>
                  <c:x val="1.6119729714636741E-2"/>
                  <c:y val="0.1079025307021810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B98-4312-A0D6-3E4556A2D077}"/>
                </c:ext>
              </c:extLst>
            </c:dLbl>
            <c:dLbl>
              <c:idx val="2"/>
              <c:layout>
                <c:manualLayout>
                  <c:x val="0.23467962249399668"/>
                  <c:y val="-0.1052610090405368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B98-4312-A0D6-3E4556A2D077}"/>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balance'!$A$64:$A$66</c:f>
              <c:strCache>
                <c:ptCount val="3"/>
                <c:pt idx="0">
                  <c:v>PASIVO CORRIENTE</c:v>
                </c:pt>
                <c:pt idx="1">
                  <c:v>PASIVO NO CORRIENTE</c:v>
                </c:pt>
                <c:pt idx="2">
                  <c:v>PATRIMONIO</c:v>
                </c:pt>
              </c:strCache>
            </c:strRef>
          </c:cat>
          <c:val>
            <c:numRef>
              <c:f>'Resumen balance'!$J$64:$J$66</c:f>
              <c:numCache>
                <c:formatCode>0%</c:formatCode>
                <c:ptCount val="3"/>
                <c:pt idx="0">
                  <c:v>0.43334376796800167</c:v>
                </c:pt>
                <c:pt idx="1">
                  <c:v>0.1894341848070987</c:v>
                </c:pt>
                <c:pt idx="2">
                  <c:v>0.37722204722489966</c:v>
                </c:pt>
              </c:numCache>
            </c:numRef>
          </c:val>
          <c:extLst>
            <c:ext xmlns:c16="http://schemas.microsoft.com/office/drawing/2014/chart" uri="{C3380CC4-5D6E-409C-BE32-E72D297353CC}">
              <c16:uniqueId val="{00000003-DB98-4312-A0D6-3E4556A2D077}"/>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'Resumen resultados'!$B$32</c:f>
              <c:strCache>
                <c:ptCount val="1"/>
                <c:pt idx="0">
                  <c:v>2018</c:v>
                </c:pt>
              </c:strCache>
            </c:strRef>
          </c:tx>
          <c:invertIfNegative val="0"/>
          <c:cat>
            <c:strRef>
              <c:f>'Resumen resultados'!$A$33:$A$35</c:f>
              <c:strCache>
                <c:ptCount val="3"/>
                <c:pt idx="0">
                  <c:v>TOTAL VENTAS</c:v>
                </c:pt>
                <c:pt idx="1">
                  <c:v>TOTAL COSTOS Y GASTOS</c:v>
                </c:pt>
                <c:pt idx="2">
                  <c:v>UTILIDAD OPERATIVA</c:v>
                </c:pt>
              </c:strCache>
            </c:strRef>
          </c:cat>
          <c:val>
            <c:numRef>
              <c:f>'Resumen resultados'!$B$33:$B$35</c:f>
              <c:numCache>
                <c:formatCode>#,##0</c:formatCode>
                <c:ptCount val="3"/>
                <c:pt idx="0">
                  <c:v>8985574090</c:v>
                </c:pt>
                <c:pt idx="1">
                  <c:v>8398682567.786665</c:v>
                </c:pt>
                <c:pt idx="2">
                  <c:v>942174148.19354105</c:v>
                </c:pt>
              </c:numCache>
            </c:numRef>
          </c:val>
          <c:extLst>
            <c:ext xmlns:c16="http://schemas.microsoft.com/office/drawing/2014/chart" uri="{C3380CC4-5D6E-409C-BE32-E72D297353CC}">
              <c16:uniqueId val="{00000000-358A-4E80-9A1E-2C8E32D7C741}"/>
            </c:ext>
          </c:extLst>
        </c:ser>
        <c:ser>
          <c:idx val="1"/>
          <c:order val="1"/>
          <c:tx>
            <c:strRef>
              <c:f>'Resumen resultados'!$D$32</c:f>
              <c:strCache>
                <c:ptCount val="1"/>
                <c:pt idx="0">
                  <c:v>2019</c:v>
                </c:pt>
              </c:strCache>
            </c:strRef>
          </c:tx>
          <c:invertIfNegative val="0"/>
          <c:cat>
            <c:strRef>
              <c:f>'Resumen resultados'!$A$33:$A$35</c:f>
              <c:strCache>
                <c:ptCount val="3"/>
                <c:pt idx="0">
                  <c:v>TOTAL VENTAS</c:v>
                </c:pt>
                <c:pt idx="1">
                  <c:v>TOTAL COSTOS Y GASTOS</c:v>
                </c:pt>
                <c:pt idx="2">
                  <c:v>UTILIDAD OPERATIVA</c:v>
                </c:pt>
              </c:strCache>
            </c:strRef>
          </c:cat>
          <c:val>
            <c:numRef>
              <c:f>'Resumen resultados'!$D$33:$D$35</c:f>
              <c:numCache>
                <c:formatCode>#,##0</c:formatCode>
                <c:ptCount val="3"/>
                <c:pt idx="0">
                  <c:v>12000698614</c:v>
                </c:pt>
                <c:pt idx="1">
                  <c:v>11278889689.000002</c:v>
                </c:pt>
                <c:pt idx="2">
                  <c:v>1143461459.0406418</c:v>
                </c:pt>
              </c:numCache>
            </c:numRef>
          </c:val>
          <c:extLst>
            <c:ext xmlns:c16="http://schemas.microsoft.com/office/drawing/2014/chart" uri="{C3380CC4-5D6E-409C-BE32-E72D297353CC}">
              <c16:uniqueId val="{00000001-358A-4E80-9A1E-2C8E32D7C741}"/>
            </c:ext>
          </c:extLst>
        </c:ser>
        <c:ser>
          <c:idx val="2"/>
          <c:order val="2"/>
          <c:tx>
            <c:strRef>
              <c:f>'Resumen resultados'!$F$32</c:f>
              <c:strCache>
                <c:ptCount val="1"/>
                <c:pt idx="0">
                  <c:v>2020</c:v>
                </c:pt>
              </c:strCache>
            </c:strRef>
          </c:tx>
          <c:invertIfNegative val="0"/>
          <c:cat>
            <c:strRef>
              <c:f>'Resumen resultados'!$A$33:$A$35</c:f>
              <c:strCache>
                <c:ptCount val="3"/>
                <c:pt idx="0">
                  <c:v>TOTAL VENTAS</c:v>
                </c:pt>
                <c:pt idx="1">
                  <c:v>TOTAL COSTOS Y GASTOS</c:v>
                </c:pt>
                <c:pt idx="2">
                  <c:v>UTILIDAD OPERATIVA</c:v>
                </c:pt>
              </c:strCache>
            </c:strRef>
          </c:cat>
          <c:val>
            <c:numRef>
              <c:f>'Resumen resultados'!$F$33:$F$35</c:f>
              <c:numCache>
                <c:formatCode>#,##0</c:formatCode>
                <c:ptCount val="3"/>
                <c:pt idx="0">
                  <c:v>19557454968</c:v>
                </c:pt>
                <c:pt idx="1">
                  <c:v>16948747360.999998</c:v>
                </c:pt>
                <c:pt idx="2">
                  <c:v>3546598517.8570542</c:v>
                </c:pt>
              </c:numCache>
            </c:numRef>
          </c:val>
          <c:extLst>
            <c:ext xmlns:c16="http://schemas.microsoft.com/office/drawing/2014/chart" uri="{C3380CC4-5D6E-409C-BE32-E72D297353CC}">
              <c16:uniqueId val="{00000002-358A-4E80-9A1E-2C8E32D7C741}"/>
            </c:ext>
          </c:extLst>
        </c:ser>
        <c:ser>
          <c:idx val="3"/>
          <c:order val="3"/>
          <c:tx>
            <c:strRef>
              <c:f>'Resumen resultados'!$H$32</c:f>
              <c:strCache>
                <c:ptCount val="1"/>
                <c:pt idx="0">
                  <c:v>2021</c:v>
                </c:pt>
              </c:strCache>
            </c:strRef>
          </c:tx>
          <c:invertIfNegative val="0"/>
          <c:cat>
            <c:strRef>
              <c:f>'Resumen resultados'!$A$33:$A$35</c:f>
              <c:strCache>
                <c:ptCount val="3"/>
                <c:pt idx="0">
                  <c:v>TOTAL VENTAS</c:v>
                </c:pt>
                <c:pt idx="1">
                  <c:v>TOTAL COSTOS Y GASTOS</c:v>
                </c:pt>
                <c:pt idx="2">
                  <c:v>UTILIDAD OPERATIVA</c:v>
                </c:pt>
              </c:strCache>
            </c:strRef>
          </c:cat>
          <c:val>
            <c:numRef>
              <c:f>'Resumen resultados'!$H$33:$H$35</c:f>
              <c:numCache>
                <c:formatCode>#,##0</c:formatCode>
                <c:ptCount val="3"/>
                <c:pt idx="0">
                  <c:v>23134865161</c:v>
                </c:pt>
                <c:pt idx="1">
                  <c:v>20928008938</c:v>
                </c:pt>
                <c:pt idx="2">
                  <c:v>2877761171.1699476</c:v>
                </c:pt>
              </c:numCache>
            </c:numRef>
          </c:val>
          <c:extLst>
            <c:ext xmlns:c16="http://schemas.microsoft.com/office/drawing/2014/chart" uri="{C3380CC4-5D6E-409C-BE32-E72D297353CC}">
              <c16:uniqueId val="{00000001-E417-4D93-A2FE-0250AAECB82E}"/>
            </c:ext>
          </c:extLst>
        </c:ser>
        <c:ser>
          <c:idx val="4"/>
          <c:order val="4"/>
          <c:tx>
            <c:strRef>
              <c:f>'Resumen resultados'!$J$32</c:f>
              <c:strCache>
                <c:ptCount val="1"/>
                <c:pt idx="0">
                  <c:v>2022</c:v>
                </c:pt>
              </c:strCache>
            </c:strRef>
          </c:tx>
          <c:invertIfNegative val="0"/>
          <c:cat>
            <c:strRef>
              <c:f>'Resumen resultados'!$A$33:$A$35</c:f>
              <c:strCache>
                <c:ptCount val="3"/>
                <c:pt idx="0">
                  <c:v>TOTAL VENTAS</c:v>
                </c:pt>
                <c:pt idx="1">
                  <c:v>TOTAL COSTOS Y GASTOS</c:v>
                </c:pt>
                <c:pt idx="2">
                  <c:v>UTILIDAD OPERATIVA</c:v>
                </c:pt>
              </c:strCache>
            </c:strRef>
          </c:cat>
          <c:val>
            <c:numRef>
              <c:f>'Resumen resultados'!$J$33:$J$35</c:f>
              <c:numCache>
                <c:formatCode>#,##0</c:formatCode>
                <c:ptCount val="3"/>
                <c:pt idx="0">
                  <c:v>29475179743</c:v>
                </c:pt>
                <c:pt idx="1">
                  <c:v>28209099423.269505</c:v>
                </c:pt>
                <c:pt idx="2">
                  <c:v>2503468334.6848335</c:v>
                </c:pt>
              </c:numCache>
            </c:numRef>
          </c:val>
          <c:extLst>
            <c:ext xmlns:c16="http://schemas.microsoft.com/office/drawing/2014/chart" uri="{C3380CC4-5D6E-409C-BE32-E72D297353CC}">
              <c16:uniqueId val="{00000001-CBF3-4801-BDF5-24677E884965}"/>
            </c:ext>
          </c:extLst>
        </c:ser>
        <c:ser>
          <c:idx val="5"/>
          <c:order val="5"/>
          <c:tx>
            <c:strRef>
              <c:f>'Resumen resultados'!$L$32</c:f>
              <c:strCache>
                <c:ptCount val="1"/>
                <c:pt idx="0">
                  <c:v>2023</c:v>
                </c:pt>
              </c:strCache>
            </c:strRef>
          </c:tx>
          <c:invertIfNegative val="0"/>
          <c:cat>
            <c:strRef>
              <c:f>'Resumen resultados'!$A$33:$A$35</c:f>
              <c:strCache>
                <c:ptCount val="3"/>
                <c:pt idx="0">
                  <c:v>TOTAL VENTAS</c:v>
                </c:pt>
                <c:pt idx="1">
                  <c:v>TOTAL COSTOS Y GASTOS</c:v>
                </c:pt>
                <c:pt idx="2">
                  <c:v>UTILIDAD OPERATIVA</c:v>
                </c:pt>
              </c:strCache>
            </c:strRef>
          </c:cat>
          <c:val>
            <c:numRef>
              <c:f>'Resumen resultados'!$L$33:$L$35</c:f>
              <c:numCache>
                <c:formatCode>#,##0</c:formatCode>
                <c:ptCount val="3"/>
                <c:pt idx="0">
                  <c:v>34957732940</c:v>
                </c:pt>
                <c:pt idx="1">
                  <c:v>33895688468.024796</c:v>
                </c:pt>
                <c:pt idx="2">
                  <c:v>2584653589.8712711</c:v>
                </c:pt>
              </c:numCache>
            </c:numRef>
          </c:val>
          <c:extLst>
            <c:ext xmlns:c16="http://schemas.microsoft.com/office/drawing/2014/chart" uri="{C3380CC4-5D6E-409C-BE32-E72D297353CC}">
              <c16:uniqueId val="{00000002-CBF3-4801-BDF5-24677E884965}"/>
            </c:ext>
          </c:extLst>
        </c:ser>
        <c:dLbls>
          <c:showLegendKey val="0"/>
          <c:showVal val="0"/>
          <c:showCatName val="0"/>
          <c:showSerName val="0"/>
          <c:showPercent val="0"/>
          <c:showBubbleSize val="0"/>
        </c:dLbls>
        <c:gapWidth val="150"/>
        <c:shape val="cylinder"/>
        <c:axId val="415945760"/>
        <c:axId val="415956096"/>
        <c:axId val="0"/>
      </c:bar3DChart>
      <c:catAx>
        <c:axId val="41594576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56096"/>
        <c:crosses val="autoZero"/>
        <c:auto val="1"/>
        <c:lblAlgn val="ctr"/>
        <c:lblOffset val="100"/>
        <c:noMultiLvlLbl val="0"/>
      </c:catAx>
      <c:valAx>
        <c:axId val="415956096"/>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45760"/>
        <c:crosses val="autoZero"/>
        <c:crossBetween val="between"/>
      </c:valAx>
      <c:spPr>
        <a:noFill/>
        <a:ln w="25400">
          <a:noFill/>
        </a:ln>
      </c:spPr>
    </c:plotArea>
    <c:legend>
      <c:legendPos val="r"/>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DETALLE DE LOS EGRESOS</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'Resumen resultados'!$B$52</c:f>
              <c:strCache>
                <c:ptCount val="1"/>
                <c:pt idx="0">
                  <c:v>2018</c:v>
                </c:pt>
              </c:strCache>
            </c:strRef>
          </c:tx>
          <c:invertIfNegative val="0"/>
          <c:cat>
            <c:strRef>
              <c:f>'Resumen resultados'!$A$53:$A$58</c:f>
              <c:strCache>
                <c:ptCount val="6"/>
                <c:pt idx="0">
                  <c:v>Costo de ventas</c:v>
                </c:pt>
                <c:pt idx="1">
                  <c:v>Gastos de administración</c:v>
                </c:pt>
                <c:pt idx="2">
                  <c:v>Gastos de ventas</c:v>
                </c:pt>
                <c:pt idx="3">
                  <c:v>Gastos financieros</c:v>
                </c:pt>
                <c:pt idx="4">
                  <c:v>Otros egresos no operativos</c:v>
                </c:pt>
                <c:pt idx="5">
                  <c:v>Provisión impuesto de renta</c:v>
                </c:pt>
              </c:strCache>
            </c:strRef>
          </c:cat>
          <c:val>
            <c:numRef>
              <c:f>'Resumen resultados'!$B$53:$B$58</c:f>
              <c:numCache>
                <c:formatCode>_-* #,##0\ _€_-;\-* #,##0\ _€_-;_-* "-"??\ _€_-;_-@_-</c:formatCode>
                <c:ptCount val="6"/>
                <c:pt idx="0">
                  <c:v>4499655119</c:v>
                </c:pt>
                <c:pt idx="1">
                  <c:v>988722886.32150304</c:v>
                </c:pt>
                <c:pt idx="2">
                  <c:v>2331647080.4849558</c:v>
                </c:pt>
                <c:pt idx="3">
                  <c:v>170429359.62826386</c:v>
                </c:pt>
                <c:pt idx="4">
                  <c:v>124808707.56527698</c:v>
                </c:pt>
                <c:pt idx="5">
                  <c:v>283419414.78666627</c:v>
                </c:pt>
              </c:numCache>
            </c:numRef>
          </c:val>
          <c:extLst>
            <c:ext xmlns:c16="http://schemas.microsoft.com/office/drawing/2014/chart" uri="{C3380CC4-5D6E-409C-BE32-E72D297353CC}">
              <c16:uniqueId val="{00000000-0B18-44B7-9379-A85EA06E68DA}"/>
            </c:ext>
          </c:extLst>
        </c:ser>
        <c:ser>
          <c:idx val="1"/>
          <c:order val="1"/>
          <c:tx>
            <c:strRef>
              <c:f>'Resumen resultados'!$C$52</c:f>
              <c:strCache>
                <c:ptCount val="1"/>
                <c:pt idx="0">
                  <c:v>2019</c:v>
                </c:pt>
              </c:strCache>
            </c:strRef>
          </c:tx>
          <c:invertIfNegative val="0"/>
          <c:cat>
            <c:strRef>
              <c:f>'Resumen resultados'!$A$53:$A$58</c:f>
              <c:strCache>
                <c:ptCount val="6"/>
                <c:pt idx="0">
                  <c:v>Costo de ventas</c:v>
                </c:pt>
                <c:pt idx="1">
                  <c:v>Gastos de administración</c:v>
                </c:pt>
                <c:pt idx="2">
                  <c:v>Gastos de ventas</c:v>
                </c:pt>
                <c:pt idx="3">
                  <c:v>Gastos financieros</c:v>
                </c:pt>
                <c:pt idx="4">
                  <c:v>Otros egresos no operativos</c:v>
                </c:pt>
                <c:pt idx="5">
                  <c:v>Provisión impuesto de renta</c:v>
                </c:pt>
              </c:strCache>
            </c:strRef>
          </c:cat>
          <c:val>
            <c:numRef>
              <c:f>'Resumen resultados'!$C$53:$C$58</c:f>
              <c:numCache>
                <c:formatCode>_-* #,##0\ _€_-;\-* #,##0\ _€_-;_-* "-"??\ _€_-;_-@_-</c:formatCode>
                <c:ptCount val="6"/>
                <c:pt idx="0">
                  <c:v>6551066239</c:v>
                </c:pt>
                <c:pt idx="1">
                  <c:v>1198087100.4407773</c:v>
                </c:pt>
                <c:pt idx="2">
                  <c:v>2832910792.5185809</c:v>
                </c:pt>
                <c:pt idx="3">
                  <c:v>207403497.59821624</c:v>
                </c:pt>
                <c:pt idx="4">
                  <c:v>146754059.44242641</c:v>
                </c:pt>
                <c:pt idx="5">
                  <c:v>342668000</c:v>
                </c:pt>
              </c:numCache>
            </c:numRef>
          </c:val>
          <c:extLst>
            <c:ext xmlns:c16="http://schemas.microsoft.com/office/drawing/2014/chart" uri="{C3380CC4-5D6E-409C-BE32-E72D297353CC}">
              <c16:uniqueId val="{00000001-0B18-44B7-9379-A85EA06E68DA}"/>
            </c:ext>
          </c:extLst>
        </c:ser>
        <c:ser>
          <c:idx val="3"/>
          <c:order val="2"/>
          <c:tx>
            <c:strRef>
              <c:f>'Resumen resultados'!$D$52</c:f>
              <c:strCache>
                <c:ptCount val="1"/>
                <c:pt idx="0">
                  <c:v>2020</c:v>
                </c:pt>
              </c:strCache>
            </c:strRef>
          </c:tx>
          <c:invertIfNegative val="0"/>
          <c:cat>
            <c:strRef>
              <c:f>'Resumen resultados'!$A$53:$A$58</c:f>
              <c:strCache>
                <c:ptCount val="6"/>
                <c:pt idx="0">
                  <c:v>Costo de ventas</c:v>
                </c:pt>
                <c:pt idx="1">
                  <c:v>Gastos de administración</c:v>
                </c:pt>
                <c:pt idx="2">
                  <c:v>Gastos de ventas</c:v>
                </c:pt>
                <c:pt idx="3">
                  <c:v>Gastos financieros</c:v>
                </c:pt>
                <c:pt idx="4">
                  <c:v>Otros egresos no operativos</c:v>
                </c:pt>
                <c:pt idx="5">
                  <c:v>Provisión impuesto de renta</c:v>
                </c:pt>
              </c:strCache>
            </c:strRef>
          </c:cat>
          <c:val>
            <c:numRef>
              <c:f>'Resumen resultados'!$D$53:$D$58</c:f>
              <c:numCache>
                <c:formatCode>_-* #,##0\ _€_-;\-* #,##0\ _€_-;_-* "-"??\ _€_-;_-@_-</c:formatCode>
                <c:ptCount val="6"/>
                <c:pt idx="0">
                  <c:v>10619635810</c:v>
                </c:pt>
                <c:pt idx="1">
                  <c:v>1502430504.2454386</c:v>
                </c:pt>
                <c:pt idx="2">
                  <c:v>3552539367.8975072</c:v>
                </c:pt>
                <c:pt idx="3">
                  <c:v>260089054.76414385</c:v>
                </c:pt>
                <c:pt idx="4">
                  <c:v>184033177.09291098</c:v>
                </c:pt>
                <c:pt idx="5">
                  <c:v>830019447</c:v>
                </c:pt>
              </c:numCache>
            </c:numRef>
          </c:val>
          <c:extLst>
            <c:ext xmlns:c16="http://schemas.microsoft.com/office/drawing/2014/chart" uri="{C3380CC4-5D6E-409C-BE32-E72D297353CC}">
              <c16:uniqueId val="{00000001-0694-4699-BAC9-27507E658F56}"/>
            </c:ext>
          </c:extLst>
        </c:ser>
        <c:ser>
          <c:idx val="2"/>
          <c:order val="3"/>
          <c:tx>
            <c:strRef>
              <c:f>'Resumen resultados'!$E$52</c:f>
              <c:strCache>
                <c:ptCount val="1"/>
                <c:pt idx="0">
                  <c:v>2021</c:v>
                </c:pt>
              </c:strCache>
            </c:strRef>
          </c:tx>
          <c:invertIfNegative val="0"/>
          <c:cat>
            <c:strRef>
              <c:f>'Resumen resultados'!$A$53:$A$58</c:f>
              <c:strCache>
                <c:ptCount val="6"/>
                <c:pt idx="0">
                  <c:v>Costo de ventas</c:v>
                </c:pt>
                <c:pt idx="1">
                  <c:v>Gastos de administración</c:v>
                </c:pt>
                <c:pt idx="2">
                  <c:v>Gastos de ventas</c:v>
                </c:pt>
                <c:pt idx="3">
                  <c:v>Gastos financieros</c:v>
                </c:pt>
                <c:pt idx="4">
                  <c:v>Otros egresos no operativos</c:v>
                </c:pt>
                <c:pt idx="5">
                  <c:v>Provisión impuesto de renta</c:v>
                </c:pt>
              </c:strCache>
            </c:strRef>
          </c:cat>
          <c:val>
            <c:numRef>
              <c:f>'Resumen resultados'!$E$53:$E$58</c:f>
              <c:numCache>
                <c:formatCode>_-* #,##0\ _€_-;\-* #,##0\ _€_-;_-* "-"??\ _€_-;_-@_-</c:formatCode>
                <c:ptCount val="6"/>
                <c:pt idx="0">
                  <c:v>13922233454</c:v>
                </c:pt>
                <c:pt idx="1">
                  <c:v>1744225070.5946362</c:v>
                </c:pt>
                <c:pt idx="2">
                  <c:v>4124269450.2354164</c:v>
                </c:pt>
                <c:pt idx="3">
                  <c:v>301946644.86975276</c:v>
                </c:pt>
                <c:pt idx="4">
                  <c:v>213650668.3001956</c:v>
                </c:pt>
                <c:pt idx="5">
                  <c:v>621683650</c:v>
                </c:pt>
              </c:numCache>
            </c:numRef>
          </c:val>
          <c:extLst>
            <c:ext xmlns:c16="http://schemas.microsoft.com/office/drawing/2014/chart" uri="{C3380CC4-5D6E-409C-BE32-E72D297353CC}">
              <c16:uniqueId val="{00000002-0B18-44B7-9379-A85EA06E68DA}"/>
            </c:ext>
          </c:extLst>
        </c:ser>
        <c:ser>
          <c:idx val="4"/>
          <c:order val="4"/>
          <c:tx>
            <c:strRef>
              <c:f>'Resumen resultados'!$F$52</c:f>
              <c:strCache>
                <c:ptCount val="1"/>
                <c:pt idx="0">
                  <c:v>2022</c:v>
                </c:pt>
              </c:strCache>
            </c:strRef>
          </c:tx>
          <c:invertIfNegative val="0"/>
          <c:cat>
            <c:strRef>
              <c:f>'Resumen resultados'!$A$53:$A$58</c:f>
              <c:strCache>
                <c:ptCount val="6"/>
                <c:pt idx="0">
                  <c:v>Costo de ventas</c:v>
                </c:pt>
                <c:pt idx="1">
                  <c:v>Gastos de administración</c:v>
                </c:pt>
                <c:pt idx="2">
                  <c:v>Gastos de ventas</c:v>
                </c:pt>
                <c:pt idx="3">
                  <c:v>Gastos financieros</c:v>
                </c:pt>
                <c:pt idx="4">
                  <c:v>Otros egresos no operativos</c:v>
                </c:pt>
                <c:pt idx="5">
                  <c:v>Provisión impuesto de renta</c:v>
                </c:pt>
              </c:strCache>
            </c:strRef>
          </c:cat>
          <c:val>
            <c:numRef>
              <c:f>'Resumen resultados'!$F$53:$F$58</c:f>
              <c:numCache>
                <c:formatCode>_-* #,##0\ _€_-;\-* #,##0\ _€_-;_-* "-"??\ _€_-;_-@_-</c:formatCode>
                <c:ptCount val="6"/>
                <c:pt idx="0">
                  <c:v>18723224652</c:v>
                </c:pt>
                <c:pt idx="1">
                  <c:v>2327490371.9545426</c:v>
                </c:pt>
                <c:pt idx="2">
                  <c:v>5503416731.3606243</c:v>
                </c:pt>
                <c:pt idx="3">
                  <c:v>402916986.24578196</c:v>
                </c:pt>
                <c:pt idx="4">
                  <c:v>285095015.43905175</c:v>
                </c:pt>
                <c:pt idx="5">
                  <c:v>966955666.26950216</c:v>
                </c:pt>
              </c:numCache>
            </c:numRef>
          </c:val>
          <c:extLst>
            <c:ext xmlns:c16="http://schemas.microsoft.com/office/drawing/2014/chart" uri="{C3380CC4-5D6E-409C-BE32-E72D297353CC}">
              <c16:uniqueId val="{00000001-EF4C-41BA-AA66-84C789232FD0}"/>
            </c:ext>
          </c:extLst>
        </c:ser>
        <c:ser>
          <c:idx val="5"/>
          <c:order val="5"/>
          <c:tx>
            <c:strRef>
              <c:f>'Resumen resultados'!$G$52</c:f>
              <c:strCache>
                <c:ptCount val="1"/>
                <c:pt idx="0">
                  <c:v>2023</c:v>
                </c:pt>
              </c:strCache>
            </c:strRef>
          </c:tx>
          <c:invertIfNegative val="0"/>
          <c:cat>
            <c:strRef>
              <c:f>'Resumen resultados'!$A$53:$A$58</c:f>
              <c:strCache>
                <c:ptCount val="6"/>
                <c:pt idx="0">
                  <c:v>Costo de ventas</c:v>
                </c:pt>
                <c:pt idx="1">
                  <c:v>Gastos de administración</c:v>
                </c:pt>
                <c:pt idx="2">
                  <c:v>Gastos de ventas</c:v>
                </c:pt>
                <c:pt idx="3">
                  <c:v>Gastos financieros</c:v>
                </c:pt>
                <c:pt idx="4">
                  <c:v>Otros egresos no operativos</c:v>
                </c:pt>
                <c:pt idx="5">
                  <c:v>Provisión impuesto de renta</c:v>
                </c:pt>
              </c:strCache>
            </c:strRef>
          </c:cat>
          <c:val>
            <c:numRef>
              <c:f>'Resumen resultados'!$G$53:$G$58</c:f>
              <c:numCache>
                <c:formatCode>_-* #,##0\ _€_-;\-* #,##0\ _€_-;_-* "-"??\ _€_-;_-@_-</c:formatCode>
                <c:ptCount val="6"/>
                <c:pt idx="0">
                  <c:v>23385605589</c:v>
                </c:pt>
                <c:pt idx="1">
                  <c:v>2557165389.3303685</c:v>
                </c:pt>
                <c:pt idx="2">
                  <c:v>6046489797.7983608</c:v>
                </c:pt>
                <c:pt idx="3">
                  <c:v>629826349.00000024</c:v>
                </c:pt>
                <c:pt idx="4">
                  <c:v>126078164.8712714</c:v>
                </c:pt>
                <c:pt idx="5">
                  <c:v>1150523178.0247908</c:v>
                </c:pt>
              </c:numCache>
            </c:numRef>
          </c:val>
          <c:extLst>
            <c:ext xmlns:c16="http://schemas.microsoft.com/office/drawing/2014/chart" uri="{C3380CC4-5D6E-409C-BE32-E72D297353CC}">
              <c16:uniqueId val="{00000002-EF4C-41BA-AA66-84C789232FD0}"/>
            </c:ext>
          </c:extLst>
        </c:ser>
        <c:dLbls>
          <c:showLegendKey val="0"/>
          <c:showVal val="0"/>
          <c:showCatName val="0"/>
          <c:showSerName val="0"/>
          <c:showPercent val="0"/>
          <c:showBubbleSize val="0"/>
        </c:dLbls>
        <c:gapWidth val="150"/>
        <c:shape val="cone"/>
        <c:axId val="415941952"/>
        <c:axId val="415943040"/>
        <c:axId val="0"/>
      </c:bar3DChart>
      <c:catAx>
        <c:axId val="41594195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43040"/>
        <c:crosses val="autoZero"/>
        <c:auto val="1"/>
        <c:lblAlgn val="ctr"/>
        <c:lblOffset val="100"/>
        <c:noMultiLvlLbl val="0"/>
      </c:catAx>
      <c:valAx>
        <c:axId val="415943040"/>
        <c:scaling>
          <c:orientation val="minMax"/>
        </c:scaling>
        <c:delete val="0"/>
        <c:axPos val="l"/>
        <c:majorGridlines/>
        <c:numFmt formatCode="_-* #,##0\ _€_-;\-* #,##0\ _€_-;_-* &quot;-&quot;??\ _€_-;_-@_-"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41952"/>
        <c:crosses val="autoZero"/>
        <c:crossBetween val="between"/>
      </c:valAx>
      <c:dTable>
        <c:showHorzBorder val="1"/>
        <c:showVertBorder val="1"/>
        <c:showOutline val="1"/>
        <c:showKeys val="1"/>
        <c:txPr>
          <a:bodyPr/>
          <a:lstStyle/>
          <a:p>
            <a:pPr rtl="0">
              <a:defRPr sz="1000" b="0" i="0" u="none" strike="noStrike" baseline="0">
                <a:solidFill>
                  <a:srgbClr val="000000"/>
                </a:solidFill>
                <a:latin typeface="Calibri"/>
                <a:ea typeface="Calibri"/>
                <a:cs typeface="Calibri"/>
              </a:defRPr>
            </a:pPr>
            <a:endParaRPr lang="es-CO"/>
          </a:p>
        </c:txPr>
      </c:dTable>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Actividad!$H$37</c:f>
              <c:strCache>
                <c:ptCount val="1"/>
                <c:pt idx="0">
                  <c:v>2018</c:v>
                </c:pt>
              </c:strCache>
            </c:strRef>
          </c:tx>
          <c:invertIfNegative val="0"/>
          <c:cat>
            <c:strRef>
              <c:f>Actividad!$E$38:$G$41</c:f>
              <c:strCache>
                <c:ptCount val="4"/>
                <c:pt idx="0">
                  <c:v>Días deudores</c:v>
                </c:pt>
                <c:pt idx="1">
                  <c:v>Días inventario</c:v>
                </c:pt>
                <c:pt idx="2">
                  <c:v>Días proveedores</c:v>
                </c:pt>
                <c:pt idx="3">
                  <c:v>Días Caja Operativa</c:v>
                </c:pt>
              </c:strCache>
            </c:strRef>
          </c:cat>
          <c:val>
            <c:numRef>
              <c:f>Actividad!$H$38:$H$41</c:f>
              <c:numCache>
                <c:formatCode>0</c:formatCode>
                <c:ptCount val="4"/>
                <c:pt idx="0">
                  <c:v>175.08437493148196</c:v>
                </c:pt>
                <c:pt idx="1">
                  <c:v>46.702795644858845</c:v>
                </c:pt>
                <c:pt idx="2">
                  <c:v>33.96675442928759</c:v>
                </c:pt>
                <c:pt idx="3">
                  <c:v>187.82041614705321</c:v>
                </c:pt>
              </c:numCache>
            </c:numRef>
          </c:val>
          <c:extLst>
            <c:ext xmlns:c16="http://schemas.microsoft.com/office/drawing/2014/chart" uri="{C3380CC4-5D6E-409C-BE32-E72D297353CC}">
              <c16:uniqueId val="{00000000-BA35-474E-84E3-C711491891FC}"/>
            </c:ext>
          </c:extLst>
        </c:ser>
        <c:ser>
          <c:idx val="1"/>
          <c:order val="1"/>
          <c:tx>
            <c:strRef>
              <c:f>Actividad!$I$37</c:f>
              <c:strCache>
                <c:ptCount val="1"/>
                <c:pt idx="0">
                  <c:v>2019</c:v>
                </c:pt>
              </c:strCache>
            </c:strRef>
          </c:tx>
          <c:invertIfNegative val="0"/>
          <c:cat>
            <c:strRef>
              <c:f>Actividad!$E$38:$G$41</c:f>
              <c:strCache>
                <c:ptCount val="4"/>
                <c:pt idx="0">
                  <c:v>Días deudores</c:v>
                </c:pt>
                <c:pt idx="1">
                  <c:v>Días inventario</c:v>
                </c:pt>
                <c:pt idx="2">
                  <c:v>Días proveedores</c:v>
                </c:pt>
                <c:pt idx="3">
                  <c:v>Días Caja Operativa</c:v>
                </c:pt>
              </c:strCache>
            </c:strRef>
          </c:cat>
          <c:val>
            <c:numRef>
              <c:f>Actividad!$I$38:$I$41</c:f>
              <c:numCache>
                <c:formatCode>0</c:formatCode>
                <c:ptCount val="4"/>
                <c:pt idx="0">
                  <c:v>128.11221379922702</c:v>
                </c:pt>
                <c:pt idx="1">
                  <c:v>42.441053514281222</c:v>
                </c:pt>
                <c:pt idx="2">
                  <c:v>19.337903402093232</c:v>
                </c:pt>
                <c:pt idx="3">
                  <c:v>151.21536391141501</c:v>
                </c:pt>
              </c:numCache>
            </c:numRef>
          </c:val>
          <c:extLst>
            <c:ext xmlns:c16="http://schemas.microsoft.com/office/drawing/2014/chart" uri="{C3380CC4-5D6E-409C-BE32-E72D297353CC}">
              <c16:uniqueId val="{00000001-BA35-474E-84E3-C711491891FC}"/>
            </c:ext>
          </c:extLst>
        </c:ser>
        <c:ser>
          <c:idx val="3"/>
          <c:order val="2"/>
          <c:tx>
            <c:strRef>
              <c:f>Actividad!$J$37</c:f>
              <c:strCache>
                <c:ptCount val="1"/>
                <c:pt idx="0">
                  <c:v>2020</c:v>
                </c:pt>
              </c:strCache>
            </c:strRef>
          </c:tx>
          <c:invertIfNegative val="0"/>
          <c:cat>
            <c:strRef>
              <c:f>Actividad!$E$38:$G$41</c:f>
              <c:strCache>
                <c:ptCount val="4"/>
                <c:pt idx="0">
                  <c:v>Días deudores</c:v>
                </c:pt>
                <c:pt idx="1">
                  <c:v>Días inventario</c:v>
                </c:pt>
                <c:pt idx="2">
                  <c:v>Días proveedores</c:v>
                </c:pt>
                <c:pt idx="3">
                  <c:v>Días Caja Operativa</c:v>
                </c:pt>
              </c:strCache>
            </c:strRef>
          </c:cat>
          <c:val>
            <c:numRef>
              <c:f>Actividad!$J$38:$J$41</c:f>
              <c:numCache>
                <c:formatCode>0</c:formatCode>
                <c:ptCount val="4"/>
                <c:pt idx="0">
                  <c:v>74.372822234259388</c:v>
                </c:pt>
                <c:pt idx="1">
                  <c:v>40.358694202009552</c:v>
                </c:pt>
                <c:pt idx="2">
                  <c:v>11.433204165255749</c:v>
                </c:pt>
                <c:pt idx="3">
                  <c:v>103.2983122710132</c:v>
                </c:pt>
              </c:numCache>
            </c:numRef>
          </c:val>
          <c:extLst>
            <c:ext xmlns:c16="http://schemas.microsoft.com/office/drawing/2014/chart" uri="{C3380CC4-5D6E-409C-BE32-E72D297353CC}">
              <c16:uniqueId val="{00000001-085E-4D32-9F97-1ADE9FF3DC2A}"/>
            </c:ext>
          </c:extLst>
        </c:ser>
        <c:ser>
          <c:idx val="2"/>
          <c:order val="3"/>
          <c:tx>
            <c:strRef>
              <c:f>Actividad!$K$37</c:f>
              <c:strCache>
                <c:ptCount val="1"/>
                <c:pt idx="0">
                  <c:v>2021</c:v>
                </c:pt>
              </c:strCache>
            </c:strRef>
          </c:tx>
          <c:invertIfNegative val="0"/>
          <c:cat>
            <c:strRef>
              <c:f>Actividad!$E$38:$G$41</c:f>
              <c:strCache>
                <c:ptCount val="4"/>
                <c:pt idx="0">
                  <c:v>Días deudores</c:v>
                </c:pt>
                <c:pt idx="1">
                  <c:v>Días inventario</c:v>
                </c:pt>
                <c:pt idx="2">
                  <c:v>Días proveedores</c:v>
                </c:pt>
                <c:pt idx="3">
                  <c:v>Días Caja Operativa</c:v>
                </c:pt>
              </c:strCache>
            </c:strRef>
          </c:cat>
          <c:val>
            <c:numRef>
              <c:f>Actividad!$K$38:$K$41</c:f>
              <c:numCache>
                <c:formatCode>0</c:formatCode>
                <c:ptCount val="4"/>
                <c:pt idx="0">
                  <c:v>74.376342014946573</c:v>
                </c:pt>
                <c:pt idx="1">
                  <c:v>33.344337940377137</c:v>
                </c:pt>
                <c:pt idx="2">
                  <c:v>12.559008501210798</c:v>
                </c:pt>
                <c:pt idx="3">
                  <c:v>95.161671454112906</c:v>
                </c:pt>
              </c:numCache>
            </c:numRef>
          </c:val>
          <c:extLst>
            <c:ext xmlns:c16="http://schemas.microsoft.com/office/drawing/2014/chart" uri="{C3380CC4-5D6E-409C-BE32-E72D297353CC}">
              <c16:uniqueId val="{00000002-BA35-474E-84E3-C711491891FC}"/>
            </c:ext>
          </c:extLst>
        </c:ser>
        <c:ser>
          <c:idx val="4"/>
          <c:order val="4"/>
          <c:tx>
            <c:strRef>
              <c:f>Actividad!$L$37</c:f>
              <c:strCache>
                <c:ptCount val="1"/>
                <c:pt idx="0">
                  <c:v>2022</c:v>
                </c:pt>
              </c:strCache>
            </c:strRef>
          </c:tx>
          <c:invertIfNegative val="0"/>
          <c:cat>
            <c:strRef>
              <c:f>Actividad!$E$38:$G$41</c:f>
              <c:strCache>
                <c:ptCount val="4"/>
                <c:pt idx="0">
                  <c:v>Días deudores</c:v>
                </c:pt>
                <c:pt idx="1">
                  <c:v>Días inventario</c:v>
                </c:pt>
                <c:pt idx="2">
                  <c:v>Días proveedores</c:v>
                </c:pt>
                <c:pt idx="3">
                  <c:v>Días Caja Operativa</c:v>
                </c:pt>
              </c:strCache>
            </c:strRef>
          </c:cat>
          <c:val>
            <c:numRef>
              <c:f>Actividad!$L$38:$L$41</c:f>
              <c:numCache>
                <c:formatCode>0</c:formatCode>
                <c:ptCount val="4"/>
                <c:pt idx="0">
                  <c:v>53.989484920328813</c:v>
                </c:pt>
                <c:pt idx="1">
                  <c:v>28.074990388680192</c:v>
                </c:pt>
                <c:pt idx="2">
                  <c:v>15.59605914461169</c:v>
                </c:pt>
                <c:pt idx="3">
                  <c:v>66.468416164397311</c:v>
                </c:pt>
              </c:numCache>
            </c:numRef>
          </c:val>
          <c:extLst>
            <c:ext xmlns:c16="http://schemas.microsoft.com/office/drawing/2014/chart" uri="{C3380CC4-5D6E-409C-BE32-E72D297353CC}">
              <c16:uniqueId val="{00000001-4283-4911-9C8A-8C7C541B86C9}"/>
            </c:ext>
          </c:extLst>
        </c:ser>
        <c:ser>
          <c:idx val="5"/>
          <c:order val="5"/>
          <c:tx>
            <c:strRef>
              <c:f>Actividad!$M$37</c:f>
              <c:strCache>
                <c:ptCount val="1"/>
                <c:pt idx="0">
                  <c:v>2023</c:v>
                </c:pt>
              </c:strCache>
            </c:strRef>
          </c:tx>
          <c:invertIfNegative val="0"/>
          <c:cat>
            <c:strRef>
              <c:f>Actividad!$E$38:$G$41</c:f>
              <c:strCache>
                <c:ptCount val="4"/>
                <c:pt idx="0">
                  <c:v>Días deudores</c:v>
                </c:pt>
                <c:pt idx="1">
                  <c:v>Días inventario</c:v>
                </c:pt>
                <c:pt idx="2">
                  <c:v>Días proveedores</c:v>
                </c:pt>
                <c:pt idx="3">
                  <c:v>Días Caja Operativa</c:v>
                </c:pt>
              </c:strCache>
            </c:strRef>
          </c:cat>
          <c:val>
            <c:numRef>
              <c:f>Actividad!$M$38:$M$41</c:f>
              <c:numCache>
                <c:formatCode>0</c:formatCode>
                <c:ptCount val="4"/>
                <c:pt idx="0">
                  <c:v>65.228889822070087</c:v>
                </c:pt>
                <c:pt idx="1">
                  <c:v>29.237537586437913</c:v>
                </c:pt>
                <c:pt idx="2">
                  <c:v>23.218711967181971</c:v>
                </c:pt>
                <c:pt idx="3">
                  <c:v>71.247715441326022</c:v>
                </c:pt>
              </c:numCache>
            </c:numRef>
          </c:val>
          <c:extLst>
            <c:ext xmlns:c16="http://schemas.microsoft.com/office/drawing/2014/chart" uri="{C3380CC4-5D6E-409C-BE32-E72D297353CC}">
              <c16:uniqueId val="{00000002-4283-4911-9C8A-8C7C541B86C9}"/>
            </c:ext>
          </c:extLst>
        </c:ser>
        <c:dLbls>
          <c:showLegendKey val="0"/>
          <c:showVal val="0"/>
          <c:showCatName val="0"/>
          <c:showSerName val="0"/>
          <c:showPercent val="0"/>
          <c:showBubbleSize val="0"/>
        </c:dLbls>
        <c:gapWidth val="150"/>
        <c:shape val="cylinder"/>
        <c:axId val="413750848"/>
        <c:axId val="413747040"/>
        <c:axId val="0"/>
      </c:bar3DChart>
      <c:catAx>
        <c:axId val="4137508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47040"/>
        <c:crosses val="autoZero"/>
        <c:auto val="1"/>
        <c:lblAlgn val="ctr"/>
        <c:lblOffset val="100"/>
        <c:noMultiLvlLbl val="0"/>
      </c:catAx>
      <c:valAx>
        <c:axId val="413747040"/>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50848"/>
        <c:crosses val="autoZero"/>
        <c:crossBetween val="between"/>
      </c:valAx>
      <c:spPr>
        <a:noFill/>
        <a:ln w="25400">
          <a:noFill/>
        </a:ln>
      </c:spPr>
    </c:plotArea>
    <c:legend>
      <c:legendPos val="r"/>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89" l="0.70000000000000062" r="0.70000000000000062" t="0.75000000000000089"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Endeudamiento!$E$26</c:f>
              <c:strCache>
                <c:ptCount val="1"/>
                <c:pt idx="0">
                  <c:v>2018</c:v>
                </c:pt>
              </c:strCache>
            </c:strRef>
          </c:tx>
          <c:invertIfNegative val="0"/>
          <c:cat>
            <c:strRef>
              <c:f>Endeudamiento!$D$27:$D$30</c:f>
              <c:strCache>
                <c:ptCount val="4"/>
                <c:pt idx="0">
                  <c:v>Deuda total</c:v>
                </c:pt>
                <c:pt idx="1">
                  <c:v>Deuda corto plazo</c:v>
                </c:pt>
                <c:pt idx="2">
                  <c:v>Estructura corriente</c:v>
                </c:pt>
                <c:pt idx="3">
                  <c:v>Estructura de capital</c:v>
                </c:pt>
              </c:strCache>
            </c:strRef>
          </c:cat>
          <c:val>
            <c:numRef>
              <c:f>Endeudamiento!$E$27:$E$30</c:f>
              <c:numCache>
                <c:formatCode>0%</c:formatCode>
                <c:ptCount val="4"/>
                <c:pt idx="0">
                  <c:v>0.48692690864982002</c:v>
                </c:pt>
                <c:pt idx="1">
                  <c:v>0.65332991649421979</c:v>
                </c:pt>
                <c:pt idx="2">
                  <c:v>0.31812391656697547</c:v>
                </c:pt>
                <c:pt idx="3">
                  <c:v>0.68187608343302453</c:v>
                </c:pt>
              </c:numCache>
            </c:numRef>
          </c:val>
          <c:extLst>
            <c:ext xmlns:c16="http://schemas.microsoft.com/office/drawing/2014/chart" uri="{C3380CC4-5D6E-409C-BE32-E72D297353CC}">
              <c16:uniqueId val="{00000000-9984-444E-9BFC-BFCF956031B7}"/>
            </c:ext>
          </c:extLst>
        </c:ser>
        <c:ser>
          <c:idx val="1"/>
          <c:order val="1"/>
          <c:tx>
            <c:strRef>
              <c:f>Endeudamiento!$F$26</c:f>
              <c:strCache>
                <c:ptCount val="1"/>
                <c:pt idx="0">
                  <c:v>2019</c:v>
                </c:pt>
              </c:strCache>
            </c:strRef>
          </c:tx>
          <c:invertIfNegative val="0"/>
          <c:cat>
            <c:strRef>
              <c:f>Endeudamiento!$D$27:$D$30</c:f>
              <c:strCache>
                <c:ptCount val="4"/>
                <c:pt idx="0">
                  <c:v>Deuda total</c:v>
                </c:pt>
                <c:pt idx="1">
                  <c:v>Deuda corto plazo</c:v>
                </c:pt>
                <c:pt idx="2">
                  <c:v>Estructura corriente</c:v>
                </c:pt>
                <c:pt idx="3">
                  <c:v>Estructura de capital</c:v>
                </c:pt>
              </c:strCache>
            </c:strRef>
          </c:cat>
          <c:val>
            <c:numRef>
              <c:f>Endeudamiento!$F$27:$F$30</c:f>
              <c:numCache>
                <c:formatCode>0%</c:formatCode>
                <c:ptCount val="4"/>
                <c:pt idx="0">
                  <c:v>0.53485463393607946</c:v>
                </c:pt>
                <c:pt idx="1">
                  <c:v>0.54260770485682486</c:v>
                </c:pt>
                <c:pt idx="2">
                  <c:v>0.29021624535209328</c:v>
                </c:pt>
                <c:pt idx="3">
                  <c:v>0.70978375464790666</c:v>
                </c:pt>
              </c:numCache>
            </c:numRef>
          </c:val>
          <c:extLst>
            <c:ext xmlns:c16="http://schemas.microsoft.com/office/drawing/2014/chart" uri="{C3380CC4-5D6E-409C-BE32-E72D297353CC}">
              <c16:uniqueId val="{00000001-9984-444E-9BFC-BFCF956031B7}"/>
            </c:ext>
          </c:extLst>
        </c:ser>
        <c:ser>
          <c:idx val="3"/>
          <c:order val="2"/>
          <c:tx>
            <c:strRef>
              <c:f>Endeudamiento!$G$26</c:f>
              <c:strCache>
                <c:ptCount val="1"/>
                <c:pt idx="0">
                  <c:v>2020</c:v>
                </c:pt>
              </c:strCache>
            </c:strRef>
          </c:tx>
          <c:invertIfNegative val="0"/>
          <c:cat>
            <c:strRef>
              <c:f>Endeudamiento!$D$27:$D$30</c:f>
              <c:strCache>
                <c:ptCount val="4"/>
                <c:pt idx="0">
                  <c:v>Deuda total</c:v>
                </c:pt>
                <c:pt idx="1">
                  <c:v>Deuda corto plazo</c:v>
                </c:pt>
                <c:pt idx="2">
                  <c:v>Estructura corriente</c:v>
                </c:pt>
                <c:pt idx="3">
                  <c:v>Estructura de capital</c:v>
                </c:pt>
              </c:strCache>
            </c:strRef>
          </c:cat>
          <c:val>
            <c:numRef>
              <c:f>Endeudamiento!$G$27:$G$30</c:f>
              <c:numCache>
                <c:formatCode>0%</c:formatCode>
                <c:ptCount val="4"/>
                <c:pt idx="0">
                  <c:v>0.44878879875956684</c:v>
                </c:pt>
                <c:pt idx="1">
                  <c:v>0.62737396274628665</c:v>
                </c:pt>
                <c:pt idx="2">
                  <c:v>0.28155840711393526</c:v>
                </c:pt>
                <c:pt idx="3">
                  <c:v>0.71844159288606468</c:v>
                </c:pt>
              </c:numCache>
            </c:numRef>
          </c:val>
          <c:extLst>
            <c:ext xmlns:c16="http://schemas.microsoft.com/office/drawing/2014/chart" uri="{C3380CC4-5D6E-409C-BE32-E72D297353CC}">
              <c16:uniqueId val="{00000001-372B-4666-9CEE-65A23E55E840}"/>
            </c:ext>
          </c:extLst>
        </c:ser>
        <c:ser>
          <c:idx val="2"/>
          <c:order val="3"/>
          <c:tx>
            <c:strRef>
              <c:f>Endeudamiento!$H$26</c:f>
              <c:strCache>
                <c:ptCount val="1"/>
                <c:pt idx="0">
                  <c:v>2021</c:v>
                </c:pt>
              </c:strCache>
            </c:strRef>
          </c:tx>
          <c:invertIfNegative val="0"/>
          <c:cat>
            <c:strRef>
              <c:f>Endeudamiento!$D$27:$D$30</c:f>
              <c:strCache>
                <c:ptCount val="4"/>
                <c:pt idx="0">
                  <c:v>Deuda total</c:v>
                </c:pt>
                <c:pt idx="1">
                  <c:v>Deuda corto plazo</c:v>
                </c:pt>
                <c:pt idx="2">
                  <c:v>Estructura corriente</c:v>
                </c:pt>
                <c:pt idx="3">
                  <c:v>Estructura de capital</c:v>
                </c:pt>
              </c:strCache>
            </c:strRef>
          </c:cat>
          <c:val>
            <c:numRef>
              <c:f>Endeudamiento!$H$27:$H$30</c:f>
              <c:numCache>
                <c:formatCode>0%</c:formatCode>
                <c:ptCount val="4"/>
                <c:pt idx="0">
                  <c:v>0.54148218962854866</c:v>
                </c:pt>
                <c:pt idx="1">
                  <c:v>0.6490390156087148</c:v>
                </c:pt>
                <c:pt idx="2">
                  <c:v>0.3514430673261647</c:v>
                </c:pt>
                <c:pt idx="3">
                  <c:v>0.64855693267383518</c:v>
                </c:pt>
              </c:numCache>
            </c:numRef>
          </c:val>
          <c:extLst>
            <c:ext xmlns:c16="http://schemas.microsoft.com/office/drawing/2014/chart" uri="{C3380CC4-5D6E-409C-BE32-E72D297353CC}">
              <c16:uniqueId val="{00000001-F6DA-4F05-A766-A0560FCFACFA}"/>
            </c:ext>
          </c:extLst>
        </c:ser>
        <c:ser>
          <c:idx val="4"/>
          <c:order val="4"/>
          <c:tx>
            <c:strRef>
              <c:f>Endeudamiento!$I$26</c:f>
              <c:strCache>
                <c:ptCount val="1"/>
                <c:pt idx="0">
                  <c:v>2022</c:v>
                </c:pt>
              </c:strCache>
            </c:strRef>
          </c:tx>
          <c:invertIfNegative val="0"/>
          <c:cat>
            <c:strRef>
              <c:f>Endeudamiento!$D$27:$D$30</c:f>
              <c:strCache>
                <c:ptCount val="4"/>
                <c:pt idx="0">
                  <c:v>Deuda total</c:v>
                </c:pt>
                <c:pt idx="1">
                  <c:v>Deuda corto plazo</c:v>
                </c:pt>
                <c:pt idx="2">
                  <c:v>Estructura corriente</c:v>
                </c:pt>
                <c:pt idx="3">
                  <c:v>Estructura de capital</c:v>
                </c:pt>
              </c:strCache>
            </c:strRef>
          </c:cat>
          <c:val>
            <c:numRef>
              <c:f>Endeudamiento!$I$27:$I$30</c:f>
              <c:numCache>
                <c:formatCode>0%</c:formatCode>
                <c:ptCount val="4"/>
                <c:pt idx="0">
                  <c:v>0.55383692518470418</c:v>
                </c:pt>
                <c:pt idx="1">
                  <c:v>0.63836928650087355</c:v>
                </c:pt>
                <c:pt idx="2">
                  <c:v>0.35355248276799728</c:v>
                </c:pt>
                <c:pt idx="3">
                  <c:v>0.64644751723200267</c:v>
                </c:pt>
              </c:numCache>
            </c:numRef>
          </c:val>
          <c:extLst>
            <c:ext xmlns:c16="http://schemas.microsoft.com/office/drawing/2014/chart" uri="{C3380CC4-5D6E-409C-BE32-E72D297353CC}">
              <c16:uniqueId val="{00000002-F6DA-4F05-A766-A0560FCFACFA}"/>
            </c:ext>
          </c:extLst>
        </c:ser>
        <c:ser>
          <c:idx val="5"/>
          <c:order val="5"/>
          <c:tx>
            <c:strRef>
              <c:f>Endeudamiento!$J$26</c:f>
              <c:strCache>
                <c:ptCount val="1"/>
                <c:pt idx="0">
                  <c:v>2023</c:v>
                </c:pt>
              </c:strCache>
            </c:strRef>
          </c:tx>
          <c:invertIfNegative val="0"/>
          <c:cat>
            <c:strRef>
              <c:f>Endeudamiento!$D$27:$D$30</c:f>
              <c:strCache>
                <c:ptCount val="4"/>
                <c:pt idx="0">
                  <c:v>Deuda total</c:v>
                </c:pt>
                <c:pt idx="1">
                  <c:v>Deuda corto plazo</c:v>
                </c:pt>
                <c:pt idx="2">
                  <c:v>Estructura corriente</c:v>
                </c:pt>
                <c:pt idx="3">
                  <c:v>Estructura de capital</c:v>
                </c:pt>
              </c:strCache>
            </c:strRef>
          </c:cat>
          <c:val>
            <c:numRef>
              <c:f>Endeudamiento!$J$27:$J$30</c:f>
              <c:numCache>
                <c:formatCode>0%</c:formatCode>
                <c:ptCount val="4"/>
                <c:pt idx="0">
                  <c:v>0.62277795277510029</c:v>
                </c:pt>
                <c:pt idx="1">
                  <c:v>0.6958238743632793</c:v>
                </c:pt>
                <c:pt idx="2">
                  <c:v>0.43334376796800161</c:v>
                </c:pt>
                <c:pt idx="3">
                  <c:v>0.56665623203199822</c:v>
                </c:pt>
              </c:numCache>
            </c:numRef>
          </c:val>
          <c:extLst>
            <c:ext xmlns:c16="http://schemas.microsoft.com/office/drawing/2014/chart" uri="{C3380CC4-5D6E-409C-BE32-E72D297353CC}">
              <c16:uniqueId val="{00000003-F6DA-4F05-A766-A0560FCFACFA}"/>
            </c:ext>
          </c:extLst>
        </c:ser>
        <c:ser>
          <c:idx val="6"/>
          <c:order val="6"/>
          <c:tx>
            <c:strRef>
              <c:f>Endeudamiento!$K$26</c:f>
              <c:strCache>
                <c:ptCount val="1"/>
                <c:pt idx="0">
                  <c:v>REFERENTE</c:v>
                </c:pt>
              </c:strCache>
            </c:strRef>
          </c:tx>
          <c:invertIfNegative val="0"/>
          <c:cat>
            <c:strRef>
              <c:f>Endeudamiento!$D$27:$D$30</c:f>
              <c:strCache>
                <c:ptCount val="4"/>
                <c:pt idx="0">
                  <c:v>Deuda total</c:v>
                </c:pt>
                <c:pt idx="1">
                  <c:v>Deuda corto plazo</c:v>
                </c:pt>
                <c:pt idx="2">
                  <c:v>Estructura corriente</c:v>
                </c:pt>
                <c:pt idx="3">
                  <c:v>Estructura de capital</c:v>
                </c:pt>
              </c:strCache>
            </c:strRef>
          </c:cat>
          <c:val>
            <c:numRef>
              <c:f>Endeudamiento!$K$27:$K$30</c:f>
              <c:numCache>
                <c:formatCode>0%</c:formatCode>
                <c:ptCount val="4"/>
                <c:pt idx="0">
                  <c:v>0.58924583709748679</c:v>
                </c:pt>
                <c:pt idx="1">
                  <c:v>0.40058842103161107</c:v>
                </c:pt>
                <c:pt idx="2">
                  <c:v>0.23604505948233215</c:v>
                </c:pt>
                <c:pt idx="3">
                  <c:v>0.76395494051766766</c:v>
                </c:pt>
              </c:numCache>
            </c:numRef>
          </c:val>
          <c:extLst>
            <c:ext xmlns:c16="http://schemas.microsoft.com/office/drawing/2014/chart" uri="{C3380CC4-5D6E-409C-BE32-E72D297353CC}">
              <c16:uniqueId val="{00000004-F6DA-4F05-A766-A0560FCFACFA}"/>
            </c:ext>
          </c:extLst>
        </c:ser>
        <c:dLbls>
          <c:showLegendKey val="0"/>
          <c:showVal val="0"/>
          <c:showCatName val="0"/>
          <c:showSerName val="0"/>
          <c:showPercent val="0"/>
          <c:showBubbleSize val="0"/>
        </c:dLbls>
        <c:gapWidth val="150"/>
        <c:shape val="cylinder"/>
        <c:axId val="413743776"/>
        <c:axId val="413749216"/>
        <c:axId val="0"/>
      </c:bar3DChart>
      <c:catAx>
        <c:axId val="4137437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49216"/>
        <c:crosses val="autoZero"/>
        <c:auto val="1"/>
        <c:lblAlgn val="ctr"/>
        <c:lblOffset val="100"/>
        <c:noMultiLvlLbl val="0"/>
      </c:catAx>
      <c:valAx>
        <c:axId val="413749216"/>
        <c:scaling>
          <c:orientation val="minMax"/>
        </c:scaling>
        <c:delete val="0"/>
        <c:axPos val="l"/>
        <c:majorGridlines/>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43776"/>
        <c:crosses val="autoZero"/>
        <c:crossBetween val="between"/>
      </c:valAx>
      <c:dTable>
        <c:showHorzBorder val="1"/>
        <c:showVertBorder val="1"/>
        <c:showOutline val="1"/>
        <c:showKeys val="1"/>
        <c:txPr>
          <a:bodyPr/>
          <a:lstStyle/>
          <a:p>
            <a:pPr rtl="0">
              <a:defRPr sz="1000" b="0" i="0" u="none" strike="noStrike" baseline="0">
                <a:solidFill>
                  <a:srgbClr val="000000"/>
                </a:solidFill>
                <a:latin typeface="Calibri"/>
                <a:ea typeface="Calibri"/>
                <a:cs typeface="Calibri"/>
              </a:defRPr>
            </a:pPr>
            <a:endParaRPr lang="es-CO"/>
          </a:p>
        </c:txPr>
      </c:dTable>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tx>
            <c:strRef>
              <c:f>'Resumen balance'!$B$63</c:f>
              <c:strCache>
                <c:ptCount val="1"/>
                <c:pt idx="0">
                  <c:v>2018</c:v>
                </c:pt>
              </c:strCache>
            </c:strRef>
          </c:tx>
          <c:dPt>
            <c:idx val="0"/>
            <c:bubble3D val="0"/>
            <c:extLst>
              <c:ext xmlns:c16="http://schemas.microsoft.com/office/drawing/2014/chart" uri="{C3380CC4-5D6E-409C-BE32-E72D297353CC}">
                <c16:uniqueId val="{00000000-AE92-4C04-BAF6-278ECCEE3B74}"/>
              </c:ext>
            </c:extLst>
          </c:dPt>
          <c:dPt>
            <c:idx val="1"/>
            <c:bubble3D val="0"/>
            <c:extLst>
              <c:ext xmlns:c16="http://schemas.microsoft.com/office/drawing/2014/chart" uri="{C3380CC4-5D6E-409C-BE32-E72D297353CC}">
                <c16:uniqueId val="{00000001-AE92-4C04-BAF6-278ECCEE3B74}"/>
              </c:ext>
            </c:extLst>
          </c:dPt>
          <c:dPt>
            <c:idx val="2"/>
            <c:bubble3D val="0"/>
            <c:extLst>
              <c:ext xmlns:c16="http://schemas.microsoft.com/office/drawing/2014/chart" uri="{C3380CC4-5D6E-409C-BE32-E72D297353CC}">
                <c16:uniqueId val="{00000002-AE92-4C04-BAF6-278ECCEE3B74}"/>
              </c:ext>
            </c:extLst>
          </c:dPt>
          <c:dLbls>
            <c:dLbl>
              <c:idx val="0"/>
              <c:layout>
                <c:manualLayout>
                  <c:x val="7.5333221645166995E-2"/>
                  <c:y val="-3.93305466446323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E92-4C04-BAF6-278ECCEE3B74}"/>
                </c:ext>
              </c:extLst>
            </c:dLbl>
            <c:dLbl>
              <c:idx val="1"/>
              <c:layout>
                <c:manualLayout>
                  <c:x val="1.6119729714636741E-2"/>
                  <c:y val="0.10790253070218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E92-4C04-BAF6-278ECCEE3B74}"/>
                </c:ext>
              </c:extLst>
            </c:dLbl>
            <c:dLbl>
              <c:idx val="2"/>
              <c:layout>
                <c:manualLayout>
                  <c:x val="0.23467962249399668"/>
                  <c:y val="-0.105261009040536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E92-4C04-BAF6-278ECCEE3B74}"/>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balance'!$A$64:$A$66</c:f>
              <c:strCache>
                <c:ptCount val="3"/>
                <c:pt idx="0">
                  <c:v>PASIVO CORRIENTE</c:v>
                </c:pt>
                <c:pt idx="1">
                  <c:v>PASIVO NO CORRIENTE</c:v>
                </c:pt>
                <c:pt idx="2">
                  <c:v>PATRIMONIO</c:v>
                </c:pt>
              </c:strCache>
            </c:strRef>
          </c:cat>
          <c:val>
            <c:numRef>
              <c:f>'Resumen balance'!$B$64:$B$66</c:f>
              <c:numCache>
                <c:formatCode>0%</c:formatCode>
                <c:ptCount val="3"/>
                <c:pt idx="0">
                  <c:v>0.31812391656697547</c:v>
                </c:pt>
                <c:pt idx="1">
                  <c:v>0.16880299208284455</c:v>
                </c:pt>
                <c:pt idx="2">
                  <c:v>0.51307309135017998</c:v>
                </c:pt>
              </c:numCache>
            </c:numRef>
          </c:val>
          <c:extLst>
            <c:ext xmlns:c16="http://schemas.microsoft.com/office/drawing/2014/chart" uri="{C3380CC4-5D6E-409C-BE32-E72D297353CC}">
              <c16:uniqueId val="{00000003-AE92-4C04-BAF6-278ECCEE3B74}"/>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55" l="0.70000000000000062" r="0.70000000000000062" t="0.7500000000000015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Rentabilidad!$E$40</c:f>
              <c:strCache>
                <c:ptCount val="1"/>
                <c:pt idx="0">
                  <c:v>2018</c:v>
                </c:pt>
              </c:strCache>
            </c:strRef>
          </c:tx>
          <c:invertIfNegative val="0"/>
          <c:cat>
            <c:strRef>
              <c:f>Rentabilidad!$D$41:$D$43</c:f>
              <c:strCache>
                <c:ptCount val="3"/>
                <c:pt idx="0">
                  <c:v>Margen operativo</c:v>
                </c:pt>
                <c:pt idx="1">
                  <c:v>Margen neto</c:v>
                </c:pt>
                <c:pt idx="2">
                  <c:v>Margen Ebitda</c:v>
                </c:pt>
              </c:strCache>
            </c:strRef>
          </c:cat>
          <c:val>
            <c:numRef>
              <c:f>Rentabilidad!$E$41:$E$43</c:f>
              <c:numCache>
                <c:formatCode>0%</c:formatCode>
                <c:ptCount val="3"/>
                <c:pt idx="0">
                  <c:v>0.10752713137788725</c:v>
                </c:pt>
                <c:pt idx="1">
                  <c:v>6.6979933523540092E-2</c:v>
                </c:pt>
                <c:pt idx="2">
                  <c:v>0.13351335640190501</c:v>
                </c:pt>
              </c:numCache>
            </c:numRef>
          </c:val>
          <c:extLst>
            <c:ext xmlns:c16="http://schemas.microsoft.com/office/drawing/2014/chart" uri="{C3380CC4-5D6E-409C-BE32-E72D297353CC}">
              <c16:uniqueId val="{00000000-2A6A-4F83-89A5-910723D9FA3D}"/>
            </c:ext>
          </c:extLst>
        </c:ser>
        <c:ser>
          <c:idx val="1"/>
          <c:order val="1"/>
          <c:tx>
            <c:strRef>
              <c:f>Rentabilidad!$F$40</c:f>
              <c:strCache>
                <c:ptCount val="1"/>
                <c:pt idx="0">
                  <c:v>2019</c:v>
                </c:pt>
              </c:strCache>
            </c:strRef>
          </c:tx>
          <c:invertIfNegative val="0"/>
          <c:cat>
            <c:strRef>
              <c:f>Rentabilidad!$D$41:$D$43</c:f>
              <c:strCache>
                <c:ptCount val="3"/>
                <c:pt idx="0">
                  <c:v>Margen operativo</c:v>
                </c:pt>
                <c:pt idx="1">
                  <c:v>Margen neto</c:v>
                </c:pt>
                <c:pt idx="2">
                  <c:v>Margen Ebitda</c:v>
                </c:pt>
              </c:strCache>
            </c:strRef>
          </c:cat>
          <c:val>
            <c:numRef>
              <c:f>Rentabilidad!$F$41:$F$43</c:f>
              <c:numCache>
                <c:formatCode>0%</c:formatCode>
                <c:ptCount val="3"/>
                <c:pt idx="0">
                  <c:v>9.7518993939027576E-2</c:v>
                </c:pt>
                <c:pt idx="1">
                  <c:v>6.1558769318965791E-2</c:v>
                </c:pt>
                <c:pt idx="2">
                  <c:v>0.11820433807286906</c:v>
                </c:pt>
              </c:numCache>
            </c:numRef>
          </c:val>
          <c:extLst>
            <c:ext xmlns:c16="http://schemas.microsoft.com/office/drawing/2014/chart" uri="{C3380CC4-5D6E-409C-BE32-E72D297353CC}">
              <c16:uniqueId val="{00000001-2A6A-4F83-89A5-910723D9FA3D}"/>
            </c:ext>
          </c:extLst>
        </c:ser>
        <c:ser>
          <c:idx val="3"/>
          <c:order val="2"/>
          <c:tx>
            <c:strRef>
              <c:f>Rentabilidad!$G$40</c:f>
              <c:strCache>
                <c:ptCount val="1"/>
                <c:pt idx="0">
                  <c:v>2020</c:v>
                </c:pt>
              </c:strCache>
            </c:strRef>
          </c:tx>
          <c:invertIfNegative val="0"/>
          <c:cat>
            <c:strRef>
              <c:f>Rentabilidad!$D$41:$D$43</c:f>
              <c:strCache>
                <c:ptCount val="3"/>
                <c:pt idx="0">
                  <c:v>Margen operativo</c:v>
                </c:pt>
                <c:pt idx="1">
                  <c:v>Margen neto</c:v>
                </c:pt>
                <c:pt idx="2">
                  <c:v>Margen Ebitda</c:v>
                </c:pt>
              </c:strCache>
            </c:strRef>
          </c:cat>
          <c:val>
            <c:numRef>
              <c:f>Rentabilidad!$G$41:$G$43</c:f>
              <c:numCache>
                <c:formatCode>0%</c:formatCode>
                <c:ptCount val="3"/>
                <c:pt idx="0">
                  <c:v>0.18451489724338158</c:v>
                </c:pt>
                <c:pt idx="1">
                  <c:v>0.13572030034413762</c:v>
                </c:pt>
                <c:pt idx="2">
                  <c:v>0.20277197252069432</c:v>
                </c:pt>
              </c:numCache>
            </c:numRef>
          </c:val>
          <c:extLst>
            <c:ext xmlns:c16="http://schemas.microsoft.com/office/drawing/2014/chart" uri="{C3380CC4-5D6E-409C-BE32-E72D297353CC}">
              <c16:uniqueId val="{00000002-6E67-437C-84E1-5DF856A98915}"/>
            </c:ext>
          </c:extLst>
        </c:ser>
        <c:ser>
          <c:idx val="2"/>
          <c:order val="3"/>
          <c:tx>
            <c:strRef>
              <c:f>Rentabilidad!$H$40</c:f>
              <c:strCache>
                <c:ptCount val="1"/>
                <c:pt idx="0">
                  <c:v>2021</c:v>
                </c:pt>
              </c:strCache>
            </c:strRef>
          </c:tx>
          <c:invertIfNegative val="0"/>
          <c:cat>
            <c:strRef>
              <c:f>Rentabilidad!$D$41:$D$43</c:f>
              <c:strCache>
                <c:ptCount val="3"/>
                <c:pt idx="0">
                  <c:v>Margen operativo</c:v>
                </c:pt>
                <c:pt idx="1">
                  <c:v>Margen neto</c:v>
                </c:pt>
                <c:pt idx="2">
                  <c:v>Margen Ebitda</c:v>
                </c:pt>
              </c:strCache>
            </c:strRef>
          </c:cat>
          <c:val>
            <c:numRef>
              <c:f>Rentabilidad!$H$41:$H$43</c:f>
              <c:numCache>
                <c:formatCode>0%</c:formatCode>
                <c:ptCount val="3"/>
                <c:pt idx="0">
                  <c:v>0.12694984445744356</c:v>
                </c:pt>
                <c:pt idx="1">
                  <c:v>9.7353476395642929E-2</c:v>
                </c:pt>
                <c:pt idx="2">
                  <c:v>0.13300149686870302</c:v>
                </c:pt>
              </c:numCache>
            </c:numRef>
          </c:val>
          <c:extLst>
            <c:ext xmlns:c16="http://schemas.microsoft.com/office/drawing/2014/chart" uri="{C3380CC4-5D6E-409C-BE32-E72D297353CC}">
              <c16:uniqueId val="{00000001-0F05-4154-AD79-714324D93F2B}"/>
            </c:ext>
          </c:extLst>
        </c:ser>
        <c:ser>
          <c:idx val="4"/>
          <c:order val="4"/>
          <c:tx>
            <c:strRef>
              <c:f>Rentabilidad!$I$40</c:f>
              <c:strCache>
                <c:ptCount val="1"/>
                <c:pt idx="0">
                  <c:v>2022</c:v>
                </c:pt>
              </c:strCache>
            </c:strRef>
          </c:tx>
          <c:invertIfNegative val="0"/>
          <c:cat>
            <c:strRef>
              <c:f>Rentabilidad!$D$41:$D$43</c:f>
              <c:strCache>
                <c:ptCount val="3"/>
                <c:pt idx="0">
                  <c:v>Margen operativo</c:v>
                </c:pt>
                <c:pt idx="1">
                  <c:v>Margen neto</c:v>
                </c:pt>
                <c:pt idx="2">
                  <c:v>Margen Ebitda</c:v>
                </c:pt>
              </c:strCache>
            </c:strRef>
          </c:cat>
          <c:val>
            <c:numRef>
              <c:f>Rentabilidad!$I$41:$I$43</c:f>
              <c:numCache>
                <c:formatCode>0%</c:formatCode>
                <c:ptCount val="3"/>
                <c:pt idx="0">
                  <c:v>8.6155371638774361E-2</c:v>
                </c:pt>
                <c:pt idx="1">
                  <c:v>4.3571400109061721E-2</c:v>
                </c:pt>
                <c:pt idx="2">
                  <c:v>9.9004830019492285E-2</c:v>
                </c:pt>
              </c:numCache>
            </c:numRef>
          </c:val>
          <c:extLst>
            <c:ext xmlns:c16="http://schemas.microsoft.com/office/drawing/2014/chart" uri="{C3380CC4-5D6E-409C-BE32-E72D297353CC}">
              <c16:uniqueId val="{00000002-0F05-4154-AD79-714324D93F2B}"/>
            </c:ext>
          </c:extLst>
        </c:ser>
        <c:ser>
          <c:idx val="5"/>
          <c:order val="5"/>
          <c:tx>
            <c:strRef>
              <c:f>Rentabilidad!$J$40</c:f>
              <c:strCache>
                <c:ptCount val="1"/>
                <c:pt idx="0">
                  <c:v>2023</c:v>
                </c:pt>
              </c:strCache>
            </c:strRef>
          </c:tx>
          <c:invertIfNegative val="0"/>
          <c:cat>
            <c:strRef>
              <c:f>Rentabilidad!$D$41:$D$43</c:f>
              <c:strCache>
                <c:ptCount val="3"/>
                <c:pt idx="0">
                  <c:v>Margen operativo</c:v>
                </c:pt>
                <c:pt idx="1">
                  <c:v>Margen neto</c:v>
                </c:pt>
                <c:pt idx="2">
                  <c:v>Margen Ebitda</c:v>
                </c:pt>
              </c:strCache>
            </c:strRef>
          </c:cat>
          <c:val>
            <c:numRef>
              <c:f>Rentabilidad!$J$41:$J$43</c:f>
              <c:numCache>
                <c:formatCode>0%</c:formatCode>
                <c:ptCount val="3"/>
                <c:pt idx="0">
                  <c:v>7.4757331857483289E-2</c:v>
                </c:pt>
                <c:pt idx="1">
                  <c:v>3.071808591680969E-2</c:v>
                </c:pt>
                <c:pt idx="2">
                  <c:v>8.287624011960483E-2</c:v>
                </c:pt>
              </c:numCache>
            </c:numRef>
          </c:val>
          <c:extLst>
            <c:ext xmlns:c16="http://schemas.microsoft.com/office/drawing/2014/chart" uri="{C3380CC4-5D6E-409C-BE32-E72D297353CC}">
              <c16:uniqueId val="{00000003-0F05-4154-AD79-714324D93F2B}"/>
            </c:ext>
          </c:extLst>
        </c:ser>
        <c:ser>
          <c:idx val="6"/>
          <c:order val="6"/>
          <c:tx>
            <c:strRef>
              <c:f>Rentabilidad!$K$40</c:f>
              <c:strCache>
                <c:ptCount val="1"/>
                <c:pt idx="0">
                  <c:v>REFERENTE</c:v>
                </c:pt>
              </c:strCache>
            </c:strRef>
          </c:tx>
          <c:invertIfNegative val="0"/>
          <c:cat>
            <c:strRef>
              <c:f>Rentabilidad!$D$41:$D$43</c:f>
              <c:strCache>
                <c:ptCount val="3"/>
                <c:pt idx="0">
                  <c:v>Margen operativo</c:v>
                </c:pt>
                <c:pt idx="1">
                  <c:v>Margen neto</c:v>
                </c:pt>
                <c:pt idx="2">
                  <c:v>Margen Ebitda</c:v>
                </c:pt>
              </c:strCache>
            </c:strRef>
          </c:cat>
          <c:val>
            <c:numRef>
              <c:f>Rentabilidad!$K$41:$K$43</c:f>
              <c:numCache>
                <c:formatCode>0%</c:formatCode>
                <c:ptCount val="3"/>
                <c:pt idx="0">
                  <c:v>9.1406583661744423E-2</c:v>
                </c:pt>
                <c:pt idx="1">
                  <c:v>3.9120094165364529E-2</c:v>
                </c:pt>
                <c:pt idx="2">
                  <c:v>9.1406583661744423E-2</c:v>
                </c:pt>
              </c:numCache>
            </c:numRef>
          </c:val>
          <c:extLst>
            <c:ext xmlns:c16="http://schemas.microsoft.com/office/drawing/2014/chart" uri="{C3380CC4-5D6E-409C-BE32-E72D297353CC}">
              <c16:uniqueId val="{00000004-0F05-4154-AD79-714324D93F2B}"/>
            </c:ext>
          </c:extLst>
        </c:ser>
        <c:dLbls>
          <c:showLegendKey val="0"/>
          <c:showVal val="0"/>
          <c:showCatName val="0"/>
          <c:showSerName val="0"/>
          <c:showPercent val="0"/>
          <c:showBubbleSize val="0"/>
        </c:dLbls>
        <c:gapWidth val="150"/>
        <c:shape val="box"/>
        <c:axId val="413747584"/>
        <c:axId val="413753024"/>
        <c:axId val="0"/>
      </c:bar3DChart>
      <c:catAx>
        <c:axId val="41374758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53024"/>
        <c:crosses val="autoZero"/>
        <c:auto val="1"/>
        <c:lblAlgn val="ctr"/>
        <c:lblOffset val="100"/>
        <c:noMultiLvlLbl val="0"/>
      </c:catAx>
      <c:valAx>
        <c:axId val="413753024"/>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47584"/>
        <c:crosses val="autoZero"/>
        <c:crossBetween val="between"/>
      </c:valAx>
      <c:spPr>
        <a:noFill/>
        <a:ln w="25400">
          <a:noFill/>
        </a:ln>
      </c:spPr>
    </c:plotArea>
    <c:legend>
      <c:legendPos val="r"/>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56" l="0.70000000000000051" r="0.70000000000000051" t="0.75000000000000056" header="0.30000000000000027" footer="0.30000000000000027"/>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Desigualdad financiera</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Rentabilidad!$D$46</c:f>
              <c:strCache>
                <c:ptCount val="1"/>
                <c:pt idx="0">
                  <c:v>TMRR</c:v>
                </c:pt>
              </c:strCache>
            </c:strRef>
          </c:tx>
          <c:invertIfNegative val="0"/>
          <c:cat>
            <c:strRef>
              <c:f>Rentabilidad!$E$45:$K$45</c:f>
              <c:strCache>
                <c:ptCount val="7"/>
                <c:pt idx="0">
                  <c:v>2018</c:v>
                </c:pt>
                <c:pt idx="1">
                  <c:v>2019</c:v>
                </c:pt>
                <c:pt idx="2">
                  <c:v>2020</c:v>
                </c:pt>
                <c:pt idx="3">
                  <c:v>2021</c:v>
                </c:pt>
                <c:pt idx="4">
                  <c:v>2022</c:v>
                </c:pt>
                <c:pt idx="5">
                  <c:v>2023</c:v>
                </c:pt>
                <c:pt idx="6">
                  <c:v>REFERENTE</c:v>
                </c:pt>
              </c:strCache>
            </c:strRef>
          </c:cat>
          <c:val>
            <c:numRef>
              <c:f>Rentabilidad!$E$46:$K$46</c:f>
              <c:numCache>
                <c:formatCode>0%</c:formatCode>
                <c:ptCount val="7"/>
                <c:pt idx="0">
                  <c:v>0.1</c:v>
                </c:pt>
                <c:pt idx="1">
                  <c:v>0.1</c:v>
                </c:pt>
                <c:pt idx="2">
                  <c:v>0.1</c:v>
                </c:pt>
                <c:pt idx="3">
                  <c:v>0.1</c:v>
                </c:pt>
                <c:pt idx="4">
                  <c:v>0.1</c:v>
                </c:pt>
                <c:pt idx="5">
                  <c:v>0.1</c:v>
                </c:pt>
                <c:pt idx="6">
                  <c:v>0</c:v>
                </c:pt>
              </c:numCache>
            </c:numRef>
          </c:val>
          <c:extLst>
            <c:ext xmlns:c16="http://schemas.microsoft.com/office/drawing/2014/chart" uri="{C3380CC4-5D6E-409C-BE32-E72D297353CC}">
              <c16:uniqueId val="{00000000-C1BA-4694-8ACD-B74E40EAD25E}"/>
            </c:ext>
          </c:extLst>
        </c:ser>
        <c:ser>
          <c:idx val="1"/>
          <c:order val="1"/>
          <c:tx>
            <c:strRef>
              <c:f>Rentabilidad!$D$47</c:f>
              <c:strCache>
                <c:ptCount val="1"/>
                <c:pt idx="0">
                  <c:v>Rendimiento patrimonio</c:v>
                </c:pt>
              </c:strCache>
            </c:strRef>
          </c:tx>
          <c:invertIfNegative val="0"/>
          <c:cat>
            <c:strRef>
              <c:f>Rentabilidad!$E$45:$K$45</c:f>
              <c:strCache>
                <c:ptCount val="7"/>
                <c:pt idx="0">
                  <c:v>2018</c:v>
                </c:pt>
                <c:pt idx="1">
                  <c:v>2019</c:v>
                </c:pt>
                <c:pt idx="2">
                  <c:v>2020</c:v>
                </c:pt>
                <c:pt idx="3">
                  <c:v>2021</c:v>
                </c:pt>
                <c:pt idx="4">
                  <c:v>2022</c:v>
                </c:pt>
                <c:pt idx="5">
                  <c:v>2023</c:v>
                </c:pt>
                <c:pt idx="6">
                  <c:v>REFERENTE</c:v>
                </c:pt>
              </c:strCache>
            </c:strRef>
          </c:cat>
          <c:val>
            <c:numRef>
              <c:f>Rentabilidad!$E$47:$K$47</c:f>
              <c:numCache>
                <c:formatCode>0%</c:formatCode>
                <c:ptCount val="7"/>
                <c:pt idx="0">
                  <c:v>0.18937312107396595</c:v>
                </c:pt>
                <c:pt idx="1">
                  <c:v>0.21735885626449769</c:v>
                </c:pt>
                <c:pt idx="2">
                  <c:v>0.43812693319491869</c:v>
                </c:pt>
                <c:pt idx="3">
                  <c:v>0.33478587756551226</c:v>
                </c:pt>
                <c:pt idx="4">
                  <c:v>0.25143856676357057</c:v>
                </c:pt>
                <c:pt idx="5">
                  <c:v>0.22111433048984236</c:v>
                </c:pt>
                <c:pt idx="6">
                  <c:v>0.1555024153500506</c:v>
                </c:pt>
              </c:numCache>
            </c:numRef>
          </c:val>
          <c:extLst>
            <c:ext xmlns:c16="http://schemas.microsoft.com/office/drawing/2014/chart" uri="{C3380CC4-5D6E-409C-BE32-E72D297353CC}">
              <c16:uniqueId val="{00000001-C1BA-4694-8ACD-B74E40EAD25E}"/>
            </c:ext>
          </c:extLst>
        </c:ser>
        <c:ser>
          <c:idx val="2"/>
          <c:order val="2"/>
          <c:tx>
            <c:strRef>
              <c:f>Rentabilidad!$D$48</c:f>
              <c:strCache>
                <c:ptCount val="1"/>
                <c:pt idx="0">
                  <c:v>Rendimiento activo</c:v>
                </c:pt>
              </c:strCache>
            </c:strRef>
          </c:tx>
          <c:invertIfNegative val="0"/>
          <c:cat>
            <c:strRef>
              <c:f>Rentabilidad!$E$45:$K$45</c:f>
              <c:strCache>
                <c:ptCount val="7"/>
                <c:pt idx="0">
                  <c:v>2018</c:v>
                </c:pt>
                <c:pt idx="1">
                  <c:v>2019</c:v>
                </c:pt>
                <c:pt idx="2">
                  <c:v>2020</c:v>
                </c:pt>
                <c:pt idx="3">
                  <c:v>2021</c:v>
                </c:pt>
                <c:pt idx="4">
                  <c:v>2022</c:v>
                </c:pt>
                <c:pt idx="5">
                  <c:v>2023</c:v>
                </c:pt>
                <c:pt idx="6">
                  <c:v>REFERENTE</c:v>
                </c:pt>
              </c:strCache>
            </c:strRef>
          </c:cat>
          <c:val>
            <c:numRef>
              <c:f>Rentabilidad!$E$48:$K$48</c:f>
              <c:numCache>
                <c:formatCode>0%</c:formatCode>
                <c:ptCount val="7"/>
                <c:pt idx="0">
                  <c:v>0.17331522785552009</c:v>
                </c:pt>
                <c:pt idx="1">
                  <c:v>0.26478657642630543</c:v>
                </c:pt>
                <c:pt idx="2">
                  <c:v>0.6049009189912109</c:v>
                </c:pt>
                <c:pt idx="3">
                  <c:v>0.48619379926048495</c:v>
                </c:pt>
                <c:pt idx="4">
                  <c:v>0.45046421912508167</c:v>
                </c:pt>
                <c:pt idx="5">
                  <c:v>0.24507596856164127</c:v>
                </c:pt>
                <c:pt idx="6">
                  <c:v>0.43899413518746211</c:v>
                </c:pt>
              </c:numCache>
            </c:numRef>
          </c:val>
          <c:extLst>
            <c:ext xmlns:c16="http://schemas.microsoft.com/office/drawing/2014/chart" uri="{C3380CC4-5D6E-409C-BE32-E72D297353CC}">
              <c16:uniqueId val="{00000002-C1BA-4694-8ACD-B74E40EAD25E}"/>
            </c:ext>
          </c:extLst>
        </c:ser>
        <c:ser>
          <c:idx val="3"/>
          <c:order val="3"/>
          <c:tx>
            <c:strRef>
              <c:f>Rentabilidad!$D$49</c:f>
              <c:strCache>
                <c:ptCount val="1"/>
                <c:pt idx="0">
                  <c:v>Costo del capital</c:v>
                </c:pt>
              </c:strCache>
            </c:strRef>
          </c:tx>
          <c:invertIfNegative val="0"/>
          <c:cat>
            <c:strRef>
              <c:f>Rentabilidad!$E$45:$K$45</c:f>
              <c:strCache>
                <c:ptCount val="7"/>
                <c:pt idx="0">
                  <c:v>2018</c:v>
                </c:pt>
                <c:pt idx="1">
                  <c:v>2019</c:v>
                </c:pt>
                <c:pt idx="2">
                  <c:v>2020</c:v>
                </c:pt>
                <c:pt idx="3">
                  <c:v>2021</c:v>
                </c:pt>
                <c:pt idx="4">
                  <c:v>2022</c:v>
                </c:pt>
                <c:pt idx="5">
                  <c:v>2023</c:v>
                </c:pt>
                <c:pt idx="6">
                  <c:v>REFERENTE</c:v>
                </c:pt>
              </c:strCache>
            </c:strRef>
          </c:cat>
          <c:val>
            <c:numRef>
              <c:f>Rentabilidad!$E$49:$K$49</c:f>
              <c:numCache>
                <c:formatCode>0%</c:formatCode>
                <c:ptCount val="7"/>
                <c:pt idx="0">
                  <c:v>6.7464166948661683E-2</c:v>
                </c:pt>
                <c:pt idx="1">
                  <c:v>6.6926695934903371E-2</c:v>
                </c:pt>
                <c:pt idx="2">
                  <c:v>7.2465300743290245E-2</c:v>
                </c:pt>
                <c:pt idx="3">
                  <c:v>6.7353350303357734E-2</c:v>
                </c:pt>
                <c:pt idx="4">
                  <c:v>7.1053853880534895E-2</c:v>
                </c:pt>
                <c:pt idx="5">
                  <c:v>6.2727517117026996E-2</c:v>
                </c:pt>
                <c:pt idx="6">
                  <c:v>0</c:v>
                </c:pt>
              </c:numCache>
            </c:numRef>
          </c:val>
          <c:extLst>
            <c:ext xmlns:c16="http://schemas.microsoft.com/office/drawing/2014/chart" uri="{C3380CC4-5D6E-409C-BE32-E72D297353CC}">
              <c16:uniqueId val="{00000003-C1BA-4694-8ACD-B74E40EAD25E}"/>
            </c:ext>
          </c:extLst>
        </c:ser>
        <c:dLbls>
          <c:showLegendKey val="0"/>
          <c:showVal val="0"/>
          <c:showCatName val="0"/>
          <c:showSerName val="0"/>
          <c:showPercent val="0"/>
          <c:showBubbleSize val="0"/>
        </c:dLbls>
        <c:gapWidth val="150"/>
        <c:shape val="cylinder"/>
        <c:axId val="413741600"/>
        <c:axId val="413756832"/>
        <c:axId val="0"/>
      </c:bar3DChart>
      <c:catAx>
        <c:axId val="41374160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56832"/>
        <c:crosses val="autoZero"/>
        <c:auto val="1"/>
        <c:lblAlgn val="ctr"/>
        <c:lblOffset val="100"/>
        <c:noMultiLvlLbl val="0"/>
      </c:catAx>
      <c:valAx>
        <c:axId val="413756832"/>
        <c:scaling>
          <c:orientation val="minMax"/>
        </c:scaling>
        <c:delete val="0"/>
        <c:axPos val="l"/>
        <c:majorGridlines/>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41600"/>
        <c:crosses val="autoZero"/>
        <c:crossBetween val="between"/>
      </c:valAx>
      <c:dTable>
        <c:showHorzBorder val="1"/>
        <c:showVertBorder val="1"/>
        <c:showOutline val="1"/>
        <c:showKeys val="1"/>
        <c:txPr>
          <a:bodyPr/>
          <a:lstStyle/>
          <a:p>
            <a:pPr rtl="0">
              <a:defRPr sz="1000" b="0" i="0" u="none" strike="noStrike" baseline="0">
                <a:solidFill>
                  <a:srgbClr val="000000"/>
                </a:solidFill>
                <a:latin typeface="Calibri"/>
                <a:ea typeface="Calibri"/>
                <a:cs typeface="Calibri"/>
              </a:defRPr>
            </a:pPr>
            <a:endParaRPr lang="es-CO"/>
          </a:p>
        </c:txPr>
      </c:dTable>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56" l="0.70000000000000051" r="0.70000000000000051" t="0.75000000000000056" header="0.30000000000000027" footer="0.30000000000000027"/>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'Crecimiento Sostenible'!$B$7</c:f>
              <c:strCache>
                <c:ptCount val="1"/>
                <c:pt idx="0">
                  <c:v>Variación de Crecimiento</c:v>
                </c:pt>
              </c:strCache>
            </c:strRef>
          </c:tx>
          <c:spPr>
            <a:ln w="28575" cap="rnd">
              <a:solidFill>
                <a:schemeClr val="accent1"/>
              </a:solidFill>
              <a:round/>
            </a:ln>
            <a:effectLst/>
          </c:spPr>
          <c:marker>
            <c:symbol val="none"/>
          </c:marker>
          <c:dLbls>
            <c:dLbl>
              <c:idx val="0"/>
              <c:layout>
                <c:manualLayout>
                  <c:x val="-3.762016108080022E-2"/>
                  <c:y val="-3.903707963470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52-44FF-8A11-5C92C8F79AF7}"/>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'Crecimiento Sostenible'!$C$6:$G$6</c:f>
              <c:numCache>
                <c:formatCode>General</c:formatCode>
                <c:ptCount val="5"/>
                <c:pt idx="0">
                  <c:v>2019</c:v>
                </c:pt>
                <c:pt idx="1">
                  <c:v>2020</c:v>
                </c:pt>
                <c:pt idx="2">
                  <c:v>2021</c:v>
                </c:pt>
                <c:pt idx="3">
                  <c:v>2022</c:v>
                </c:pt>
                <c:pt idx="4">
                  <c:v>2023</c:v>
                </c:pt>
              </c:numCache>
            </c:numRef>
          </c:cat>
          <c:val>
            <c:numRef>
              <c:f>'Crecimiento Sostenible'!$C$7:$G$7</c:f>
              <c:numCache>
                <c:formatCode>0%</c:formatCode>
                <c:ptCount val="5"/>
                <c:pt idx="0">
                  <c:v>0.33819435941394621</c:v>
                </c:pt>
                <c:pt idx="1">
                  <c:v>0.63926163060471719</c:v>
                </c:pt>
                <c:pt idx="2">
                  <c:v>0.17934802159793922</c:v>
                </c:pt>
                <c:pt idx="3">
                  <c:v>0.28184987993023786</c:v>
                </c:pt>
                <c:pt idx="4">
                  <c:v>0.18984067021757955</c:v>
                </c:pt>
              </c:numCache>
            </c:numRef>
          </c:val>
          <c:smooth val="0"/>
          <c:extLst>
            <c:ext xmlns:c16="http://schemas.microsoft.com/office/drawing/2014/chart" uri="{C3380CC4-5D6E-409C-BE32-E72D297353CC}">
              <c16:uniqueId val="{00000000-0352-44FF-8A11-5C92C8F79AF7}"/>
            </c:ext>
          </c:extLst>
        </c:ser>
        <c:ser>
          <c:idx val="1"/>
          <c:order val="1"/>
          <c:tx>
            <c:strRef>
              <c:f>'Crecimiento Sostenible'!$B$8</c:f>
              <c:strCache>
                <c:ptCount val="1"/>
                <c:pt idx="0">
                  <c:v>TCS</c:v>
                </c:pt>
              </c:strCache>
            </c:strRef>
          </c:tx>
          <c:spPr>
            <a:ln w="28575" cap="rnd">
              <a:solidFill>
                <a:schemeClr val="accent2"/>
              </a:solidFill>
              <a:round/>
            </a:ln>
            <a:effectLst/>
          </c:spPr>
          <c:marker>
            <c:symbol val="none"/>
          </c:marker>
          <c:dLbls>
            <c:dLbl>
              <c:idx val="0"/>
              <c:layout>
                <c:manualLayout>
                  <c:x val="-1.5949024493528356E-2"/>
                  <c:y val="2.96737837545586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52-44FF-8A11-5C92C8F79AF7}"/>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'Crecimiento Sostenible'!$C$6:$G$6</c:f>
              <c:numCache>
                <c:formatCode>General</c:formatCode>
                <c:ptCount val="5"/>
                <c:pt idx="0">
                  <c:v>2019</c:v>
                </c:pt>
                <c:pt idx="1">
                  <c:v>2020</c:v>
                </c:pt>
                <c:pt idx="2">
                  <c:v>2021</c:v>
                </c:pt>
                <c:pt idx="3">
                  <c:v>2022</c:v>
                </c:pt>
                <c:pt idx="4">
                  <c:v>2023</c:v>
                </c:pt>
              </c:numCache>
            </c:numRef>
          </c:cat>
          <c:val>
            <c:numRef>
              <c:f>'Crecimiento Sostenible'!$C$8:$G$8</c:f>
              <c:numCache>
                <c:formatCode>0%</c:formatCode>
                <c:ptCount val="5"/>
                <c:pt idx="0">
                  <c:v>0.27772480146782991</c:v>
                </c:pt>
                <c:pt idx="1">
                  <c:v>0.77976140712028252</c:v>
                </c:pt>
                <c:pt idx="2">
                  <c:v>0.50327536093234848</c:v>
                </c:pt>
                <c:pt idx="3">
                  <c:v>0.33589570020521609</c:v>
                </c:pt>
                <c:pt idx="4">
                  <c:v>0.28388547786339619</c:v>
                </c:pt>
              </c:numCache>
            </c:numRef>
          </c:val>
          <c:smooth val="0"/>
          <c:extLst>
            <c:ext xmlns:c16="http://schemas.microsoft.com/office/drawing/2014/chart" uri="{C3380CC4-5D6E-409C-BE32-E72D297353CC}">
              <c16:uniqueId val="{00000001-0352-44FF-8A11-5C92C8F79AF7}"/>
            </c:ext>
          </c:extLst>
        </c:ser>
        <c:dLbls>
          <c:dLblPos val="l"/>
          <c:showLegendKey val="0"/>
          <c:showVal val="1"/>
          <c:showCatName val="0"/>
          <c:showSerName val="0"/>
          <c:showPercent val="0"/>
          <c:showBubbleSize val="0"/>
        </c:dLbls>
        <c:hiLowLines>
          <c:spPr>
            <a:ln w="9525" cap="flat" cmpd="sng" algn="ctr">
              <a:solidFill>
                <a:schemeClr val="tx1">
                  <a:lumMod val="75000"/>
                  <a:lumOff val="25000"/>
                </a:schemeClr>
              </a:solidFill>
              <a:round/>
            </a:ln>
            <a:effectLst/>
          </c:spPr>
        </c:hiLowLines>
        <c:smooth val="0"/>
        <c:axId val="599661791"/>
        <c:axId val="599653887"/>
      </c:lineChart>
      <c:catAx>
        <c:axId val="599661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9653887"/>
        <c:crosses val="autoZero"/>
        <c:auto val="1"/>
        <c:lblAlgn val="ctr"/>
        <c:lblOffset val="100"/>
        <c:noMultiLvlLbl val="0"/>
      </c:catAx>
      <c:valAx>
        <c:axId val="599653887"/>
        <c:scaling>
          <c:orientation val="minMax"/>
        </c:scaling>
        <c:delete val="1"/>
        <c:axPos val="l"/>
        <c:numFmt formatCode="0%" sourceLinked="1"/>
        <c:majorTickMark val="out"/>
        <c:minorTickMark val="none"/>
        <c:tickLblPos val="nextTo"/>
        <c:crossAx val="599661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'Crecimiento Sostenible'!$B$38</c:f>
              <c:strCache>
                <c:ptCount val="1"/>
                <c:pt idx="0">
                  <c:v>ROI - WACC</c:v>
                </c:pt>
              </c:strCache>
            </c:strRef>
          </c:tx>
          <c:spPr>
            <a:ln w="28575" cap="rnd">
              <a:noFill/>
              <a:round/>
            </a:ln>
            <a:effectLst/>
          </c:spPr>
          <c:marker>
            <c:symbol val="circle"/>
            <c:size val="15"/>
            <c:spPr>
              <a:solidFill>
                <a:srgbClr val="00B050"/>
              </a:solidFill>
              <a:ln w="9525">
                <a:noFill/>
              </a:ln>
              <a:effectLst/>
              <a:scene3d>
                <a:camera prst="orthographicFront"/>
                <a:lightRig rig="threePt" dir="t"/>
              </a:scene3d>
              <a:sp3d>
                <a:bevelT/>
              </a:sp3d>
            </c:spPr>
          </c:marker>
          <c:xVal>
            <c:numRef>
              <c:f>'Crecimiento Sostenible'!$C$37:$G$37</c:f>
              <c:numCache>
                <c:formatCode>0%</c:formatCode>
                <c:ptCount val="5"/>
                <c:pt idx="0">
                  <c:v>0.33819435941394621</c:v>
                </c:pt>
                <c:pt idx="1">
                  <c:v>0.63926163060471719</c:v>
                </c:pt>
                <c:pt idx="2">
                  <c:v>0.17934802159793922</c:v>
                </c:pt>
                <c:pt idx="3">
                  <c:v>0.28184987993023786</c:v>
                </c:pt>
                <c:pt idx="4">
                  <c:v>0.18984067021757955</c:v>
                </c:pt>
              </c:numCache>
            </c:numRef>
          </c:xVal>
          <c:yVal>
            <c:numRef>
              <c:f>'Crecimiento Sostenible'!$C$38:$G$38</c:f>
              <c:numCache>
                <c:formatCode>0%</c:formatCode>
                <c:ptCount val="5"/>
                <c:pt idx="0">
                  <c:v>0.19785988049140207</c:v>
                </c:pt>
                <c:pt idx="1">
                  <c:v>0.53243561824792063</c:v>
                </c:pt>
                <c:pt idx="2">
                  <c:v>0.41884044895712724</c:v>
                </c:pt>
                <c:pt idx="3">
                  <c:v>0.37941036524454674</c:v>
                </c:pt>
                <c:pt idx="4">
                  <c:v>0.18234845144461426</c:v>
                </c:pt>
              </c:numCache>
            </c:numRef>
          </c:yVal>
          <c:smooth val="0"/>
          <c:extLst>
            <c:ext xmlns:c16="http://schemas.microsoft.com/office/drawing/2014/chart" uri="{C3380CC4-5D6E-409C-BE32-E72D297353CC}">
              <c16:uniqueId val="{00000000-67D2-4F01-A33C-510ACD92AB46}"/>
            </c:ext>
          </c:extLst>
        </c:ser>
        <c:dLbls>
          <c:showLegendKey val="0"/>
          <c:showVal val="0"/>
          <c:showCatName val="0"/>
          <c:showSerName val="0"/>
          <c:showPercent val="0"/>
          <c:showBubbleSize val="0"/>
        </c:dLbls>
        <c:axId val="1921382559"/>
        <c:axId val="1921368831"/>
      </c:scatterChart>
      <c:valAx>
        <c:axId val="1921382559"/>
        <c:scaling>
          <c:orientation val="minMax"/>
          <c:max val="1"/>
          <c:min val="-1"/>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s-CO" b="1">
                    <a:solidFill>
                      <a:sysClr val="windowText" lastClr="000000"/>
                    </a:solidFill>
                  </a:rPr>
                  <a:t>ROI - WACC</a:t>
                </a:r>
              </a:p>
            </c:rich>
          </c:tx>
          <c:layout>
            <c:manualLayout>
              <c:xMode val="edge"/>
              <c:yMode val="edge"/>
              <c:x val="0.44984068627450979"/>
              <c:y val="0.96429673202614374"/>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CO"/>
            </a:p>
          </c:txPr>
        </c:title>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1368831"/>
        <c:crosses val="autoZero"/>
        <c:crossBetween val="midCat"/>
        <c:majorUnit val="0.2"/>
      </c:valAx>
      <c:valAx>
        <c:axId val="1921368831"/>
        <c:scaling>
          <c:orientation val="minMax"/>
          <c:max val="1"/>
          <c:min val="-1"/>
        </c:scaling>
        <c:delete val="0"/>
        <c:axPos val="l"/>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s-CO" b="1">
                    <a:solidFill>
                      <a:sysClr val="windowText" lastClr="000000"/>
                    </a:solidFill>
                  </a:rPr>
                  <a:t>% VAR Ventas</a:t>
                </a:r>
              </a:p>
            </c:rich>
          </c:tx>
          <c:layout>
            <c:manualLayout>
              <c:xMode val="edge"/>
              <c:yMode val="edge"/>
              <c:x val="6.2254901960784315E-3"/>
              <c:y val="0.41935915032679738"/>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CO"/>
            </a:p>
          </c:txPr>
        </c:title>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138255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'Generacion de Valor'!$D$24</c:f>
              <c:strCache>
                <c:ptCount val="1"/>
                <c:pt idx="0">
                  <c:v>RAN</c:v>
                </c:pt>
              </c:strCache>
            </c:strRef>
          </c:tx>
          <c:invertIfNegative val="0"/>
          <c:cat>
            <c:strRef>
              <c:f>'Generacion de Valor'!$E$23:$K$23</c:f>
              <c:strCache>
                <c:ptCount val="7"/>
                <c:pt idx="0">
                  <c:v>2018</c:v>
                </c:pt>
                <c:pt idx="1">
                  <c:v>2019</c:v>
                </c:pt>
                <c:pt idx="2">
                  <c:v>2020</c:v>
                </c:pt>
                <c:pt idx="3">
                  <c:v>2021</c:v>
                </c:pt>
                <c:pt idx="4">
                  <c:v>2022</c:v>
                </c:pt>
                <c:pt idx="5">
                  <c:v>2023</c:v>
                </c:pt>
                <c:pt idx="6">
                  <c:v>REFERENTE</c:v>
                </c:pt>
              </c:strCache>
            </c:strRef>
          </c:cat>
          <c:val>
            <c:numRef>
              <c:f>'Generacion de Valor'!$E$24:$K$24</c:f>
              <c:numCache>
                <c:formatCode>0.00%</c:formatCode>
                <c:ptCount val="7"/>
                <c:pt idx="0">
                  <c:v>8.1093965086979358E-2</c:v>
                </c:pt>
                <c:pt idx="1">
                  <c:v>0.11855570185621438</c:v>
                </c:pt>
                <c:pt idx="2">
                  <c:v>0.27578250419635114</c:v>
                </c:pt>
                <c:pt idx="3">
                  <c:v>0.20690730568651033</c:v>
                </c:pt>
                <c:pt idx="4">
                  <c:v>0.19539887074114443</c:v>
                </c:pt>
                <c:pt idx="5">
                  <c:v>0.14062806764516839</c:v>
                </c:pt>
                <c:pt idx="6">
                  <c:v>0.1907410423680326</c:v>
                </c:pt>
              </c:numCache>
            </c:numRef>
          </c:val>
          <c:extLst>
            <c:ext xmlns:c16="http://schemas.microsoft.com/office/drawing/2014/chart" uri="{C3380CC4-5D6E-409C-BE32-E72D297353CC}">
              <c16:uniqueId val="{00000000-DF84-4F47-BA95-5F4725C9BBF2}"/>
            </c:ext>
          </c:extLst>
        </c:ser>
        <c:ser>
          <c:idx val="1"/>
          <c:order val="1"/>
          <c:tx>
            <c:strRef>
              <c:f>'Generacion de Valor'!$D$25</c:f>
              <c:strCache>
                <c:ptCount val="1"/>
                <c:pt idx="0">
                  <c:v>CK</c:v>
                </c:pt>
              </c:strCache>
            </c:strRef>
          </c:tx>
          <c:invertIfNegative val="0"/>
          <c:cat>
            <c:strRef>
              <c:f>'Generacion de Valor'!$E$23:$K$23</c:f>
              <c:strCache>
                <c:ptCount val="7"/>
                <c:pt idx="0">
                  <c:v>2018</c:v>
                </c:pt>
                <c:pt idx="1">
                  <c:v>2019</c:v>
                </c:pt>
                <c:pt idx="2">
                  <c:v>2020</c:v>
                </c:pt>
                <c:pt idx="3">
                  <c:v>2021</c:v>
                </c:pt>
                <c:pt idx="4">
                  <c:v>2022</c:v>
                </c:pt>
                <c:pt idx="5">
                  <c:v>2023</c:v>
                </c:pt>
                <c:pt idx="6">
                  <c:v>REFERENTE</c:v>
                </c:pt>
              </c:strCache>
            </c:strRef>
          </c:cat>
          <c:val>
            <c:numRef>
              <c:f>'Generacion de Valor'!$E$25:$K$25</c:f>
              <c:numCache>
                <c:formatCode>0.00%</c:formatCode>
                <c:ptCount val="7"/>
                <c:pt idx="0">
                  <c:v>6.7464166948661683E-2</c:v>
                </c:pt>
                <c:pt idx="1">
                  <c:v>6.6926695934903371E-2</c:v>
                </c:pt>
                <c:pt idx="2">
                  <c:v>7.2465300743290245E-2</c:v>
                </c:pt>
                <c:pt idx="3">
                  <c:v>6.7353350303357734E-2</c:v>
                </c:pt>
                <c:pt idx="4">
                  <c:v>7.1053853880534895E-2</c:v>
                </c:pt>
                <c:pt idx="5">
                  <c:v>6.2727517117026996E-2</c:v>
                </c:pt>
                <c:pt idx="6">
                  <c:v>0</c:v>
                </c:pt>
              </c:numCache>
            </c:numRef>
          </c:val>
          <c:extLst>
            <c:ext xmlns:c16="http://schemas.microsoft.com/office/drawing/2014/chart" uri="{C3380CC4-5D6E-409C-BE32-E72D297353CC}">
              <c16:uniqueId val="{00000001-DF84-4F47-BA95-5F4725C9BBF2}"/>
            </c:ext>
          </c:extLst>
        </c:ser>
        <c:ser>
          <c:idx val="2"/>
          <c:order val="2"/>
          <c:tx>
            <c:strRef>
              <c:f>'Generacion de Valor'!$D$26</c:f>
              <c:strCache>
                <c:ptCount val="1"/>
                <c:pt idx="0">
                  <c:v>EVA</c:v>
                </c:pt>
              </c:strCache>
            </c:strRef>
          </c:tx>
          <c:invertIfNegative val="0"/>
          <c:cat>
            <c:strRef>
              <c:f>'Generacion de Valor'!$E$23:$K$23</c:f>
              <c:strCache>
                <c:ptCount val="7"/>
                <c:pt idx="0">
                  <c:v>2018</c:v>
                </c:pt>
                <c:pt idx="1">
                  <c:v>2019</c:v>
                </c:pt>
                <c:pt idx="2">
                  <c:v>2020</c:v>
                </c:pt>
                <c:pt idx="3">
                  <c:v>2021</c:v>
                </c:pt>
                <c:pt idx="4">
                  <c:v>2022</c:v>
                </c:pt>
                <c:pt idx="5">
                  <c:v>2023</c:v>
                </c:pt>
                <c:pt idx="6">
                  <c:v>REFERENTE</c:v>
                </c:pt>
              </c:strCache>
            </c:strRef>
          </c:cat>
          <c:val>
            <c:numRef>
              <c:f>'Generacion de Valor'!$E$26:$K$26</c:f>
              <c:numCache>
                <c:formatCode>0.00%</c:formatCode>
                <c:ptCount val="7"/>
                <c:pt idx="0">
                  <c:v>1.3629798138317675E-2</c:v>
                </c:pt>
                <c:pt idx="1">
                  <c:v>5.1629005921311005E-2</c:v>
                </c:pt>
                <c:pt idx="2">
                  <c:v>0.2033172034530609</c:v>
                </c:pt>
                <c:pt idx="3">
                  <c:v>0.1395539553831526</c:v>
                </c:pt>
                <c:pt idx="4">
                  <c:v>0.12434501686060953</c:v>
                </c:pt>
                <c:pt idx="5">
                  <c:v>7.7900550528141391E-2</c:v>
                </c:pt>
                <c:pt idx="6">
                  <c:v>0.1907410423680326</c:v>
                </c:pt>
              </c:numCache>
            </c:numRef>
          </c:val>
          <c:extLst>
            <c:ext xmlns:c16="http://schemas.microsoft.com/office/drawing/2014/chart" uri="{C3380CC4-5D6E-409C-BE32-E72D297353CC}">
              <c16:uniqueId val="{00000002-DF84-4F47-BA95-5F4725C9BBF2}"/>
            </c:ext>
          </c:extLst>
        </c:ser>
        <c:dLbls>
          <c:showLegendKey val="0"/>
          <c:showVal val="0"/>
          <c:showCatName val="0"/>
          <c:showSerName val="0"/>
          <c:showPercent val="0"/>
          <c:showBubbleSize val="0"/>
        </c:dLbls>
        <c:gapWidth val="150"/>
        <c:shape val="cylinder"/>
        <c:axId val="413751392"/>
        <c:axId val="413753568"/>
        <c:axId val="0"/>
      </c:bar3DChart>
      <c:catAx>
        <c:axId val="4137513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53568"/>
        <c:crosses val="autoZero"/>
        <c:auto val="1"/>
        <c:lblAlgn val="ctr"/>
        <c:lblOffset val="100"/>
        <c:noMultiLvlLbl val="0"/>
      </c:catAx>
      <c:valAx>
        <c:axId val="413753568"/>
        <c:scaling>
          <c:orientation val="minMax"/>
        </c:scaling>
        <c:delete val="0"/>
        <c:axPos val="l"/>
        <c:majorGridlines/>
        <c:numFmt formatCode="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51392"/>
        <c:crosses val="autoZero"/>
        <c:crossBetween val="between"/>
      </c:valAx>
      <c:dTable>
        <c:showHorzBorder val="1"/>
        <c:showVertBorder val="1"/>
        <c:showOutline val="1"/>
        <c:showKeys val="1"/>
        <c:txPr>
          <a:bodyPr/>
          <a:lstStyle/>
          <a:p>
            <a:pPr rtl="0">
              <a:defRPr sz="1000" b="0" i="0" u="none" strike="noStrike" baseline="0">
                <a:solidFill>
                  <a:srgbClr val="000000"/>
                </a:solidFill>
                <a:latin typeface="Calibri"/>
                <a:ea typeface="Calibri"/>
                <a:cs typeface="Calibri"/>
              </a:defRPr>
            </a:pPr>
            <a:endParaRPr lang="es-CO"/>
          </a:p>
        </c:txPr>
      </c:dTable>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44" l="0.7000000000000004" r="0.7000000000000004" t="0.75000000000000044" header="0.30000000000000021" footer="0.30000000000000021"/>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15629024496937913"/>
          <c:y val="4.6807046703802806E-2"/>
          <c:w val="0.82704308836395468"/>
          <c:h val="0.60837851316432312"/>
        </c:manualLayout>
      </c:layout>
      <c:bar3DChart>
        <c:barDir val="col"/>
        <c:grouping val="clustered"/>
        <c:varyColors val="0"/>
        <c:ser>
          <c:idx val="0"/>
          <c:order val="0"/>
          <c:tx>
            <c:strRef>
              <c:f>Liquidez!$E$34</c:f>
              <c:strCache>
                <c:ptCount val="1"/>
                <c:pt idx="0">
                  <c:v>2018</c:v>
                </c:pt>
              </c:strCache>
            </c:strRef>
          </c:tx>
          <c:invertIfNegative val="0"/>
          <c:cat>
            <c:strRef>
              <c:f>Liquidez!$D$35:$D$36</c:f>
              <c:strCache>
                <c:ptCount val="2"/>
                <c:pt idx="0">
                  <c:v>Razon corriente - Razón circulante - 
Razón de solvencia - Razón de 
disponibilidad</c:v>
                </c:pt>
                <c:pt idx="1">
                  <c:v>Prueba ácida o coeficiente liquidez</c:v>
                </c:pt>
              </c:strCache>
            </c:strRef>
          </c:cat>
          <c:val>
            <c:numRef>
              <c:f>Liquidez!$E$35:$E$36</c:f>
              <c:numCache>
                <c:formatCode>0.00</c:formatCode>
                <c:ptCount val="2"/>
                <c:pt idx="0">
                  <c:v>2.0004180075855351</c:v>
                </c:pt>
                <c:pt idx="1">
                  <c:v>1.8148985285662889</c:v>
                </c:pt>
              </c:numCache>
            </c:numRef>
          </c:val>
          <c:extLst>
            <c:ext xmlns:c16="http://schemas.microsoft.com/office/drawing/2014/chart" uri="{C3380CC4-5D6E-409C-BE32-E72D297353CC}">
              <c16:uniqueId val="{00000000-3EBF-480A-A18B-EB792B09E0C5}"/>
            </c:ext>
          </c:extLst>
        </c:ser>
        <c:ser>
          <c:idx val="1"/>
          <c:order val="1"/>
          <c:tx>
            <c:strRef>
              <c:f>Liquidez!$F$34</c:f>
              <c:strCache>
                <c:ptCount val="1"/>
                <c:pt idx="0">
                  <c:v>2019</c:v>
                </c:pt>
              </c:strCache>
            </c:strRef>
          </c:tx>
          <c:invertIfNegative val="0"/>
          <c:cat>
            <c:strRef>
              <c:f>Liquidez!$D$35:$D$36</c:f>
              <c:strCache>
                <c:ptCount val="2"/>
                <c:pt idx="0">
                  <c:v>Razon corriente - Razón circulante - 
Razón de solvencia - Razón de 
disponibilidad</c:v>
                </c:pt>
                <c:pt idx="1">
                  <c:v>Prueba ácida o coeficiente liquidez</c:v>
                </c:pt>
              </c:strCache>
            </c:strRef>
          </c:cat>
          <c:val>
            <c:numRef>
              <c:f>Liquidez!$F$35:$F$36</c:f>
              <c:numCache>
                <c:formatCode>0.00</c:formatCode>
                <c:ptCount val="2"/>
                <c:pt idx="0">
                  <c:v>1.8378110868549562</c:v>
                </c:pt>
                <c:pt idx="1">
                  <c:v>1.5122311636125003</c:v>
                </c:pt>
              </c:numCache>
            </c:numRef>
          </c:val>
          <c:extLst>
            <c:ext xmlns:c16="http://schemas.microsoft.com/office/drawing/2014/chart" uri="{C3380CC4-5D6E-409C-BE32-E72D297353CC}">
              <c16:uniqueId val="{00000001-3EBF-480A-A18B-EB792B09E0C5}"/>
            </c:ext>
          </c:extLst>
        </c:ser>
        <c:ser>
          <c:idx val="3"/>
          <c:order val="2"/>
          <c:tx>
            <c:strRef>
              <c:f>Liquidez!$G$34</c:f>
              <c:strCache>
                <c:ptCount val="1"/>
                <c:pt idx="0">
                  <c:v>2020</c:v>
                </c:pt>
              </c:strCache>
            </c:strRef>
          </c:tx>
          <c:invertIfNegative val="0"/>
          <c:cat>
            <c:strRef>
              <c:f>Liquidez!$D$35:$D$36</c:f>
              <c:strCache>
                <c:ptCount val="2"/>
                <c:pt idx="0">
                  <c:v>Razon corriente - Razón circulante - 
Razón de solvencia - Razón de 
disponibilidad</c:v>
                </c:pt>
                <c:pt idx="1">
                  <c:v>Prueba ácida o coeficiente liquidez</c:v>
                </c:pt>
              </c:strCache>
            </c:strRef>
          </c:cat>
          <c:val>
            <c:numRef>
              <c:f>Liquidez!$G$35:$G$36</c:f>
              <c:numCache>
                <c:formatCode>0.00</c:formatCode>
                <c:ptCount val="2"/>
                <c:pt idx="0">
                  <c:v>2.1265172388622271</c:v>
                </c:pt>
                <c:pt idx="1">
                  <c:v>1.7888783528928403</c:v>
                </c:pt>
              </c:numCache>
            </c:numRef>
          </c:val>
          <c:extLst>
            <c:ext xmlns:c16="http://schemas.microsoft.com/office/drawing/2014/chart" uri="{C3380CC4-5D6E-409C-BE32-E72D297353CC}">
              <c16:uniqueId val="{00000002-B186-4A25-9740-ABD410D633FA}"/>
            </c:ext>
          </c:extLst>
        </c:ser>
        <c:ser>
          <c:idx val="2"/>
          <c:order val="3"/>
          <c:tx>
            <c:strRef>
              <c:f>Liquidez!$H$34</c:f>
              <c:strCache>
                <c:ptCount val="1"/>
                <c:pt idx="0">
                  <c:v>2021</c:v>
                </c:pt>
              </c:strCache>
            </c:strRef>
          </c:tx>
          <c:invertIfNegative val="0"/>
          <c:cat>
            <c:strRef>
              <c:f>Liquidez!$D$35:$D$36</c:f>
              <c:strCache>
                <c:ptCount val="2"/>
                <c:pt idx="0">
                  <c:v>Razon corriente - Razón circulante - 
Razón de solvencia - Razón de 
disponibilidad</c:v>
                </c:pt>
                <c:pt idx="1">
                  <c:v>Prueba ácida o coeficiente liquidez</c:v>
                </c:pt>
              </c:strCache>
            </c:strRef>
          </c:cat>
          <c:val>
            <c:numRef>
              <c:f>Liquidez!$H$35:$H$36</c:f>
              <c:numCache>
                <c:formatCode>0.00</c:formatCode>
                <c:ptCount val="2"/>
                <c:pt idx="0">
                  <c:v>1.3322726771584033</c:v>
                </c:pt>
                <c:pt idx="1">
                  <c:v>1.1484993109847019</c:v>
                </c:pt>
              </c:numCache>
            </c:numRef>
          </c:val>
          <c:extLst>
            <c:ext xmlns:c16="http://schemas.microsoft.com/office/drawing/2014/chart" uri="{C3380CC4-5D6E-409C-BE32-E72D297353CC}">
              <c16:uniqueId val="{00000002-3EBF-480A-A18B-EB792B09E0C5}"/>
            </c:ext>
          </c:extLst>
        </c:ser>
        <c:ser>
          <c:idx val="4"/>
          <c:order val="4"/>
          <c:tx>
            <c:strRef>
              <c:f>Liquidez!$I$34</c:f>
              <c:strCache>
                <c:ptCount val="1"/>
                <c:pt idx="0">
                  <c:v>2022</c:v>
                </c:pt>
              </c:strCache>
            </c:strRef>
          </c:tx>
          <c:invertIfNegative val="0"/>
          <c:cat>
            <c:strRef>
              <c:f>Liquidez!$D$35:$D$36</c:f>
              <c:strCache>
                <c:ptCount val="2"/>
                <c:pt idx="0">
                  <c:v>Razon corriente - Razón circulante - 
Razón de solvencia - Razón de 
disponibilidad</c:v>
                </c:pt>
                <c:pt idx="1">
                  <c:v>Prueba ácida o coeficiente liquidez</c:v>
                </c:pt>
              </c:strCache>
            </c:strRef>
          </c:cat>
          <c:val>
            <c:numRef>
              <c:f>Liquidez!$I$35:$I$36</c:f>
              <c:numCache>
                <c:formatCode>0.00</c:formatCode>
                <c:ptCount val="2"/>
                <c:pt idx="0">
                  <c:v>1.3712419777512677</c:v>
                </c:pt>
                <c:pt idx="1">
                  <c:v>1.1310722165305158</c:v>
                </c:pt>
              </c:numCache>
            </c:numRef>
          </c:val>
          <c:extLst>
            <c:ext xmlns:c16="http://schemas.microsoft.com/office/drawing/2014/chart" uri="{C3380CC4-5D6E-409C-BE32-E72D297353CC}">
              <c16:uniqueId val="{00000001-3A0E-4B4B-84DA-D9ABA503CDEF}"/>
            </c:ext>
          </c:extLst>
        </c:ser>
        <c:ser>
          <c:idx val="5"/>
          <c:order val="5"/>
          <c:tx>
            <c:strRef>
              <c:f>Liquidez!$J$34</c:f>
              <c:strCache>
                <c:ptCount val="1"/>
                <c:pt idx="0">
                  <c:v>2023</c:v>
                </c:pt>
              </c:strCache>
            </c:strRef>
          </c:tx>
          <c:invertIfNegative val="0"/>
          <c:cat>
            <c:strRef>
              <c:f>Liquidez!$D$35:$D$36</c:f>
              <c:strCache>
                <c:ptCount val="2"/>
                <c:pt idx="0">
                  <c:v>Razon corriente - Razón circulante - 
Razón de solvencia - Razón de 
disponibilidad</c:v>
                </c:pt>
                <c:pt idx="1">
                  <c:v>Prueba ácida o coeficiente liquidez</c:v>
                </c:pt>
              </c:strCache>
            </c:strRef>
          </c:cat>
          <c:val>
            <c:numRef>
              <c:f>Liquidez!$J$35:$J$36</c:f>
              <c:numCache>
                <c:formatCode>0.00</c:formatCode>
                <c:ptCount val="2"/>
                <c:pt idx="0">
                  <c:v>1.2787576283806221</c:v>
                </c:pt>
                <c:pt idx="1">
                  <c:v>1.0998745593520216</c:v>
                </c:pt>
              </c:numCache>
            </c:numRef>
          </c:val>
          <c:extLst>
            <c:ext xmlns:c16="http://schemas.microsoft.com/office/drawing/2014/chart" uri="{C3380CC4-5D6E-409C-BE32-E72D297353CC}">
              <c16:uniqueId val="{00000002-3A0E-4B4B-84DA-D9ABA503CDEF}"/>
            </c:ext>
          </c:extLst>
        </c:ser>
        <c:dLbls>
          <c:showLegendKey val="0"/>
          <c:showVal val="0"/>
          <c:showCatName val="0"/>
          <c:showSerName val="0"/>
          <c:showPercent val="0"/>
          <c:showBubbleSize val="0"/>
        </c:dLbls>
        <c:gapWidth val="150"/>
        <c:shape val="box"/>
        <c:axId val="415947392"/>
        <c:axId val="415948480"/>
        <c:axId val="0"/>
      </c:bar3DChart>
      <c:catAx>
        <c:axId val="4159473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48480"/>
        <c:crosses val="autoZero"/>
        <c:auto val="1"/>
        <c:lblAlgn val="ctr"/>
        <c:lblOffset val="100"/>
        <c:noMultiLvlLbl val="0"/>
      </c:catAx>
      <c:valAx>
        <c:axId val="415948480"/>
        <c:scaling>
          <c:orientation val="minMax"/>
        </c:scaling>
        <c:delete val="0"/>
        <c:axPos val="l"/>
        <c:majorGridlines/>
        <c:numFmt formatCode="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5947392"/>
        <c:crosses val="autoZero"/>
        <c:crossBetween val="between"/>
      </c:valAx>
      <c:dTable>
        <c:showHorzBorder val="1"/>
        <c:showVertBorder val="1"/>
        <c:showOutline val="1"/>
        <c:showKeys val="1"/>
        <c:txPr>
          <a:bodyPr/>
          <a:lstStyle/>
          <a:p>
            <a:pPr rtl="0">
              <a:defRPr sz="1000" b="0" i="0" u="none" strike="noStrike" baseline="0">
                <a:solidFill>
                  <a:srgbClr val="000000"/>
                </a:solidFill>
                <a:latin typeface="Calibri"/>
                <a:ea typeface="Calibri"/>
                <a:cs typeface="Calibri"/>
              </a:defRPr>
            </a:pPr>
            <a:endParaRPr lang="es-CO"/>
          </a:p>
        </c:txPr>
      </c:dTable>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89" l="0.70000000000000062" r="0.70000000000000062" t="0.75000000000000089"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Liquidez!$E$39</c:f>
              <c:strCache>
                <c:ptCount val="1"/>
                <c:pt idx="0">
                  <c:v>2018</c:v>
                </c:pt>
              </c:strCache>
            </c:strRef>
          </c:tx>
          <c:invertIfNegative val="0"/>
          <c:cat>
            <c:strRef>
              <c:f>Liquidez!$D$40:$D$43</c:f>
              <c:strCache>
                <c:ptCount val="4"/>
                <c:pt idx="0">
                  <c:v>KT</c:v>
                </c:pt>
                <c:pt idx="1">
                  <c:v>KTN</c:v>
                </c:pt>
                <c:pt idx="2">
                  <c:v>KTO</c:v>
                </c:pt>
                <c:pt idx="3">
                  <c:v>KTNO</c:v>
                </c:pt>
              </c:strCache>
            </c:strRef>
          </c:cat>
          <c:val>
            <c:numRef>
              <c:f>Liquidez!$E$40:$E$43</c:f>
              <c:numCache>
                <c:formatCode>#,##0</c:formatCode>
                <c:ptCount val="4"/>
                <c:pt idx="0">
                  <c:v>5700250510</c:v>
                </c:pt>
                <c:pt idx="1">
                  <c:v>2850720817.5133338</c:v>
                </c:pt>
                <c:pt idx="2">
                  <c:v>5436187921</c:v>
                </c:pt>
                <c:pt idx="3">
                  <c:v>5147647794</c:v>
                </c:pt>
              </c:numCache>
            </c:numRef>
          </c:val>
          <c:extLst>
            <c:ext xmlns:c16="http://schemas.microsoft.com/office/drawing/2014/chart" uri="{C3380CC4-5D6E-409C-BE32-E72D297353CC}">
              <c16:uniqueId val="{00000000-4391-4B4B-91A7-3385BF55E2BF}"/>
            </c:ext>
          </c:extLst>
        </c:ser>
        <c:ser>
          <c:idx val="1"/>
          <c:order val="1"/>
          <c:tx>
            <c:strRef>
              <c:f>Liquidez!$F$39</c:f>
              <c:strCache>
                <c:ptCount val="1"/>
                <c:pt idx="0">
                  <c:v>2019</c:v>
                </c:pt>
              </c:strCache>
            </c:strRef>
          </c:tx>
          <c:invertIfNegative val="0"/>
          <c:cat>
            <c:strRef>
              <c:f>Liquidez!$D$40:$D$43</c:f>
              <c:strCache>
                <c:ptCount val="4"/>
                <c:pt idx="0">
                  <c:v>KT</c:v>
                </c:pt>
                <c:pt idx="1">
                  <c:v>KTN</c:v>
                </c:pt>
                <c:pt idx="2">
                  <c:v>KTO</c:v>
                </c:pt>
                <c:pt idx="3">
                  <c:v>KTNO</c:v>
                </c:pt>
              </c:strCache>
            </c:strRef>
          </c:cat>
          <c:val>
            <c:numRef>
              <c:f>Liquidez!$F$40:$F$43</c:f>
              <c:numCache>
                <c:formatCode>#,##0</c:formatCode>
                <c:ptCount val="4"/>
                <c:pt idx="0">
                  <c:v>5615556471</c:v>
                </c:pt>
                <c:pt idx="1">
                  <c:v>2559988621.1999998</c:v>
                </c:pt>
                <c:pt idx="2">
                  <c:v>4318426842</c:v>
                </c:pt>
                <c:pt idx="3">
                  <c:v>3863410859</c:v>
                </c:pt>
              </c:numCache>
            </c:numRef>
          </c:val>
          <c:extLst>
            <c:ext xmlns:c16="http://schemas.microsoft.com/office/drawing/2014/chart" uri="{C3380CC4-5D6E-409C-BE32-E72D297353CC}">
              <c16:uniqueId val="{00000001-4391-4B4B-91A7-3385BF55E2BF}"/>
            </c:ext>
          </c:extLst>
        </c:ser>
        <c:ser>
          <c:idx val="3"/>
          <c:order val="2"/>
          <c:tx>
            <c:strRef>
              <c:f>Liquidez!$G$39</c:f>
              <c:strCache>
                <c:ptCount val="1"/>
                <c:pt idx="0">
                  <c:v>2020</c:v>
                </c:pt>
              </c:strCache>
            </c:strRef>
          </c:tx>
          <c:invertIfNegative val="0"/>
          <c:cat>
            <c:strRef>
              <c:f>Liquidez!$D$40:$D$43</c:f>
              <c:strCache>
                <c:ptCount val="4"/>
                <c:pt idx="0">
                  <c:v>KT</c:v>
                </c:pt>
                <c:pt idx="1">
                  <c:v>KTN</c:v>
                </c:pt>
                <c:pt idx="2">
                  <c:v>KTO</c:v>
                </c:pt>
                <c:pt idx="3">
                  <c:v>KTNO</c:v>
                </c:pt>
              </c:strCache>
            </c:strRef>
          </c:cat>
          <c:val>
            <c:numRef>
              <c:f>Liquidez!$G$40:$G$43</c:f>
              <c:numCache>
                <c:formatCode>#,##0</c:formatCode>
                <c:ptCount val="4"/>
                <c:pt idx="0">
                  <c:v>8525446370</c:v>
                </c:pt>
                <c:pt idx="1">
                  <c:v>4516334092.8000002</c:v>
                </c:pt>
                <c:pt idx="2">
                  <c:v>5863106513</c:v>
                </c:pt>
                <c:pt idx="3">
                  <c:v>5630348767</c:v>
                </c:pt>
              </c:numCache>
            </c:numRef>
          </c:val>
          <c:extLst>
            <c:ext xmlns:c16="http://schemas.microsoft.com/office/drawing/2014/chart" uri="{C3380CC4-5D6E-409C-BE32-E72D297353CC}">
              <c16:uniqueId val="{00000001-4BB7-46FC-8EE0-E26F316FB0A5}"/>
            </c:ext>
          </c:extLst>
        </c:ser>
        <c:ser>
          <c:idx val="2"/>
          <c:order val="3"/>
          <c:tx>
            <c:strRef>
              <c:f>Liquidez!$H$39</c:f>
              <c:strCache>
                <c:ptCount val="1"/>
                <c:pt idx="0">
                  <c:v>2021</c:v>
                </c:pt>
              </c:strCache>
            </c:strRef>
          </c:tx>
          <c:invertIfNegative val="0"/>
          <c:cat>
            <c:strRef>
              <c:f>Liquidez!$D$40:$D$43</c:f>
              <c:strCache>
                <c:ptCount val="4"/>
                <c:pt idx="0">
                  <c:v>KT</c:v>
                </c:pt>
                <c:pt idx="1">
                  <c:v>KTN</c:v>
                </c:pt>
                <c:pt idx="2">
                  <c:v>KTO</c:v>
                </c:pt>
                <c:pt idx="3">
                  <c:v>KTNO</c:v>
                </c:pt>
              </c:strCache>
            </c:strRef>
          </c:cat>
          <c:val>
            <c:numRef>
              <c:f>Liquidez!$H$40:$H$43</c:f>
              <c:numCache>
                <c:formatCode>#,##0</c:formatCode>
                <c:ptCount val="4"/>
                <c:pt idx="0">
                  <c:v>8627541714</c:v>
                </c:pt>
                <c:pt idx="1">
                  <c:v>2151733974.3999996</c:v>
                </c:pt>
                <c:pt idx="2">
                  <c:v>5918959015</c:v>
                </c:pt>
                <c:pt idx="3">
                  <c:v>5204892612</c:v>
                </c:pt>
              </c:numCache>
            </c:numRef>
          </c:val>
          <c:extLst>
            <c:ext xmlns:c16="http://schemas.microsoft.com/office/drawing/2014/chart" uri="{C3380CC4-5D6E-409C-BE32-E72D297353CC}">
              <c16:uniqueId val="{00000002-4391-4B4B-91A7-3385BF55E2BF}"/>
            </c:ext>
          </c:extLst>
        </c:ser>
        <c:ser>
          <c:idx val="4"/>
          <c:order val="4"/>
          <c:tx>
            <c:strRef>
              <c:f>Liquidez!$I$39</c:f>
              <c:strCache>
                <c:ptCount val="1"/>
                <c:pt idx="0">
                  <c:v>2022</c:v>
                </c:pt>
              </c:strCache>
            </c:strRef>
          </c:tx>
          <c:invertIfNegative val="0"/>
          <c:cat>
            <c:strRef>
              <c:f>Liquidez!$D$40:$D$43</c:f>
              <c:strCache>
                <c:ptCount val="4"/>
                <c:pt idx="0">
                  <c:v>KT</c:v>
                </c:pt>
                <c:pt idx="1">
                  <c:v>KTN</c:v>
                </c:pt>
                <c:pt idx="2">
                  <c:v>KTO</c:v>
                </c:pt>
                <c:pt idx="3">
                  <c:v>KTNO</c:v>
                </c:pt>
              </c:strCache>
            </c:strRef>
          </c:cat>
          <c:val>
            <c:numRef>
              <c:f>Liquidez!$I$40:$I$43</c:f>
              <c:numCache>
                <c:formatCode>#,##0</c:formatCode>
                <c:ptCount val="4"/>
                <c:pt idx="0">
                  <c:v>9650241817</c:v>
                </c:pt>
                <c:pt idx="1">
                  <c:v>2612649638.8304977</c:v>
                </c:pt>
                <c:pt idx="2">
                  <c:v>5557529829</c:v>
                </c:pt>
                <c:pt idx="3">
                  <c:v>4628809014</c:v>
                </c:pt>
              </c:numCache>
            </c:numRef>
          </c:val>
          <c:extLst>
            <c:ext xmlns:c16="http://schemas.microsoft.com/office/drawing/2014/chart" uri="{C3380CC4-5D6E-409C-BE32-E72D297353CC}">
              <c16:uniqueId val="{00000001-A781-4DCC-8492-651211119552}"/>
            </c:ext>
          </c:extLst>
        </c:ser>
        <c:ser>
          <c:idx val="5"/>
          <c:order val="5"/>
          <c:tx>
            <c:strRef>
              <c:f>Liquidez!$J$39</c:f>
              <c:strCache>
                <c:ptCount val="1"/>
                <c:pt idx="0">
                  <c:v>2023</c:v>
                </c:pt>
              </c:strCache>
            </c:strRef>
          </c:tx>
          <c:invertIfNegative val="0"/>
          <c:cat>
            <c:strRef>
              <c:f>Liquidez!$D$40:$D$43</c:f>
              <c:strCache>
                <c:ptCount val="4"/>
                <c:pt idx="0">
                  <c:v>KT</c:v>
                </c:pt>
                <c:pt idx="1">
                  <c:v>KTN</c:v>
                </c:pt>
                <c:pt idx="2">
                  <c:v>KTO</c:v>
                </c:pt>
                <c:pt idx="3">
                  <c:v>KTNO</c:v>
                </c:pt>
              </c:strCache>
            </c:strRef>
          </c:cat>
          <c:val>
            <c:numRef>
              <c:f>Liquidez!$J$40:$J$43</c:f>
              <c:numCache>
                <c:formatCode>#,##0</c:formatCode>
                <c:ptCount val="4"/>
                <c:pt idx="0">
                  <c:v>14699528109</c:v>
                </c:pt>
                <c:pt idx="1">
                  <c:v>3204364535.5752106</c:v>
                </c:pt>
                <c:pt idx="2">
                  <c:v>10546336326</c:v>
                </c:pt>
                <c:pt idx="3">
                  <c:v>8453230341</c:v>
                </c:pt>
              </c:numCache>
            </c:numRef>
          </c:val>
          <c:extLst>
            <c:ext xmlns:c16="http://schemas.microsoft.com/office/drawing/2014/chart" uri="{C3380CC4-5D6E-409C-BE32-E72D297353CC}">
              <c16:uniqueId val="{00000002-A781-4DCC-8492-651211119552}"/>
            </c:ext>
          </c:extLst>
        </c:ser>
        <c:dLbls>
          <c:showLegendKey val="0"/>
          <c:showVal val="0"/>
          <c:showCatName val="0"/>
          <c:showSerName val="0"/>
          <c:showPercent val="0"/>
          <c:showBubbleSize val="0"/>
        </c:dLbls>
        <c:gapWidth val="150"/>
        <c:shape val="cylinder"/>
        <c:axId val="413746496"/>
        <c:axId val="413745408"/>
        <c:axId val="0"/>
      </c:bar3DChart>
      <c:catAx>
        <c:axId val="41374649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45408"/>
        <c:crosses val="autoZero"/>
        <c:auto val="1"/>
        <c:lblAlgn val="ctr"/>
        <c:lblOffset val="100"/>
        <c:noMultiLvlLbl val="0"/>
      </c:catAx>
      <c:valAx>
        <c:axId val="413745408"/>
        <c:scaling>
          <c:orientation val="minMax"/>
        </c:scaling>
        <c:delete val="0"/>
        <c:axPos val="l"/>
        <c:majorGridlines/>
        <c:title>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746496"/>
        <c:crosses val="autoZero"/>
        <c:crossBetween val="between"/>
      </c:valAx>
      <c:dTable>
        <c:showHorzBorder val="1"/>
        <c:showVertBorder val="1"/>
        <c:showOutline val="1"/>
        <c:showKeys val="1"/>
      </c:dTable>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89" l="0.70000000000000062" r="0.70000000000000062" t="0.750000000000000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Cuentas de balance</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'Analisis metas'!$O$8</c:f>
              <c:strCache>
                <c:ptCount val="1"/>
                <c:pt idx="0">
                  <c:v>Activos</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metas'!$P$8:$U$8</c:f>
              <c:numCache>
                <c:formatCode>#,##0</c:formatCode>
                <c:ptCount val="6"/>
                <c:pt idx="0">
                  <c:v>8957294765</c:v>
                </c:pt>
                <c:pt idx="1">
                  <c:v>10528589969.5</c:v>
                </c:pt>
                <c:pt idx="2">
                  <c:v>14239007523.5</c:v>
                </c:pt>
                <c:pt idx="3">
                  <c:v>18426335135.5</c:v>
                </c:pt>
                <c:pt idx="4">
                  <c:v>19905367721</c:v>
                </c:pt>
                <c:pt idx="5">
                  <c:v>26526661794</c:v>
                </c:pt>
              </c:numCache>
            </c:numRef>
          </c:val>
          <c:extLst>
            <c:ext xmlns:c16="http://schemas.microsoft.com/office/drawing/2014/chart" uri="{C3380CC4-5D6E-409C-BE32-E72D297353CC}">
              <c16:uniqueId val="{00000000-E7D0-49D7-9ABF-C6FC6075D320}"/>
            </c:ext>
          </c:extLst>
        </c:ser>
        <c:ser>
          <c:idx val="1"/>
          <c:order val="1"/>
          <c:tx>
            <c:strRef>
              <c:f>'Analisis metas'!$O$9</c:f>
              <c:strCache>
                <c:ptCount val="1"/>
                <c:pt idx="0">
                  <c:v>Pasivos</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metas'!$P$9:$U$9</c:f>
              <c:numCache>
                <c:formatCode>#,##0</c:formatCode>
                <c:ptCount val="6"/>
                <c:pt idx="0">
                  <c:v>4361547849.7866659</c:v>
                </c:pt>
                <c:pt idx="1">
                  <c:v>5631265134</c:v>
                </c:pt>
                <c:pt idx="2">
                  <c:v>6390307082</c:v>
                </c:pt>
                <c:pt idx="3">
                  <c:v>9977532296</c:v>
                </c:pt>
                <c:pt idx="4">
                  <c:v>11024327653.269503</c:v>
                </c:pt>
                <c:pt idx="5">
                  <c:v>16520220126.024788</c:v>
                </c:pt>
              </c:numCache>
            </c:numRef>
          </c:val>
          <c:extLst>
            <c:ext xmlns:c16="http://schemas.microsoft.com/office/drawing/2014/chart" uri="{C3380CC4-5D6E-409C-BE32-E72D297353CC}">
              <c16:uniqueId val="{00000001-E7D0-49D7-9ABF-C6FC6075D320}"/>
            </c:ext>
          </c:extLst>
        </c:ser>
        <c:ser>
          <c:idx val="2"/>
          <c:order val="2"/>
          <c:tx>
            <c:strRef>
              <c:f>'Analisis metas'!$O$10</c:f>
              <c:strCache>
                <c:ptCount val="1"/>
                <c:pt idx="0">
                  <c:v>Patrimonio</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metas'!$P$10:$U$10</c:f>
              <c:numCache>
                <c:formatCode>#,##0</c:formatCode>
                <c:ptCount val="6"/>
                <c:pt idx="0">
                  <c:v>4595746915.2133341</c:v>
                </c:pt>
                <c:pt idx="1">
                  <c:v>4897324835.499999</c:v>
                </c:pt>
                <c:pt idx="2">
                  <c:v>7848700441.5</c:v>
                </c:pt>
                <c:pt idx="3">
                  <c:v>8448802839.499999</c:v>
                </c:pt>
                <c:pt idx="4">
                  <c:v>8881040067.7304974</c:v>
                </c:pt>
                <c:pt idx="5">
                  <c:v>10006441667.975208</c:v>
                </c:pt>
              </c:numCache>
            </c:numRef>
          </c:val>
          <c:extLst>
            <c:ext xmlns:c16="http://schemas.microsoft.com/office/drawing/2014/chart" uri="{C3380CC4-5D6E-409C-BE32-E72D297353CC}">
              <c16:uniqueId val="{00000002-E7D0-49D7-9ABF-C6FC6075D320}"/>
            </c:ext>
          </c:extLst>
        </c:ser>
        <c:dLbls>
          <c:showLegendKey val="0"/>
          <c:showVal val="0"/>
          <c:showCatName val="0"/>
          <c:showSerName val="0"/>
          <c:showPercent val="0"/>
          <c:showBubbleSize val="0"/>
        </c:dLbls>
        <c:gapWidth val="75"/>
        <c:shape val="cylinder"/>
        <c:axId val="413754656"/>
        <c:axId val="416505232"/>
        <c:axId val="0"/>
      </c:bar3DChart>
      <c:catAx>
        <c:axId val="41375465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05232"/>
        <c:crosses val="autoZero"/>
        <c:auto val="1"/>
        <c:lblAlgn val="ctr"/>
        <c:lblOffset val="100"/>
        <c:noMultiLvlLbl val="0"/>
      </c:catAx>
      <c:valAx>
        <c:axId val="416505232"/>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3754656"/>
        <c:crosses val="autoZero"/>
        <c:crossBetween val="between"/>
      </c:valAx>
      <c:spPr>
        <a:noFill/>
        <a:ln w="25400">
          <a:noFill/>
        </a:ln>
      </c:spPr>
    </c:plotArea>
    <c:legend>
      <c:legendPos val="b"/>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Composición de los activos</a:t>
            </a:r>
          </a:p>
        </c:rich>
      </c:tx>
      <c:overlay val="0"/>
    </c:title>
    <c:autoTitleDeleted val="0"/>
    <c:plotArea>
      <c:layout>
        <c:manualLayout>
          <c:layoutTarget val="inner"/>
          <c:xMode val="edge"/>
          <c:yMode val="edge"/>
          <c:x val="0.13658536585365855"/>
          <c:y val="0.23045267489711935"/>
          <c:w val="0.82439024390243898"/>
          <c:h val="0.47325102880658437"/>
        </c:manualLayout>
      </c:layout>
      <c:barChart>
        <c:barDir val="col"/>
        <c:grouping val="percentStacked"/>
        <c:varyColors val="0"/>
        <c:ser>
          <c:idx val="0"/>
          <c:order val="0"/>
          <c:tx>
            <c:strRef>
              <c:f>'Analisis metas'!$O$12</c:f>
              <c:strCache>
                <c:ptCount val="1"/>
                <c:pt idx="0">
                  <c:v>Activo corriente</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metas'!$P$12:$U$12</c:f>
              <c:numCache>
                <c:formatCode>#,##0</c:formatCode>
                <c:ptCount val="6"/>
                <c:pt idx="0">
                  <c:v>5700250510</c:v>
                </c:pt>
                <c:pt idx="1">
                  <c:v>5615556471</c:v>
                </c:pt>
                <c:pt idx="2">
                  <c:v>8525446370</c:v>
                </c:pt>
                <c:pt idx="3">
                  <c:v>8627541714</c:v>
                </c:pt>
                <c:pt idx="4">
                  <c:v>9650241817</c:v>
                </c:pt>
                <c:pt idx="5">
                  <c:v>14699528109</c:v>
                </c:pt>
              </c:numCache>
            </c:numRef>
          </c:val>
          <c:extLst>
            <c:ext xmlns:c16="http://schemas.microsoft.com/office/drawing/2014/chart" uri="{C3380CC4-5D6E-409C-BE32-E72D297353CC}">
              <c16:uniqueId val="{00000000-DCC6-414E-834B-16AFC8D6446D}"/>
            </c:ext>
          </c:extLst>
        </c:ser>
        <c:ser>
          <c:idx val="1"/>
          <c:order val="1"/>
          <c:tx>
            <c:strRef>
              <c:f>'Analisis metas'!$O$13</c:f>
              <c:strCache>
                <c:ptCount val="1"/>
                <c:pt idx="0">
                  <c:v>Activo largo plazo</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metas'!$P$13:$U$13</c:f>
              <c:numCache>
                <c:formatCode>#,##0</c:formatCode>
                <c:ptCount val="6"/>
                <c:pt idx="0">
                  <c:v>3257044255</c:v>
                </c:pt>
                <c:pt idx="1">
                  <c:v>4913033498.5</c:v>
                </c:pt>
                <c:pt idx="2">
                  <c:v>5713561153.5</c:v>
                </c:pt>
                <c:pt idx="3">
                  <c:v>9798793421.5</c:v>
                </c:pt>
                <c:pt idx="4">
                  <c:v>10255125904</c:v>
                </c:pt>
                <c:pt idx="5">
                  <c:v>11827133685</c:v>
                </c:pt>
              </c:numCache>
            </c:numRef>
          </c:val>
          <c:extLst>
            <c:ext xmlns:c16="http://schemas.microsoft.com/office/drawing/2014/chart" uri="{C3380CC4-5D6E-409C-BE32-E72D297353CC}">
              <c16:uniqueId val="{00000001-DCC6-414E-834B-16AFC8D6446D}"/>
            </c:ext>
          </c:extLst>
        </c:ser>
        <c:dLbls>
          <c:showLegendKey val="0"/>
          <c:showVal val="0"/>
          <c:showCatName val="0"/>
          <c:showSerName val="0"/>
          <c:showPercent val="0"/>
          <c:showBubbleSize val="0"/>
        </c:dLbls>
        <c:gapWidth val="75"/>
        <c:overlap val="100"/>
        <c:axId val="416507408"/>
        <c:axId val="416506864"/>
      </c:barChart>
      <c:catAx>
        <c:axId val="4165074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06864"/>
        <c:crosses val="autoZero"/>
        <c:auto val="1"/>
        <c:lblAlgn val="ctr"/>
        <c:lblOffset val="100"/>
        <c:noMultiLvlLbl val="0"/>
      </c:catAx>
      <c:valAx>
        <c:axId val="416506864"/>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6507408"/>
        <c:crosses val="autoZero"/>
        <c:crossBetween val="between"/>
      </c:valAx>
    </c:plotArea>
    <c:legend>
      <c:legendPos val="b"/>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Composición de pasivo y patrimonio</a:t>
            </a:r>
          </a:p>
        </c:rich>
      </c:tx>
      <c:overlay val="0"/>
    </c:title>
    <c:autoTitleDeleted val="0"/>
    <c:plotArea>
      <c:layout/>
      <c:barChart>
        <c:barDir val="bar"/>
        <c:grouping val="percentStacked"/>
        <c:varyColors val="0"/>
        <c:ser>
          <c:idx val="0"/>
          <c:order val="0"/>
          <c:tx>
            <c:strRef>
              <c:f>'Analisis metas'!$O$15</c:f>
              <c:strCache>
                <c:ptCount val="1"/>
                <c:pt idx="0">
                  <c:v>Pasivo corriente</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metas'!$P$15:$U$15</c:f>
              <c:numCache>
                <c:formatCode>#,##0</c:formatCode>
                <c:ptCount val="6"/>
                <c:pt idx="0">
                  <c:v>2849529692.4866662</c:v>
                </c:pt>
                <c:pt idx="1">
                  <c:v>3055567849.8000002</c:v>
                </c:pt>
                <c:pt idx="2">
                  <c:v>4009112277.1999998</c:v>
                </c:pt>
                <c:pt idx="3">
                  <c:v>6475807739.6000004</c:v>
                </c:pt>
                <c:pt idx="4">
                  <c:v>7037592178.1695023</c:v>
                </c:pt>
                <c:pt idx="5">
                  <c:v>11495163573.424789</c:v>
                </c:pt>
              </c:numCache>
            </c:numRef>
          </c:val>
          <c:extLst>
            <c:ext xmlns:c16="http://schemas.microsoft.com/office/drawing/2014/chart" uri="{C3380CC4-5D6E-409C-BE32-E72D297353CC}">
              <c16:uniqueId val="{00000000-CF87-4596-9181-EF3561B02B88}"/>
            </c:ext>
          </c:extLst>
        </c:ser>
        <c:ser>
          <c:idx val="1"/>
          <c:order val="1"/>
          <c:tx>
            <c:strRef>
              <c:f>'Analisis metas'!$O$16</c:f>
              <c:strCache>
                <c:ptCount val="1"/>
                <c:pt idx="0">
                  <c:v>Pasivo largo plazo</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metas'!$P$16:$U$16</c:f>
              <c:numCache>
                <c:formatCode>#,##0</c:formatCode>
                <c:ptCount val="6"/>
                <c:pt idx="0">
                  <c:v>1512018157.3</c:v>
                </c:pt>
                <c:pt idx="1">
                  <c:v>2575697284.1999998</c:v>
                </c:pt>
                <c:pt idx="2">
                  <c:v>2381194804.7999997</c:v>
                </c:pt>
                <c:pt idx="3">
                  <c:v>3501724556.3999996</c:v>
                </c:pt>
                <c:pt idx="4">
                  <c:v>3986735475.0999999</c:v>
                </c:pt>
                <c:pt idx="5">
                  <c:v>5025056552.5999994</c:v>
                </c:pt>
              </c:numCache>
            </c:numRef>
          </c:val>
          <c:extLst>
            <c:ext xmlns:c16="http://schemas.microsoft.com/office/drawing/2014/chart" uri="{C3380CC4-5D6E-409C-BE32-E72D297353CC}">
              <c16:uniqueId val="{00000001-CF87-4596-9181-EF3561B02B88}"/>
            </c:ext>
          </c:extLst>
        </c:ser>
        <c:ser>
          <c:idx val="2"/>
          <c:order val="2"/>
          <c:tx>
            <c:strRef>
              <c:f>'Analisis metas'!$O$17</c:f>
              <c:strCache>
                <c:ptCount val="1"/>
                <c:pt idx="0">
                  <c:v>Patrimonio</c:v>
                </c:pt>
              </c:strCache>
            </c:strRef>
          </c:tx>
          <c:invertIfNegative val="0"/>
          <c:cat>
            <c:numRef>
              <c:f>'Analisis metas'!$P$6:$U$6</c:f>
              <c:numCache>
                <c:formatCode>General</c:formatCode>
                <c:ptCount val="6"/>
                <c:pt idx="0">
                  <c:v>2018</c:v>
                </c:pt>
                <c:pt idx="1">
                  <c:v>2019</c:v>
                </c:pt>
                <c:pt idx="2">
                  <c:v>2020</c:v>
                </c:pt>
                <c:pt idx="3">
                  <c:v>2021</c:v>
                </c:pt>
                <c:pt idx="4">
                  <c:v>2022</c:v>
                </c:pt>
                <c:pt idx="5">
                  <c:v>2023</c:v>
                </c:pt>
              </c:numCache>
            </c:numRef>
          </c:cat>
          <c:val>
            <c:numRef>
              <c:f>'Analisis metas'!$P$17:$U$17</c:f>
              <c:numCache>
                <c:formatCode>#,##0</c:formatCode>
                <c:ptCount val="6"/>
                <c:pt idx="0">
                  <c:v>4595746915.2133341</c:v>
                </c:pt>
                <c:pt idx="1">
                  <c:v>4897324835.499999</c:v>
                </c:pt>
                <c:pt idx="2">
                  <c:v>7848700441.5</c:v>
                </c:pt>
                <c:pt idx="3">
                  <c:v>8448802839.499999</c:v>
                </c:pt>
                <c:pt idx="4">
                  <c:v>8881040067.7304974</c:v>
                </c:pt>
                <c:pt idx="5">
                  <c:v>10006441667.975208</c:v>
                </c:pt>
              </c:numCache>
            </c:numRef>
          </c:val>
          <c:extLst>
            <c:ext xmlns:c16="http://schemas.microsoft.com/office/drawing/2014/chart" uri="{C3380CC4-5D6E-409C-BE32-E72D297353CC}">
              <c16:uniqueId val="{00000002-CF87-4596-9181-EF3561B02B88}"/>
            </c:ext>
          </c:extLst>
        </c:ser>
        <c:dLbls>
          <c:showLegendKey val="0"/>
          <c:showVal val="0"/>
          <c:showCatName val="0"/>
          <c:showSerName val="0"/>
          <c:showPercent val="0"/>
          <c:showBubbleSize val="0"/>
        </c:dLbls>
        <c:gapWidth val="75"/>
        <c:overlap val="100"/>
        <c:axId val="416505776"/>
        <c:axId val="416506320"/>
      </c:barChart>
      <c:catAx>
        <c:axId val="416505776"/>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06320"/>
        <c:crosses val="autoZero"/>
        <c:auto val="1"/>
        <c:lblAlgn val="ctr"/>
        <c:lblOffset val="100"/>
        <c:noMultiLvlLbl val="0"/>
      </c:catAx>
      <c:valAx>
        <c:axId val="416506320"/>
        <c:scaling>
          <c:orientation val="minMax"/>
        </c:scaling>
        <c:delete val="0"/>
        <c:axPos val="b"/>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6505776"/>
        <c:crosses val="autoZero"/>
        <c:crossBetween val="between"/>
      </c:valAx>
    </c:plotArea>
    <c:legend>
      <c:legendPos val="b"/>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b="1" i="0" u="none" strike="noStrike" baseline="0">
              <a:solidFill>
                <a:srgbClr val="000000"/>
              </a:solidFill>
              <a:latin typeface="Calibri"/>
              <a:ea typeface="Calibri"/>
              <a:cs typeface="Calibri"/>
            </a:defRPr>
          </a:pPr>
          <a:endParaRPr lang="es-CO"/>
        </a:p>
      </c:txPr>
    </c:title>
    <c:autoTitleDeleted val="0"/>
    <c:view3D>
      <c:rotX val="30"/>
      <c:rotY val="0"/>
      <c:rAngAx val="0"/>
    </c:view3D>
    <c:floor>
      <c:thickness val="0"/>
    </c:floor>
    <c:sideWall>
      <c:thickness val="0"/>
    </c:sideWall>
    <c:backWall>
      <c:thickness val="0"/>
    </c:backWall>
    <c:plotArea>
      <c:layout/>
      <c:pie3DChart>
        <c:varyColors val="1"/>
        <c:ser>
          <c:idx val="0"/>
          <c:order val="0"/>
          <c:tx>
            <c:strRef>
              <c:f>'Resumen balance'!$B$63</c:f>
              <c:strCache>
                <c:ptCount val="1"/>
                <c:pt idx="0">
                  <c:v>2018</c:v>
                </c:pt>
              </c:strCache>
            </c:strRef>
          </c:tx>
          <c:dPt>
            <c:idx val="0"/>
            <c:bubble3D val="0"/>
            <c:extLst>
              <c:ext xmlns:c16="http://schemas.microsoft.com/office/drawing/2014/chart" uri="{C3380CC4-5D6E-409C-BE32-E72D297353CC}">
                <c16:uniqueId val="{00000000-863F-4666-8F7C-1CEDDF5435FA}"/>
              </c:ext>
            </c:extLst>
          </c:dPt>
          <c:dPt>
            <c:idx val="1"/>
            <c:bubble3D val="0"/>
            <c:extLst>
              <c:ext xmlns:c16="http://schemas.microsoft.com/office/drawing/2014/chart" uri="{C3380CC4-5D6E-409C-BE32-E72D297353CC}">
                <c16:uniqueId val="{00000001-863F-4666-8F7C-1CEDDF5435FA}"/>
              </c:ext>
            </c:extLst>
          </c:dPt>
          <c:dLbls>
            <c:dLbl>
              <c:idx val="0"/>
              <c:layout>
                <c:manualLayout>
                  <c:x val="-0.17998592729100354"/>
                  <c:y val="-0.267902072982121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63F-4666-8F7C-1CEDDF5435FA}"/>
                </c:ext>
              </c:extLst>
            </c:dLbl>
            <c:dLbl>
              <c:idx val="1"/>
              <c:layout>
                <c:manualLayout>
                  <c:x val="-5.7639135533590229E-2"/>
                  <c:y val="-3.685941468881276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63F-4666-8F7C-1CEDDF5435FA}"/>
                </c:ext>
              </c:extLst>
            </c:dLbl>
            <c:dLbl>
              <c:idx val="2"/>
              <c:layout>
                <c:manualLayout>
                  <c:x val="0.23467962249399668"/>
                  <c:y val="-0.1052610090405368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63F-4666-8F7C-1CEDDF5435FA}"/>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balance'!$A$67:$A$68</c:f>
              <c:strCache>
                <c:ptCount val="2"/>
                <c:pt idx="0">
                  <c:v>ACTIVO NO CORRIENTE</c:v>
                </c:pt>
                <c:pt idx="1">
                  <c:v>ACTIVO CORRIENTE</c:v>
                </c:pt>
              </c:strCache>
            </c:strRef>
          </c:cat>
          <c:val>
            <c:numRef>
              <c:f>'Resumen balance'!$B$67:$B$68</c:f>
              <c:numCache>
                <c:formatCode>0%</c:formatCode>
                <c:ptCount val="2"/>
                <c:pt idx="0">
                  <c:v>0.36361918865578385</c:v>
                </c:pt>
                <c:pt idx="1">
                  <c:v>0.6363808113442162</c:v>
                </c:pt>
              </c:numCache>
            </c:numRef>
          </c:val>
          <c:extLst>
            <c:ext xmlns:c16="http://schemas.microsoft.com/office/drawing/2014/chart" uri="{C3380CC4-5D6E-409C-BE32-E72D297353CC}">
              <c16:uniqueId val="{00000003-863F-4666-8F7C-1CEDDF5435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Ingresos - Egresos y Utilidad</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'Analisis metas'!$P$6</c:f>
              <c:strCache>
                <c:ptCount val="1"/>
                <c:pt idx="0">
                  <c:v>2018</c:v>
                </c:pt>
              </c:strCache>
            </c:strRef>
          </c:tx>
          <c:invertIfNegative val="0"/>
          <c:cat>
            <c:strRef>
              <c:f>('Analisis metas'!$O$23,'Analisis metas'!$O$24,'Analisis metas'!$O$26,'Analisis metas'!$O$27)</c:f>
              <c:strCache>
                <c:ptCount val="4"/>
                <c:pt idx="0">
                  <c:v>Total ingresos</c:v>
                </c:pt>
                <c:pt idx="1">
                  <c:v>Total egresos</c:v>
                </c:pt>
                <c:pt idx="2">
                  <c:v>Utilidad operativa</c:v>
                </c:pt>
                <c:pt idx="3">
                  <c:v>Utilidad neta</c:v>
                </c:pt>
              </c:strCache>
            </c:strRef>
          </c:cat>
          <c:val>
            <c:numRef>
              <c:f>('Analisis metas'!$P$23,'Analisis metas'!$P$24,'Analisis metas'!$P$26,'Analisis metas'!$P$27)</c:f>
              <c:numCache>
                <c:formatCode>#,##0</c:formatCode>
                <c:ptCount val="4"/>
                <c:pt idx="0">
                  <c:v>8985574090</c:v>
                </c:pt>
                <c:pt idx="1">
                  <c:v>8398682567.786665</c:v>
                </c:pt>
                <c:pt idx="2">
                  <c:v>942174148.19354105</c:v>
                </c:pt>
                <c:pt idx="3">
                  <c:v>586891522.21333396</c:v>
                </c:pt>
              </c:numCache>
            </c:numRef>
          </c:val>
          <c:extLst>
            <c:ext xmlns:c16="http://schemas.microsoft.com/office/drawing/2014/chart" uri="{C3380CC4-5D6E-409C-BE32-E72D297353CC}">
              <c16:uniqueId val="{00000000-43EF-4979-9D06-F8D941C63093}"/>
            </c:ext>
          </c:extLst>
        </c:ser>
        <c:ser>
          <c:idx val="1"/>
          <c:order val="1"/>
          <c:tx>
            <c:strRef>
              <c:f>'Analisis metas'!$Q$6</c:f>
              <c:strCache>
                <c:ptCount val="1"/>
                <c:pt idx="0">
                  <c:v>2019</c:v>
                </c:pt>
              </c:strCache>
            </c:strRef>
          </c:tx>
          <c:invertIfNegative val="0"/>
          <c:cat>
            <c:strRef>
              <c:f>('Analisis metas'!$O$23,'Analisis metas'!$O$24,'Analisis metas'!$O$26,'Analisis metas'!$O$27)</c:f>
              <c:strCache>
                <c:ptCount val="4"/>
                <c:pt idx="0">
                  <c:v>Total ingresos</c:v>
                </c:pt>
                <c:pt idx="1">
                  <c:v>Total egresos</c:v>
                </c:pt>
                <c:pt idx="2">
                  <c:v>Utilidad operativa</c:v>
                </c:pt>
                <c:pt idx="3">
                  <c:v>Utilidad neta</c:v>
                </c:pt>
              </c:strCache>
            </c:strRef>
          </c:cat>
          <c:val>
            <c:numRef>
              <c:f>('Analisis metas'!$Q$23,'Analisis metas'!$Q$24,'Analisis metas'!$Q$26,'Analisis metas'!$Q$27)</c:f>
              <c:numCache>
                <c:formatCode>#,##0</c:formatCode>
                <c:ptCount val="4"/>
                <c:pt idx="0">
                  <c:v>12000698614</c:v>
                </c:pt>
                <c:pt idx="1">
                  <c:v>11278889689.000002</c:v>
                </c:pt>
                <c:pt idx="2">
                  <c:v>1143461459.0406418</c:v>
                </c:pt>
                <c:pt idx="3">
                  <c:v>721808924.99999905</c:v>
                </c:pt>
              </c:numCache>
            </c:numRef>
          </c:val>
          <c:extLst>
            <c:ext xmlns:c16="http://schemas.microsoft.com/office/drawing/2014/chart" uri="{C3380CC4-5D6E-409C-BE32-E72D297353CC}">
              <c16:uniqueId val="{00000001-43EF-4979-9D06-F8D941C63093}"/>
            </c:ext>
          </c:extLst>
        </c:ser>
        <c:ser>
          <c:idx val="2"/>
          <c:order val="2"/>
          <c:tx>
            <c:strRef>
              <c:f>'Analisis metas'!$R$6</c:f>
              <c:strCache>
                <c:ptCount val="1"/>
                <c:pt idx="0">
                  <c:v>2020</c:v>
                </c:pt>
              </c:strCache>
            </c:strRef>
          </c:tx>
          <c:invertIfNegative val="0"/>
          <c:val>
            <c:numRef>
              <c:f>('Analisis metas'!$R$23:$R$24,'Analisis metas'!$R$26:$R$27)</c:f>
              <c:numCache>
                <c:formatCode>#,##0</c:formatCode>
                <c:ptCount val="4"/>
                <c:pt idx="0">
                  <c:v>19557454968</c:v>
                </c:pt>
                <c:pt idx="1">
                  <c:v>16948747360.999998</c:v>
                </c:pt>
                <c:pt idx="2">
                  <c:v>3546598517.8570542</c:v>
                </c:pt>
                <c:pt idx="3">
                  <c:v>2608707606.9999995</c:v>
                </c:pt>
              </c:numCache>
            </c:numRef>
          </c:val>
          <c:extLst>
            <c:ext xmlns:c16="http://schemas.microsoft.com/office/drawing/2014/chart" uri="{C3380CC4-5D6E-409C-BE32-E72D297353CC}">
              <c16:uniqueId val="{00000001-06BB-472A-8F03-B7BDC81D766A}"/>
            </c:ext>
          </c:extLst>
        </c:ser>
        <c:ser>
          <c:idx val="3"/>
          <c:order val="3"/>
          <c:tx>
            <c:strRef>
              <c:f>'Analisis metas'!$S$6</c:f>
              <c:strCache>
                <c:ptCount val="1"/>
                <c:pt idx="0">
                  <c:v>2021</c:v>
                </c:pt>
              </c:strCache>
            </c:strRef>
          </c:tx>
          <c:invertIfNegative val="0"/>
          <c:val>
            <c:numRef>
              <c:f>('Analisis metas'!$S$23:$S$24,'Analisis metas'!$S$26:$S$27)</c:f>
              <c:numCache>
                <c:formatCode>#,##0</c:formatCode>
                <c:ptCount val="4"/>
                <c:pt idx="0">
                  <c:v>23134865161</c:v>
                </c:pt>
                <c:pt idx="1">
                  <c:v>20928008938</c:v>
                </c:pt>
                <c:pt idx="2">
                  <c:v>2877761171.1699476</c:v>
                </c:pt>
                <c:pt idx="3">
                  <c:v>2206856222.999999</c:v>
                </c:pt>
              </c:numCache>
            </c:numRef>
          </c:val>
          <c:extLst>
            <c:ext xmlns:c16="http://schemas.microsoft.com/office/drawing/2014/chart" uri="{C3380CC4-5D6E-409C-BE32-E72D297353CC}">
              <c16:uniqueId val="{00000002-06BB-472A-8F03-B7BDC81D766A}"/>
            </c:ext>
          </c:extLst>
        </c:ser>
        <c:ser>
          <c:idx val="4"/>
          <c:order val="4"/>
          <c:tx>
            <c:strRef>
              <c:f>'Analisis metas'!$T$6</c:f>
              <c:strCache>
                <c:ptCount val="1"/>
                <c:pt idx="0">
                  <c:v>2022</c:v>
                </c:pt>
              </c:strCache>
            </c:strRef>
          </c:tx>
          <c:invertIfNegative val="0"/>
          <c:val>
            <c:numRef>
              <c:f>('Analisis metas'!$T$23:$T$24,'Analisis metas'!$T$26:$T$27)</c:f>
              <c:numCache>
                <c:formatCode>#,##0</c:formatCode>
                <c:ptCount val="4"/>
                <c:pt idx="0">
                  <c:v>29475179743</c:v>
                </c:pt>
                <c:pt idx="1">
                  <c:v>28209099423.269505</c:v>
                </c:pt>
                <c:pt idx="2">
                  <c:v>2503468334.6848335</c:v>
                </c:pt>
                <c:pt idx="3">
                  <c:v>1266080319.7304978</c:v>
                </c:pt>
              </c:numCache>
            </c:numRef>
          </c:val>
          <c:extLst>
            <c:ext xmlns:c16="http://schemas.microsoft.com/office/drawing/2014/chart" uri="{C3380CC4-5D6E-409C-BE32-E72D297353CC}">
              <c16:uniqueId val="{00000003-06BB-472A-8F03-B7BDC81D766A}"/>
            </c:ext>
          </c:extLst>
        </c:ser>
        <c:ser>
          <c:idx val="5"/>
          <c:order val="5"/>
          <c:tx>
            <c:strRef>
              <c:f>'Analisis metas'!$U$6</c:f>
              <c:strCache>
                <c:ptCount val="1"/>
                <c:pt idx="0">
                  <c:v>2023</c:v>
                </c:pt>
              </c:strCache>
            </c:strRef>
          </c:tx>
          <c:invertIfNegative val="0"/>
          <c:val>
            <c:numRef>
              <c:f>('Analisis metas'!$U$23:$U$24,'Analisis metas'!$U$26:$U$27)</c:f>
              <c:numCache>
                <c:formatCode>#,##0</c:formatCode>
                <c:ptCount val="4"/>
                <c:pt idx="0">
                  <c:v>34957732940</c:v>
                </c:pt>
                <c:pt idx="1">
                  <c:v>33895688468.024796</c:v>
                </c:pt>
                <c:pt idx="2">
                  <c:v>2584653589.8712711</c:v>
                </c:pt>
                <c:pt idx="3">
                  <c:v>1062044471.9752088</c:v>
                </c:pt>
              </c:numCache>
            </c:numRef>
          </c:val>
          <c:extLst>
            <c:ext xmlns:c16="http://schemas.microsoft.com/office/drawing/2014/chart" uri="{C3380CC4-5D6E-409C-BE32-E72D297353CC}">
              <c16:uniqueId val="{00000004-06BB-472A-8F03-B7BDC81D766A}"/>
            </c:ext>
          </c:extLst>
        </c:ser>
        <c:dLbls>
          <c:showLegendKey val="0"/>
          <c:showVal val="0"/>
          <c:showCatName val="0"/>
          <c:showSerName val="0"/>
          <c:showPercent val="0"/>
          <c:showBubbleSize val="0"/>
        </c:dLbls>
        <c:gapWidth val="75"/>
        <c:shape val="box"/>
        <c:axId val="416509040"/>
        <c:axId val="416511760"/>
        <c:axId val="0"/>
      </c:bar3DChart>
      <c:catAx>
        <c:axId val="41650904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11760"/>
        <c:crosses val="autoZero"/>
        <c:auto val="1"/>
        <c:lblAlgn val="ctr"/>
        <c:lblOffset val="100"/>
        <c:noMultiLvlLbl val="0"/>
      </c:catAx>
      <c:valAx>
        <c:axId val="416511760"/>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6509040"/>
        <c:crosses val="autoZero"/>
        <c:crossBetween val="between"/>
      </c:valAx>
      <c:spPr>
        <a:noFill/>
        <a:ln w="25400">
          <a:noFill/>
        </a:ln>
      </c:spPr>
    </c:plotArea>
    <c:legend>
      <c:legendPos val="b"/>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Cumplimiento meta de la liquidez</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'Analisis metas'!$O$36</c:f>
              <c:strCache>
                <c:ptCount val="1"/>
                <c:pt idx="0">
                  <c:v>Razon corriente</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'Analisis metas'!$P$30:$U$30</c:f>
              <c:numCache>
                <c:formatCode>General</c:formatCode>
                <c:ptCount val="6"/>
                <c:pt idx="0">
                  <c:v>2018</c:v>
                </c:pt>
                <c:pt idx="1">
                  <c:v>2019</c:v>
                </c:pt>
                <c:pt idx="2">
                  <c:v>2020</c:v>
                </c:pt>
                <c:pt idx="3">
                  <c:v>2021</c:v>
                </c:pt>
                <c:pt idx="4">
                  <c:v>2022</c:v>
                </c:pt>
                <c:pt idx="5">
                  <c:v>2023</c:v>
                </c:pt>
              </c:numCache>
            </c:numRef>
          </c:cat>
          <c:val>
            <c:numRef>
              <c:f>'Analisis metas'!$P$36:$U$36</c:f>
              <c:numCache>
                <c:formatCode>#,##0.00</c:formatCode>
                <c:ptCount val="6"/>
                <c:pt idx="0">
                  <c:v>2.0004180075855351</c:v>
                </c:pt>
                <c:pt idx="1">
                  <c:v>1.8378110868549562</c:v>
                </c:pt>
                <c:pt idx="2">
                  <c:v>2.1265172388622271</c:v>
                </c:pt>
                <c:pt idx="3">
                  <c:v>1.3322726771584033</c:v>
                </c:pt>
                <c:pt idx="4">
                  <c:v>1.3712419777512677</c:v>
                </c:pt>
                <c:pt idx="5">
                  <c:v>1.2787576283806221</c:v>
                </c:pt>
              </c:numCache>
            </c:numRef>
          </c:val>
          <c:extLst>
            <c:ext xmlns:c16="http://schemas.microsoft.com/office/drawing/2014/chart" uri="{C3380CC4-5D6E-409C-BE32-E72D297353CC}">
              <c16:uniqueId val="{00000000-CD89-4DF0-8537-F68695296766}"/>
            </c:ext>
          </c:extLst>
        </c:ser>
        <c:ser>
          <c:idx val="1"/>
          <c:order val="1"/>
          <c:tx>
            <c:strRef>
              <c:f>'Analisis metas'!$O$37</c:f>
              <c:strCache>
                <c:ptCount val="1"/>
                <c:pt idx="0">
                  <c:v>Prueba acida</c:v>
                </c:pt>
              </c:strCache>
            </c:strRef>
          </c:tx>
          <c:invertIfNegative val="0"/>
          <c:dLbls>
            <c:dLbl>
              <c:idx val="0"/>
              <c:layout>
                <c:manualLayout>
                  <c:x val="1.8390804597701121E-2"/>
                  <c:y val="-5.79710144927536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89-4DF0-8537-F68695296766}"/>
                </c:ext>
              </c:extLst>
            </c:dLbl>
            <c:dLbl>
              <c:idx val="1"/>
              <c:layout>
                <c:manualLayout>
                  <c:x val="1.532567049808429E-2"/>
                  <c:y val="-5.79710144927536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89-4DF0-8537-F68695296766}"/>
                </c:ext>
              </c:extLst>
            </c:dLbl>
            <c:dLbl>
              <c:idx val="2"/>
              <c:layout>
                <c:manualLayout>
                  <c:x val="1.8390804597701149E-2"/>
                  <c:y val="-2.3188405797101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89-4DF0-8537-F68695296766}"/>
                </c:ext>
              </c:extLst>
            </c:dLbl>
            <c:dLbl>
              <c:idx val="3"/>
              <c:layout>
                <c:manualLayout>
                  <c:x val="1.8390804597701149E-2"/>
                  <c:y val="-1.1594202898550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89-4DF0-8537-F68695296766}"/>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'Analisis metas'!$P$30:$U$30</c:f>
              <c:numCache>
                <c:formatCode>General</c:formatCode>
                <c:ptCount val="6"/>
                <c:pt idx="0">
                  <c:v>2018</c:v>
                </c:pt>
                <c:pt idx="1">
                  <c:v>2019</c:v>
                </c:pt>
                <c:pt idx="2">
                  <c:v>2020</c:v>
                </c:pt>
                <c:pt idx="3">
                  <c:v>2021</c:v>
                </c:pt>
                <c:pt idx="4">
                  <c:v>2022</c:v>
                </c:pt>
                <c:pt idx="5">
                  <c:v>2023</c:v>
                </c:pt>
              </c:numCache>
            </c:numRef>
          </c:cat>
          <c:val>
            <c:numRef>
              <c:f>'Analisis metas'!$P$37:$U$37</c:f>
              <c:numCache>
                <c:formatCode>#,##0.00</c:formatCode>
                <c:ptCount val="6"/>
                <c:pt idx="0">
                  <c:v>1.8148985285662889</c:v>
                </c:pt>
                <c:pt idx="1">
                  <c:v>1.5122311636125003</c:v>
                </c:pt>
                <c:pt idx="2">
                  <c:v>1.7888783528928403</c:v>
                </c:pt>
                <c:pt idx="3">
                  <c:v>1.1484993109847019</c:v>
                </c:pt>
                <c:pt idx="4">
                  <c:v>1.1310722165305158</c:v>
                </c:pt>
                <c:pt idx="5">
                  <c:v>1.0998745593520216</c:v>
                </c:pt>
              </c:numCache>
            </c:numRef>
          </c:val>
          <c:extLst>
            <c:ext xmlns:c16="http://schemas.microsoft.com/office/drawing/2014/chart" uri="{C3380CC4-5D6E-409C-BE32-E72D297353CC}">
              <c16:uniqueId val="{00000005-CD89-4DF0-8537-F68695296766}"/>
            </c:ext>
          </c:extLst>
        </c:ser>
        <c:dLbls>
          <c:showLegendKey val="0"/>
          <c:showVal val="0"/>
          <c:showCatName val="0"/>
          <c:showSerName val="0"/>
          <c:showPercent val="0"/>
          <c:showBubbleSize val="0"/>
        </c:dLbls>
        <c:gapWidth val="150"/>
        <c:shape val="cylinder"/>
        <c:axId val="416509584"/>
        <c:axId val="416503600"/>
        <c:axId val="0"/>
      </c:bar3DChart>
      <c:catAx>
        <c:axId val="41650958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03600"/>
        <c:crosses val="autoZero"/>
        <c:auto val="1"/>
        <c:lblAlgn val="ctr"/>
        <c:lblOffset val="100"/>
        <c:noMultiLvlLbl val="0"/>
      </c:catAx>
      <c:valAx>
        <c:axId val="416503600"/>
        <c:scaling>
          <c:orientation val="minMax"/>
        </c:scaling>
        <c:delete val="1"/>
        <c:axPos val="l"/>
        <c:numFmt formatCode="#,##0.00" sourceLinked="1"/>
        <c:majorTickMark val="out"/>
        <c:minorTickMark val="none"/>
        <c:tickLblPos val="nextTo"/>
        <c:crossAx val="416509584"/>
        <c:crosses val="autoZero"/>
        <c:crossBetween val="between"/>
      </c:valAx>
      <c:spPr>
        <a:noFill/>
        <a:ln w="25400">
          <a:noFill/>
        </a:ln>
      </c:spPr>
    </c:plotArea>
    <c:legend>
      <c:legendPos val="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Análisis ciclo de caja vs meta</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'Analisis metas'!$P$30</c:f>
              <c:strCache>
                <c:ptCount val="1"/>
                <c:pt idx="0">
                  <c:v>2018</c:v>
                </c:pt>
              </c:strCache>
            </c:strRef>
          </c:tx>
          <c:invertIfNegative val="0"/>
          <c:cat>
            <c:strRef>
              <c:f>'Analisis metas'!$O$38:$O$40</c:f>
              <c:strCache>
                <c:ptCount val="3"/>
                <c:pt idx="0">
                  <c:v>Dias cartera</c:v>
                </c:pt>
                <c:pt idx="1">
                  <c:v>Dias inventario</c:v>
                </c:pt>
                <c:pt idx="2">
                  <c:v>Dias proveedores</c:v>
                </c:pt>
              </c:strCache>
            </c:strRef>
          </c:cat>
          <c:val>
            <c:numRef>
              <c:f>'Analisis metas'!$P$38:$P$40</c:f>
              <c:numCache>
                <c:formatCode>#,##0</c:formatCode>
                <c:ptCount val="3"/>
                <c:pt idx="0">
                  <c:v>175.08437493148196</c:v>
                </c:pt>
                <c:pt idx="1">
                  <c:v>46.702795644858845</c:v>
                </c:pt>
                <c:pt idx="2">
                  <c:v>33.96675442928759</c:v>
                </c:pt>
              </c:numCache>
            </c:numRef>
          </c:val>
          <c:extLst>
            <c:ext xmlns:c16="http://schemas.microsoft.com/office/drawing/2014/chart" uri="{C3380CC4-5D6E-409C-BE32-E72D297353CC}">
              <c16:uniqueId val="{00000000-D3CE-4DD7-90AD-BB5E4CABE44F}"/>
            </c:ext>
          </c:extLst>
        </c:ser>
        <c:ser>
          <c:idx val="1"/>
          <c:order val="1"/>
          <c:tx>
            <c:strRef>
              <c:f>'Analisis metas'!$Q$30</c:f>
              <c:strCache>
                <c:ptCount val="1"/>
                <c:pt idx="0">
                  <c:v>2019</c:v>
                </c:pt>
              </c:strCache>
            </c:strRef>
          </c:tx>
          <c:invertIfNegative val="0"/>
          <c:cat>
            <c:strRef>
              <c:f>'Analisis metas'!$O$38:$O$40</c:f>
              <c:strCache>
                <c:ptCount val="3"/>
                <c:pt idx="0">
                  <c:v>Dias cartera</c:v>
                </c:pt>
                <c:pt idx="1">
                  <c:v>Dias inventario</c:v>
                </c:pt>
                <c:pt idx="2">
                  <c:v>Dias proveedores</c:v>
                </c:pt>
              </c:strCache>
            </c:strRef>
          </c:cat>
          <c:val>
            <c:numRef>
              <c:f>'Analisis metas'!$Q$38:$Q$40</c:f>
              <c:numCache>
                <c:formatCode>#,##0</c:formatCode>
                <c:ptCount val="3"/>
                <c:pt idx="0">
                  <c:v>128.11221379922702</c:v>
                </c:pt>
                <c:pt idx="1">
                  <c:v>42.441053514281222</c:v>
                </c:pt>
                <c:pt idx="2">
                  <c:v>19.337903402093232</c:v>
                </c:pt>
              </c:numCache>
            </c:numRef>
          </c:val>
          <c:extLst>
            <c:ext xmlns:c16="http://schemas.microsoft.com/office/drawing/2014/chart" uri="{C3380CC4-5D6E-409C-BE32-E72D297353CC}">
              <c16:uniqueId val="{00000001-D3CE-4DD7-90AD-BB5E4CABE44F}"/>
            </c:ext>
          </c:extLst>
        </c:ser>
        <c:ser>
          <c:idx val="2"/>
          <c:order val="2"/>
          <c:tx>
            <c:strRef>
              <c:f>'Analisis metas'!$R$30</c:f>
              <c:strCache>
                <c:ptCount val="1"/>
                <c:pt idx="0">
                  <c:v>2020</c:v>
                </c:pt>
              </c:strCache>
            </c:strRef>
          </c:tx>
          <c:invertIfNegative val="0"/>
          <c:cat>
            <c:strRef>
              <c:f>'Analisis metas'!$O$38:$O$40</c:f>
              <c:strCache>
                <c:ptCount val="3"/>
                <c:pt idx="0">
                  <c:v>Dias cartera</c:v>
                </c:pt>
                <c:pt idx="1">
                  <c:v>Dias inventario</c:v>
                </c:pt>
                <c:pt idx="2">
                  <c:v>Dias proveedores</c:v>
                </c:pt>
              </c:strCache>
            </c:strRef>
          </c:cat>
          <c:val>
            <c:numRef>
              <c:f>'Analisis metas'!$R$38:$R$40</c:f>
              <c:numCache>
                <c:formatCode>#,##0</c:formatCode>
                <c:ptCount val="3"/>
                <c:pt idx="0">
                  <c:v>74.372822234259388</c:v>
                </c:pt>
                <c:pt idx="1">
                  <c:v>40.358694202009552</c:v>
                </c:pt>
                <c:pt idx="2">
                  <c:v>11.433204165255749</c:v>
                </c:pt>
              </c:numCache>
            </c:numRef>
          </c:val>
          <c:extLst>
            <c:ext xmlns:c16="http://schemas.microsoft.com/office/drawing/2014/chart" uri="{C3380CC4-5D6E-409C-BE32-E72D297353CC}">
              <c16:uniqueId val="{00000001-796E-48D0-AB8F-67F15EADF835}"/>
            </c:ext>
          </c:extLst>
        </c:ser>
        <c:ser>
          <c:idx val="3"/>
          <c:order val="3"/>
          <c:tx>
            <c:strRef>
              <c:f>'Analisis metas'!$S$30</c:f>
              <c:strCache>
                <c:ptCount val="1"/>
                <c:pt idx="0">
                  <c:v>2021</c:v>
                </c:pt>
              </c:strCache>
            </c:strRef>
          </c:tx>
          <c:invertIfNegative val="0"/>
          <c:cat>
            <c:strRef>
              <c:f>'Analisis metas'!$O$38:$O$40</c:f>
              <c:strCache>
                <c:ptCount val="3"/>
                <c:pt idx="0">
                  <c:v>Dias cartera</c:v>
                </c:pt>
                <c:pt idx="1">
                  <c:v>Dias inventario</c:v>
                </c:pt>
                <c:pt idx="2">
                  <c:v>Dias proveedores</c:v>
                </c:pt>
              </c:strCache>
            </c:strRef>
          </c:cat>
          <c:val>
            <c:numRef>
              <c:f>'Analisis metas'!$S$38:$S$40</c:f>
              <c:numCache>
                <c:formatCode>#,##0</c:formatCode>
                <c:ptCount val="3"/>
                <c:pt idx="0">
                  <c:v>74.376342014946573</c:v>
                </c:pt>
                <c:pt idx="1">
                  <c:v>33.344337940377137</c:v>
                </c:pt>
                <c:pt idx="2">
                  <c:v>12.559008501210798</c:v>
                </c:pt>
              </c:numCache>
            </c:numRef>
          </c:val>
          <c:extLst>
            <c:ext xmlns:c16="http://schemas.microsoft.com/office/drawing/2014/chart" uri="{C3380CC4-5D6E-409C-BE32-E72D297353CC}">
              <c16:uniqueId val="{00000002-796E-48D0-AB8F-67F15EADF835}"/>
            </c:ext>
          </c:extLst>
        </c:ser>
        <c:ser>
          <c:idx val="4"/>
          <c:order val="4"/>
          <c:tx>
            <c:strRef>
              <c:f>'Analisis metas'!$T$30</c:f>
              <c:strCache>
                <c:ptCount val="1"/>
                <c:pt idx="0">
                  <c:v>2022</c:v>
                </c:pt>
              </c:strCache>
            </c:strRef>
          </c:tx>
          <c:invertIfNegative val="0"/>
          <c:cat>
            <c:strRef>
              <c:f>'Analisis metas'!$O$38:$O$40</c:f>
              <c:strCache>
                <c:ptCount val="3"/>
                <c:pt idx="0">
                  <c:v>Dias cartera</c:v>
                </c:pt>
                <c:pt idx="1">
                  <c:v>Dias inventario</c:v>
                </c:pt>
                <c:pt idx="2">
                  <c:v>Dias proveedores</c:v>
                </c:pt>
              </c:strCache>
            </c:strRef>
          </c:cat>
          <c:val>
            <c:numRef>
              <c:f>'Analisis metas'!$T$38:$T$40</c:f>
              <c:numCache>
                <c:formatCode>#,##0</c:formatCode>
                <c:ptCount val="3"/>
                <c:pt idx="0">
                  <c:v>53.989484920328813</c:v>
                </c:pt>
                <c:pt idx="1">
                  <c:v>28.074990388680192</c:v>
                </c:pt>
                <c:pt idx="2">
                  <c:v>15.59605914461169</c:v>
                </c:pt>
              </c:numCache>
            </c:numRef>
          </c:val>
          <c:extLst>
            <c:ext xmlns:c16="http://schemas.microsoft.com/office/drawing/2014/chart" uri="{C3380CC4-5D6E-409C-BE32-E72D297353CC}">
              <c16:uniqueId val="{00000003-796E-48D0-AB8F-67F15EADF835}"/>
            </c:ext>
          </c:extLst>
        </c:ser>
        <c:ser>
          <c:idx val="5"/>
          <c:order val="5"/>
          <c:tx>
            <c:strRef>
              <c:f>'Analisis metas'!$U$30</c:f>
              <c:strCache>
                <c:ptCount val="1"/>
                <c:pt idx="0">
                  <c:v>2023</c:v>
                </c:pt>
              </c:strCache>
            </c:strRef>
          </c:tx>
          <c:invertIfNegative val="0"/>
          <c:cat>
            <c:strRef>
              <c:f>'Analisis metas'!$O$38:$O$40</c:f>
              <c:strCache>
                <c:ptCount val="3"/>
                <c:pt idx="0">
                  <c:v>Dias cartera</c:v>
                </c:pt>
                <c:pt idx="1">
                  <c:v>Dias inventario</c:v>
                </c:pt>
                <c:pt idx="2">
                  <c:v>Dias proveedores</c:v>
                </c:pt>
              </c:strCache>
            </c:strRef>
          </c:cat>
          <c:val>
            <c:numRef>
              <c:f>'Analisis metas'!$U$38:$U$40</c:f>
              <c:numCache>
                <c:formatCode>#,##0</c:formatCode>
                <c:ptCount val="3"/>
                <c:pt idx="0">
                  <c:v>65.228889822070087</c:v>
                </c:pt>
                <c:pt idx="1">
                  <c:v>29.237537586437913</c:v>
                </c:pt>
                <c:pt idx="2">
                  <c:v>23.218711967181971</c:v>
                </c:pt>
              </c:numCache>
            </c:numRef>
          </c:val>
          <c:extLst>
            <c:ext xmlns:c16="http://schemas.microsoft.com/office/drawing/2014/chart" uri="{C3380CC4-5D6E-409C-BE32-E72D297353CC}">
              <c16:uniqueId val="{00000004-796E-48D0-AB8F-67F15EADF835}"/>
            </c:ext>
          </c:extLst>
        </c:ser>
        <c:dLbls>
          <c:showLegendKey val="0"/>
          <c:showVal val="0"/>
          <c:showCatName val="0"/>
          <c:showSerName val="0"/>
          <c:showPercent val="0"/>
          <c:showBubbleSize val="0"/>
        </c:dLbls>
        <c:gapWidth val="75"/>
        <c:shape val="cylinder"/>
        <c:axId val="416517744"/>
        <c:axId val="416512304"/>
        <c:axId val="0"/>
      </c:bar3DChart>
      <c:catAx>
        <c:axId val="41651774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12304"/>
        <c:crosses val="autoZero"/>
        <c:auto val="1"/>
        <c:lblAlgn val="ctr"/>
        <c:lblOffset val="100"/>
        <c:noMultiLvlLbl val="0"/>
      </c:catAx>
      <c:valAx>
        <c:axId val="416512304"/>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6517744"/>
        <c:crosses val="autoZero"/>
        <c:crossBetween val="between"/>
      </c:valAx>
      <c:spPr>
        <a:noFill/>
        <a:ln w="25400">
          <a:noFill/>
        </a:ln>
      </c:spPr>
    </c:plotArea>
    <c:legend>
      <c:legendPos val="b"/>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Análisis del endeudamiento</a:t>
            </a:r>
          </a:p>
        </c:rich>
      </c:tx>
      <c:overlay val="0"/>
    </c:title>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15848254452064509"/>
          <c:y val="0.12324853389943848"/>
          <c:w val="0.80997623684136255"/>
          <c:h val="0.56145974431938961"/>
        </c:manualLayout>
      </c:layout>
      <c:bar3DChart>
        <c:barDir val="col"/>
        <c:grouping val="clustered"/>
        <c:varyColors val="0"/>
        <c:ser>
          <c:idx val="0"/>
          <c:order val="0"/>
          <c:tx>
            <c:strRef>
              <c:f>'Analisis metas'!$P$42</c:f>
              <c:strCache>
                <c:ptCount val="1"/>
                <c:pt idx="0">
                  <c:v>2018</c:v>
                </c:pt>
              </c:strCache>
            </c:strRef>
          </c:tx>
          <c:invertIfNegative val="0"/>
          <c:cat>
            <c:strRef>
              <c:f>'Analisis metas'!$O$44:$O$45</c:f>
              <c:strCache>
                <c:ptCount val="2"/>
                <c:pt idx="0">
                  <c:v>Endeudamiento total</c:v>
                </c:pt>
                <c:pt idx="1">
                  <c:v>Endeud. Corto Plazo</c:v>
                </c:pt>
              </c:strCache>
            </c:strRef>
          </c:cat>
          <c:val>
            <c:numRef>
              <c:f>'Analisis metas'!$P$44:$P$45</c:f>
              <c:numCache>
                <c:formatCode>0.00%</c:formatCode>
                <c:ptCount val="2"/>
                <c:pt idx="0">
                  <c:v>0.48692690864982002</c:v>
                </c:pt>
                <c:pt idx="1">
                  <c:v>0.65332991649421979</c:v>
                </c:pt>
              </c:numCache>
            </c:numRef>
          </c:val>
          <c:extLst>
            <c:ext xmlns:c16="http://schemas.microsoft.com/office/drawing/2014/chart" uri="{C3380CC4-5D6E-409C-BE32-E72D297353CC}">
              <c16:uniqueId val="{00000000-E81A-444A-B705-A4D7CC412605}"/>
            </c:ext>
          </c:extLst>
        </c:ser>
        <c:ser>
          <c:idx val="1"/>
          <c:order val="1"/>
          <c:tx>
            <c:strRef>
              <c:f>'Analisis metas'!$Q$42</c:f>
              <c:strCache>
                <c:ptCount val="1"/>
                <c:pt idx="0">
                  <c:v>2019</c:v>
                </c:pt>
              </c:strCache>
            </c:strRef>
          </c:tx>
          <c:invertIfNegative val="0"/>
          <c:cat>
            <c:strRef>
              <c:f>'Analisis metas'!$O$44:$O$45</c:f>
              <c:strCache>
                <c:ptCount val="2"/>
                <c:pt idx="0">
                  <c:v>Endeudamiento total</c:v>
                </c:pt>
                <c:pt idx="1">
                  <c:v>Endeud. Corto Plazo</c:v>
                </c:pt>
              </c:strCache>
            </c:strRef>
          </c:cat>
          <c:val>
            <c:numRef>
              <c:f>'Analisis metas'!$Q$44:$Q$45</c:f>
              <c:numCache>
                <c:formatCode>0.00%</c:formatCode>
                <c:ptCount val="2"/>
                <c:pt idx="0">
                  <c:v>0.53485463393607946</c:v>
                </c:pt>
                <c:pt idx="1">
                  <c:v>0.54260770485682486</c:v>
                </c:pt>
              </c:numCache>
            </c:numRef>
          </c:val>
          <c:extLst>
            <c:ext xmlns:c16="http://schemas.microsoft.com/office/drawing/2014/chart" uri="{C3380CC4-5D6E-409C-BE32-E72D297353CC}">
              <c16:uniqueId val="{00000001-E81A-444A-B705-A4D7CC412605}"/>
            </c:ext>
          </c:extLst>
        </c:ser>
        <c:ser>
          <c:idx val="2"/>
          <c:order val="2"/>
          <c:tx>
            <c:strRef>
              <c:f>'Analisis metas'!$R$42</c:f>
              <c:strCache>
                <c:ptCount val="1"/>
                <c:pt idx="0">
                  <c:v>2020</c:v>
                </c:pt>
              </c:strCache>
            </c:strRef>
          </c:tx>
          <c:invertIfNegative val="0"/>
          <c:cat>
            <c:strRef>
              <c:f>'Analisis metas'!$O$44:$O$45</c:f>
              <c:strCache>
                <c:ptCount val="2"/>
                <c:pt idx="0">
                  <c:v>Endeudamiento total</c:v>
                </c:pt>
                <c:pt idx="1">
                  <c:v>Endeud. Corto Plazo</c:v>
                </c:pt>
              </c:strCache>
            </c:strRef>
          </c:cat>
          <c:val>
            <c:numRef>
              <c:f>'Analisis metas'!$R$44:$R$45</c:f>
              <c:numCache>
                <c:formatCode>0.00%</c:formatCode>
                <c:ptCount val="2"/>
                <c:pt idx="0">
                  <c:v>0.44878879875956684</c:v>
                </c:pt>
                <c:pt idx="1">
                  <c:v>0.62737396274628665</c:v>
                </c:pt>
              </c:numCache>
            </c:numRef>
          </c:val>
          <c:extLst>
            <c:ext xmlns:c16="http://schemas.microsoft.com/office/drawing/2014/chart" uri="{C3380CC4-5D6E-409C-BE32-E72D297353CC}">
              <c16:uniqueId val="{00000001-ACA5-4E73-AAF2-D390538FD654}"/>
            </c:ext>
          </c:extLst>
        </c:ser>
        <c:ser>
          <c:idx val="3"/>
          <c:order val="3"/>
          <c:tx>
            <c:strRef>
              <c:f>'Analisis metas'!$S$42</c:f>
              <c:strCache>
                <c:ptCount val="1"/>
                <c:pt idx="0">
                  <c:v>2021</c:v>
                </c:pt>
              </c:strCache>
            </c:strRef>
          </c:tx>
          <c:invertIfNegative val="0"/>
          <c:cat>
            <c:strRef>
              <c:f>'Analisis metas'!$O$44:$O$45</c:f>
              <c:strCache>
                <c:ptCount val="2"/>
                <c:pt idx="0">
                  <c:v>Endeudamiento total</c:v>
                </c:pt>
                <c:pt idx="1">
                  <c:v>Endeud. Corto Plazo</c:v>
                </c:pt>
              </c:strCache>
            </c:strRef>
          </c:cat>
          <c:val>
            <c:numRef>
              <c:f>'Analisis metas'!$S$44:$S$45</c:f>
              <c:numCache>
                <c:formatCode>0.00%</c:formatCode>
                <c:ptCount val="2"/>
                <c:pt idx="0">
                  <c:v>0.54148218962854866</c:v>
                </c:pt>
                <c:pt idx="1">
                  <c:v>0.6490390156087148</c:v>
                </c:pt>
              </c:numCache>
            </c:numRef>
          </c:val>
          <c:extLst>
            <c:ext xmlns:c16="http://schemas.microsoft.com/office/drawing/2014/chart" uri="{C3380CC4-5D6E-409C-BE32-E72D297353CC}">
              <c16:uniqueId val="{00000002-ACA5-4E73-AAF2-D390538FD654}"/>
            </c:ext>
          </c:extLst>
        </c:ser>
        <c:ser>
          <c:idx val="4"/>
          <c:order val="4"/>
          <c:tx>
            <c:strRef>
              <c:f>'Analisis metas'!$T$42</c:f>
              <c:strCache>
                <c:ptCount val="1"/>
                <c:pt idx="0">
                  <c:v>2022</c:v>
                </c:pt>
              </c:strCache>
            </c:strRef>
          </c:tx>
          <c:invertIfNegative val="0"/>
          <c:cat>
            <c:strRef>
              <c:f>'Analisis metas'!$O$44:$O$45</c:f>
              <c:strCache>
                <c:ptCount val="2"/>
                <c:pt idx="0">
                  <c:v>Endeudamiento total</c:v>
                </c:pt>
                <c:pt idx="1">
                  <c:v>Endeud. Corto Plazo</c:v>
                </c:pt>
              </c:strCache>
            </c:strRef>
          </c:cat>
          <c:val>
            <c:numRef>
              <c:f>'Analisis metas'!$T$44:$T$45</c:f>
              <c:numCache>
                <c:formatCode>0.00%</c:formatCode>
                <c:ptCount val="2"/>
                <c:pt idx="0">
                  <c:v>0.55383692518470418</c:v>
                </c:pt>
                <c:pt idx="1">
                  <c:v>0.63836928650087355</c:v>
                </c:pt>
              </c:numCache>
            </c:numRef>
          </c:val>
          <c:extLst>
            <c:ext xmlns:c16="http://schemas.microsoft.com/office/drawing/2014/chart" uri="{C3380CC4-5D6E-409C-BE32-E72D297353CC}">
              <c16:uniqueId val="{00000003-ACA5-4E73-AAF2-D390538FD654}"/>
            </c:ext>
          </c:extLst>
        </c:ser>
        <c:ser>
          <c:idx val="5"/>
          <c:order val="5"/>
          <c:tx>
            <c:strRef>
              <c:f>'Analisis metas'!$U$42</c:f>
              <c:strCache>
                <c:ptCount val="1"/>
                <c:pt idx="0">
                  <c:v>2023</c:v>
                </c:pt>
              </c:strCache>
            </c:strRef>
          </c:tx>
          <c:invertIfNegative val="0"/>
          <c:cat>
            <c:strRef>
              <c:f>'Analisis metas'!$O$44:$O$45</c:f>
              <c:strCache>
                <c:ptCount val="2"/>
                <c:pt idx="0">
                  <c:v>Endeudamiento total</c:v>
                </c:pt>
                <c:pt idx="1">
                  <c:v>Endeud. Corto Plazo</c:v>
                </c:pt>
              </c:strCache>
            </c:strRef>
          </c:cat>
          <c:val>
            <c:numRef>
              <c:f>'Analisis metas'!$U$44:$U$45</c:f>
              <c:numCache>
                <c:formatCode>0.00%</c:formatCode>
                <c:ptCount val="2"/>
                <c:pt idx="0">
                  <c:v>0.62277795277510029</c:v>
                </c:pt>
                <c:pt idx="1">
                  <c:v>0.6958238743632793</c:v>
                </c:pt>
              </c:numCache>
            </c:numRef>
          </c:val>
          <c:extLst>
            <c:ext xmlns:c16="http://schemas.microsoft.com/office/drawing/2014/chart" uri="{C3380CC4-5D6E-409C-BE32-E72D297353CC}">
              <c16:uniqueId val="{00000004-ACA5-4E73-AAF2-D390538FD654}"/>
            </c:ext>
          </c:extLst>
        </c:ser>
        <c:dLbls>
          <c:showLegendKey val="0"/>
          <c:showVal val="0"/>
          <c:showCatName val="0"/>
          <c:showSerName val="0"/>
          <c:showPercent val="0"/>
          <c:showBubbleSize val="0"/>
        </c:dLbls>
        <c:gapWidth val="150"/>
        <c:shape val="box"/>
        <c:axId val="416513392"/>
        <c:axId val="416518288"/>
        <c:axId val="0"/>
      </c:bar3DChart>
      <c:catAx>
        <c:axId val="4165133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18288"/>
        <c:crosses val="autoZero"/>
        <c:auto val="1"/>
        <c:lblAlgn val="ctr"/>
        <c:lblOffset val="100"/>
        <c:noMultiLvlLbl val="0"/>
      </c:catAx>
      <c:valAx>
        <c:axId val="416518288"/>
        <c:scaling>
          <c:orientation val="minMax"/>
        </c:scaling>
        <c:delete val="0"/>
        <c:axPos val="l"/>
        <c:majorGridlines/>
        <c:numFmt formatCode="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6513392"/>
        <c:crosses val="autoZero"/>
        <c:crossBetween val="between"/>
      </c:valAx>
      <c:dTable>
        <c:showHorzBorder val="1"/>
        <c:showVertBorder val="1"/>
        <c:showOutline val="1"/>
        <c:showKeys val="1"/>
        <c:txPr>
          <a:bodyPr/>
          <a:lstStyle/>
          <a:p>
            <a:pPr rtl="0">
              <a:defRPr sz="700" b="0" i="0" u="none" strike="noStrike" baseline="0">
                <a:solidFill>
                  <a:srgbClr val="000000"/>
                </a:solidFill>
                <a:latin typeface="Calibri"/>
                <a:ea typeface="Calibri"/>
                <a:cs typeface="Calibri"/>
              </a:defRPr>
            </a:pPr>
            <a:endParaRPr lang="es-CO"/>
          </a:p>
        </c:txPr>
      </c:dTable>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Análisis de la rentabilidad</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'Analisis metas'!$P$49</c:f>
              <c:strCache>
                <c:ptCount val="1"/>
                <c:pt idx="0">
                  <c:v>2018</c:v>
                </c:pt>
              </c:strCache>
            </c:strRef>
          </c:tx>
          <c:invertIfNegative val="0"/>
          <c:cat>
            <c:strRef>
              <c:f>'Analisis metas'!$O$51:$O$55</c:f>
              <c:strCache>
                <c:ptCount val="5"/>
                <c:pt idx="0">
                  <c:v>Rent. Patrim.</c:v>
                </c:pt>
                <c:pt idx="1">
                  <c:v>Rent. Activos</c:v>
                </c:pt>
                <c:pt idx="2">
                  <c:v>Marg. Oper.</c:v>
                </c:pt>
                <c:pt idx="3">
                  <c:v>Margen neto</c:v>
                </c:pt>
                <c:pt idx="4">
                  <c:v>Margen Ebitda</c:v>
                </c:pt>
              </c:strCache>
            </c:strRef>
          </c:cat>
          <c:val>
            <c:numRef>
              <c:f>'Analisis metas'!$P$51:$P$55</c:f>
              <c:numCache>
                <c:formatCode>0.00%</c:formatCode>
                <c:ptCount val="5"/>
                <c:pt idx="0">
                  <c:v>0.18937312107396595</c:v>
                </c:pt>
                <c:pt idx="1">
                  <c:v>0.17331522785552009</c:v>
                </c:pt>
                <c:pt idx="2">
                  <c:v>0.10752713137788725</c:v>
                </c:pt>
                <c:pt idx="3">
                  <c:v>6.6979933523540092E-2</c:v>
                </c:pt>
                <c:pt idx="4">
                  <c:v>0.13351335640190501</c:v>
                </c:pt>
              </c:numCache>
            </c:numRef>
          </c:val>
          <c:extLst>
            <c:ext xmlns:c16="http://schemas.microsoft.com/office/drawing/2014/chart" uri="{C3380CC4-5D6E-409C-BE32-E72D297353CC}">
              <c16:uniqueId val="{00000000-2354-4624-BC8E-C5BD0DC46706}"/>
            </c:ext>
          </c:extLst>
        </c:ser>
        <c:ser>
          <c:idx val="1"/>
          <c:order val="1"/>
          <c:tx>
            <c:strRef>
              <c:f>'Analisis metas'!$Q$49</c:f>
              <c:strCache>
                <c:ptCount val="1"/>
                <c:pt idx="0">
                  <c:v>2019</c:v>
                </c:pt>
              </c:strCache>
            </c:strRef>
          </c:tx>
          <c:invertIfNegative val="0"/>
          <c:cat>
            <c:strRef>
              <c:f>'Analisis metas'!$O$51:$O$55</c:f>
              <c:strCache>
                <c:ptCount val="5"/>
                <c:pt idx="0">
                  <c:v>Rent. Patrim.</c:v>
                </c:pt>
                <c:pt idx="1">
                  <c:v>Rent. Activos</c:v>
                </c:pt>
                <c:pt idx="2">
                  <c:v>Marg. Oper.</c:v>
                </c:pt>
                <c:pt idx="3">
                  <c:v>Margen neto</c:v>
                </c:pt>
                <c:pt idx="4">
                  <c:v>Margen Ebitda</c:v>
                </c:pt>
              </c:strCache>
            </c:strRef>
          </c:cat>
          <c:val>
            <c:numRef>
              <c:f>'Analisis metas'!$Q$51:$Q$55</c:f>
              <c:numCache>
                <c:formatCode>0.00%</c:formatCode>
                <c:ptCount val="5"/>
                <c:pt idx="0">
                  <c:v>0.21735885626449769</c:v>
                </c:pt>
                <c:pt idx="1">
                  <c:v>0.26478657642630543</c:v>
                </c:pt>
                <c:pt idx="2">
                  <c:v>9.7518993939027576E-2</c:v>
                </c:pt>
                <c:pt idx="3">
                  <c:v>6.1558769318965791E-2</c:v>
                </c:pt>
                <c:pt idx="4">
                  <c:v>0.11820433807286906</c:v>
                </c:pt>
              </c:numCache>
            </c:numRef>
          </c:val>
          <c:extLst>
            <c:ext xmlns:c16="http://schemas.microsoft.com/office/drawing/2014/chart" uri="{C3380CC4-5D6E-409C-BE32-E72D297353CC}">
              <c16:uniqueId val="{00000001-2354-4624-BC8E-C5BD0DC46706}"/>
            </c:ext>
          </c:extLst>
        </c:ser>
        <c:ser>
          <c:idx val="2"/>
          <c:order val="2"/>
          <c:tx>
            <c:strRef>
              <c:f>'Analisis metas'!$R$49</c:f>
              <c:strCache>
                <c:ptCount val="1"/>
                <c:pt idx="0">
                  <c:v>2020</c:v>
                </c:pt>
              </c:strCache>
            </c:strRef>
          </c:tx>
          <c:invertIfNegative val="0"/>
          <c:cat>
            <c:strRef>
              <c:f>'Analisis metas'!$O$51:$O$55</c:f>
              <c:strCache>
                <c:ptCount val="5"/>
                <c:pt idx="0">
                  <c:v>Rent. Patrim.</c:v>
                </c:pt>
                <c:pt idx="1">
                  <c:v>Rent. Activos</c:v>
                </c:pt>
                <c:pt idx="2">
                  <c:v>Marg. Oper.</c:v>
                </c:pt>
                <c:pt idx="3">
                  <c:v>Margen neto</c:v>
                </c:pt>
                <c:pt idx="4">
                  <c:v>Margen Ebitda</c:v>
                </c:pt>
              </c:strCache>
            </c:strRef>
          </c:cat>
          <c:val>
            <c:numRef>
              <c:f>'Analisis metas'!$R$51:$R$55</c:f>
              <c:numCache>
                <c:formatCode>0.00%</c:formatCode>
                <c:ptCount val="5"/>
                <c:pt idx="0">
                  <c:v>0.43812693319491869</c:v>
                </c:pt>
                <c:pt idx="1">
                  <c:v>0.6049009189912109</c:v>
                </c:pt>
                <c:pt idx="2">
                  <c:v>0.18451489724338158</c:v>
                </c:pt>
                <c:pt idx="3">
                  <c:v>0.13572030034413762</c:v>
                </c:pt>
                <c:pt idx="4">
                  <c:v>0.20277197252069432</c:v>
                </c:pt>
              </c:numCache>
            </c:numRef>
          </c:val>
          <c:extLst>
            <c:ext xmlns:c16="http://schemas.microsoft.com/office/drawing/2014/chart" uri="{C3380CC4-5D6E-409C-BE32-E72D297353CC}">
              <c16:uniqueId val="{00000001-1C64-4805-B1D8-774339191495}"/>
            </c:ext>
          </c:extLst>
        </c:ser>
        <c:ser>
          <c:idx val="3"/>
          <c:order val="3"/>
          <c:tx>
            <c:strRef>
              <c:f>'Analisis metas'!$S$49</c:f>
              <c:strCache>
                <c:ptCount val="1"/>
                <c:pt idx="0">
                  <c:v>2021</c:v>
                </c:pt>
              </c:strCache>
            </c:strRef>
          </c:tx>
          <c:invertIfNegative val="0"/>
          <c:cat>
            <c:strRef>
              <c:f>'Analisis metas'!$O$51:$O$55</c:f>
              <c:strCache>
                <c:ptCount val="5"/>
                <c:pt idx="0">
                  <c:v>Rent. Patrim.</c:v>
                </c:pt>
                <c:pt idx="1">
                  <c:v>Rent. Activos</c:v>
                </c:pt>
                <c:pt idx="2">
                  <c:v>Marg. Oper.</c:v>
                </c:pt>
                <c:pt idx="3">
                  <c:v>Margen neto</c:v>
                </c:pt>
                <c:pt idx="4">
                  <c:v>Margen Ebitda</c:v>
                </c:pt>
              </c:strCache>
            </c:strRef>
          </c:cat>
          <c:val>
            <c:numRef>
              <c:f>'Analisis metas'!$S$51:$S$55</c:f>
              <c:numCache>
                <c:formatCode>0.00%</c:formatCode>
                <c:ptCount val="5"/>
                <c:pt idx="0">
                  <c:v>0.33478587756551226</c:v>
                </c:pt>
                <c:pt idx="1">
                  <c:v>0.48619379926048495</c:v>
                </c:pt>
                <c:pt idx="2">
                  <c:v>0.12694984445744356</c:v>
                </c:pt>
                <c:pt idx="3">
                  <c:v>9.7353476395642929E-2</c:v>
                </c:pt>
                <c:pt idx="4">
                  <c:v>0.13300149686870302</c:v>
                </c:pt>
              </c:numCache>
            </c:numRef>
          </c:val>
          <c:extLst>
            <c:ext xmlns:c16="http://schemas.microsoft.com/office/drawing/2014/chart" uri="{C3380CC4-5D6E-409C-BE32-E72D297353CC}">
              <c16:uniqueId val="{00000002-1C64-4805-B1D8-774339191495}"/>
            </c:ext>
          </c:extLst>
        </c:ser>
        <c:ser>
          <c:idx val="4"/>
          <c:order val="4"/>
          <c:tx>
            <c:strRef>
              <c:f>'Analisis metas'!$T$49</c:f>
              <c:strCache>
                <c:ptCount val="1"/>
                <c:pt idx="0">
                  <c:v>2022</c:v>
                </c:pt>
              </c:strCache>
            </c:strRef>
          </c:tx>
          <c:invertIfNegative val="0"/>
          <c:cat>
            <c:strRef>
              <c:f>'Analisis metas'!$O$51:$O$55</c:f>
              <c:strCache>
                <c:ptCount val="5"/>
                <c:pt idx="0">
                  <c:v>Rent. Patrim.</c:v>
                </c:pt>
                <c:pt idx="1">
                  <c:v>Rent. Activos</c:v>
                </c:pt>
                <c:pt idx="2">
                  <c:v>Marg. Oper.</c:v>
                </c:pt>
                <c:pt idx="3">
                  <c:v>Margen neto</c:v>
                </c:pt>
                <c:pt idx="4">
                  <c:v>Margen Ebitda</c:v>
                </c:pt>
              </c:strCache>
            </c:strRef>
          </c:cat>
          <c:val>
            <c:numRef>
              <c:f>'Analisis metas'!$T$51:$T$55</c:f>
              <c:numCache>
                <c:formatCode>0.00%</c:formatCode>
                <c:ptCount val="5"/>
                <c:pt idx="0">
                  <c:v>0.25143856676357057</c:v>
                </c:pt>
                <c:pt idx="1">
                  <c:v>0.45046421912508167</c:v>
                </c:pt>
                <c:pt idx="2">
                  <c:v>8.6155371638774361E-2</c:v>
                </c:pt>
                <c:pt idx="3">
                  <c:v>4.3571400109061721E-2</c:v>
                </c:pt>
                <c:pt idx="4">
                  <c:v>9.9004830019492285E-2</c:v>
                </c:pt>
              </c:numCache>
            </c:numRef>
          </c:val>
          <c:extLst>
            <c:ext xmlns:c16="http://schemas.microsoft.com/office/drawing/2014/chart" uri="{C3380CC4-5D6E-409C-BE32-E72D297353CC}">
              <c16:uniqueId val="{00000003-1C64-4805-B1D8-774339191495}"/>
            </c:ext>
          </c:extLst>
        </c:ser>
        <c:ser>
          <c:idx val="5"/>
          <c:order val="5"/>
          <c:tx>
            <c:strRef>
              <c:f>'Analisis metas'!$U$49</c:f>
              <c:strCache>
                <c:ptCount val="1"/>
                <c:pt idx="0">
                  <c:v>2023</c:v>
                </c:pt>
              </c:strCache>
            </c:strRef>
          </c:tx>
          <c:invertIfNegative val="0"/>
          <c:cat>
            <c:strRef>
              <c:f>'Analisis metas'!$O$51:$O$55</c:f>
              <c:strCache>
                <c:ptCount val="5"/>
                <c:pt idx="0">
                  <c:v>Rent. Patrim.</c:v>
                </c:pt>
                <c:pt idx="1">
                  <c:v>Rent. Activos</c:v>
                </c:pt>
                <c:pt idx="2">
                  <c:v>Marg. Oper.</c:v>
                </c:pt>
                <c:pt idx="3">
                  <c:v>Margen neto</c:v>
                </c:pt>
                <c:pt idx="4">
                  <c:v>Margen Ebitda</c:v>
                </c:pt>
              </c:strCache>
            </c:strRef>
          </c:cat>
          <c:val>
            <c:numRef>
              <c:f>'Analisis metas'!$U$51:$U$55</c:f>
              <c:numCache>
                <c:formatCode>0.00%</c:formatCode>
                <c:ptCount val="5"/>
                <c:pt idx="0">
                  <c:v>0.22111433048984236</c:v>
                </c:pt>
                <c:pt idx="1">
                  <c:v>0.24507596856164127</c:v>
                </c:pt>
                <c:pt idx="2">
                  <c:v>7.4757331857483289E-2</c:v>
                </c:pt>
                <c:pt idx="3">
                  <c:v>3.071808591680969E-2</c:v>
                </c:pt>
                <c:pt idx="4">
                  <c:v>8.287624011960483E-2</c:v>
                </c:pt>
              </c:numCache>
            </c:numRef>
          </c:val>
          <c:extLst>
            <c:ext xmlns:c16="http://schemas.microsoft.com/office/drawing/2014/chart" uri="{C3380CC4-5D6E-409C-BE32-E72D297353CC}">
              <c16:uniqueId val="{00000004-1C64-4805-B1D8-774339191495}"/>
            </c:ext>
          </c:extLst>
        </c:ser>
        <c:dLbls>
          <c:showLegendKey val="0"/>
          <c:showVal val="0"/>
          <c:showCatName val="0"/>
          <c:showSerName val="0"/>
          <c:showPercent val="0"/>
          <c:showBubbleSize val="0"/>
        </c:dLbls>
        <c:gapWidth val="75"/>
        <c:shape val="cylinder"/>
        <c:axId val="416516656"/>
        <c:axId val="440802784"/>
        <c:axId val="0"/>
      </c:bar3DChart>
      <c:catAx>
        <c:axId val="41651665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40802784"/>
        <c:crosses val="autoZero"/>
        <c:auto val="1"/>
        <c:lblAlgn val="ctr"/>
        <c:lblOffset val="100"/>
        <c:noMultiLvlLbl val="0"/>
      </c:catAx>
      <c:valAx>
        <c:axId val="440802784"/>
        <c:scaling>
          <c:orientation val="minMax"/>
        </c:scaling>
        <c:delete val="0"/>
        <c:axPos val="l"/>
        <c:majorGridlines/>
        <c:numFmt formatCode="0.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6516656"/>
        <c:crosses val="autoZero"/>
        <c:crossBetween val="between"/>
      </c:valAx>
      <c:spPr>
        <a:noFill/>
        <a:ln w="25400">
          <a:noFill/>
        </a:ln>
      </c:spPr>
    </c:plotArea>
    <c:legend>
      <c:legendPos val="b"/>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b="1" i="0" u="none" strike="noStrike" baseline="0">
              <a:solidFill>
                <a:srgbClr val="000000"/>
              </a:solidFill>
              <a:latin typeface="Calibri"/>
              <a:ea typeface="Calibri"/>
              <a:cs typeface="Calibri"/>
            </a:defRPr>
          </a:pPr>
          <a:endParaRPr lang="es-CO"/>
        </a:p>
      </c:txPr>
    </c:title>
    <c:autoTitleDeleted val="0"/>
    <c:view3D>
      <c:rotX val="30"/>
      <c:rotY val="0"/>
      <c:rAngAx val="0"/>
    </c:view3D>
    <c:floor>
      <c:thickness val="0"/>
    </c:floor>
    <c:sideWall>
      <c:thickness val="0"/>
    </c:sideWall>
    <c:backWall>
      <c:thickness val="0"/>
    </c:backWall>
    <c:plotArea>
      <c:layout/>
      <c:pie3DChart>
        <c:varyColors val="1"/>
        <c:ser>
          <c:idx val="0"/>
          <c:order val="0"/>
          <c:tx>
            <c:strRef>
              <c:f>'Resumen balance'!$D$63</c:f>
              <c:strCache>
                <c:ptCount val="1"/>
                <c:pt idx="0">
                  <c:v>2019</c:v>
                </c:pt>
              </c:strCache>
            </c:strRef>
          </c:tx>
          <c:dPt>
            <c:idx val="0"/>
            <c:bubble3D val="0"/>
            <c:extLst>
              <c:ext xmlns:c16="http://schemas.microsoft.com/office/drawing/2014/chart" uri="{C3380CC4-5D6E-409C-BE32-E72D297353CC}">
                <c16:uniqueId val="{00000000-38E3-4485-B5D9-21D7E1E5E94D}"/>
              </c:ext>
            </c:extLst>
          </c:dPt>
          <c:dPt>
            <c:idx val="1"/>
            <c:bubble3D val="0"/>
            <c:extLst>
              <c:ext xmlns:c16="http://schemas.microsoft.com/office/drawing/2014/chart" uri="{C3380CC4-5D6E-409C-BE32-E72D297353CC}">
                <c16:uniqueId val="{00000001-38E3-4485-B5D9-21D7E1E5E94D}"/>
              </c:ext>
            </c:extLst>
          </c:dPt>
          <c:dLbls>
            <c:dLbl>
              <c:idx val="0"/>
              <c:layout>
                <c:manualLayout>
                  <c:x val="-0.17998592729100354"/>
                  <c:y val="-0.267902072982121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8E3-4485-B5D9-21D7E1E5E94D}"/>
                </c:ext>
              </c:extLst>
            </c:dLbl>
            <c:dLbl>
              <c:idx val="1"/>
              <c:layout>
                <c:manualLayout>
                  <c:x val="-5.7639135533590229E-2"/>
                  <c:y val="-3.685941468881278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E3-4485-B5D9-21D7E1E5E94D}"/>
                </c:ext>
              </c:extLst>
            </c:dLbl>
            <c:dLbl>
              <c:idx val="2"/>
              <c:layout>
                <c:manualLayout>
                  <c:x val="0.23467962249399668"/>
                  <c:y val="-0.1052610090405369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8E3-4485-B5D9-21D7E1E5E94D}"/>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balance'!$A$67:$A$68</c:f>
              <c:strCache>
                <c:ptCount val="2"/>
                <c:pt idx="0">
                  <c:v>ACTIVO NO CORRIENTE</c:v>
                </c:pt>
                <c:pt idx="1">
                  <c:v>ACTIVO CORRIENTE</c:v>
                </c:pt>
              </c:strCache>
            </c:strRef>
          </c:cat>
          <c:val>
            <c:numRef>
              <c:f>'Resumen balance'!$D$67:$D$68</c:f>
              <c:numCache>
                <c:formatCode>0%</c:formatCode>
                <c:ptCount val="2"/>
                <c:pt idx="0">
                  <c:v>0.46663736670650485</c:v>
                </c:pt>
                <c:pt idx="1">
                  <c:v>0.5333626332934952</c:v>
                </c:pt>
              </c:numCache>
            </c:numRef>
          </c:val>
          <c:extLst>
            <c:ext xmlns:c16="http://schemas.microsoft.com/office/drawing/2014/chart" uri="{C3380CC4-5D6E-409C-BE32-E72D297353CC}">
              <c16:uniqueId val="{00000003-38E3-4485-B5D9-21D7E1E5E94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b="1" i="0" u="none" strike="noStrike" baseline="0">
              <a:solidFill>
                <a:srgbClr val="000000"/>
              </a:solidFill>
              <a:latin typeface="Calibri"/>
              <a:ea typeface="Calibri"/>
              <a:cs typeface="Calibri"/>
            </a:defRPr>
          </a:pPr>
          <a:endParaRPr lang="es-CO"/>
        </a:p>
      </c:txPr>
    </c:title>
    <c:autoTitleDeleted val="0"/>
    <c:view3D>
      <c:rotX val="30"/>
      <c:rotY val="0"/>
      <c:rAngAx val="0"/>
    </c:view3D>
    <c:floor>
      <c:thickness val="0"/>
    </c:floor>
    <c:sideWall>
      <c:thickness val="0"/>
    </c:sideWall>
    <c:backWall>
      <c:thickness val="0"/>
    </c:backWall>
    <c:plotArea>
      <c:layout/>
      <c:pie3DChart>
        <c:varyColors val="1"/>
        <c:ser>
          <c:idx val="0"/>
          <c:order val="0"/>
          <c:tx>
            <c:strRef>
              <c:f>'Resumen balance'!$H$63</c:f>
              <c:strCache>
                <c:ptCount val="1"/>
                <c:pt idx="0">
                  <c:v>2021</c:v>
                </c:pt>
              </c:strCache>
            </c:strRef>
          </c:tx>
          <c:dPt>
            <c:idx val="0"/>
            <c:bubble3D val="0"/>
            <c:extLst>
              <c:ext xmlns:c16="http://schemas.microsoft.com/office/drawing/2014/chart" uri="{C3380CC4-5D6E-409C-BE32-E72D297353CC}">
                <c16:uniqueId val="{00000000-1B14-40C4-B3AE-73D995C7717E}"/>
              </c:ext>
            </c:extLst>
          </c:dPt>
          <c:dPt>
            <c:idx val="1"/>
            <c:bubble3D val="0"/>
            <c:extLst>
              <c:ext xmlns:c16="http://schemas.microsoft.com/office/drawing/2014/chart" uri="{C3380CC4-5D6E-409C-BE32-E72D297353CC}">
                <c16:uniqueId val="{00000001-1B14-40C4-B3AE-73D995C7717E}"/>
              </c:ext>
            </c:extLst>
          </c:dPt>
          <c:dLbls>
            <c:dLbl>
              <c:idx val="0"/>
              <c:layout>
                <c:manualLayout>
                  <c:x val="-0.17998592729100354"/>
                  <c:y val="-0.267902072982121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B14-40C4-B3AE-73D995C7717E}"/>
                </c:ext>
              </c:extLst>
            </c:dLbl>
            <c:dLbl>
              <c:idx val="1"/>
              <c:layout>
                <c:manualLayout>
                  <c:x val="-5.7639135533590229E-2"/>
                  <c:y val="-3.68594146888127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B14-40C4-B3AE-73D995C7717E}"/>
                </c:ext>
              </c:extLst>
            </c:dLbl>
            <c:dLbl>
              <c:idx val="2"/>
              <c:layout>
                <c:manualLayout>
                  <c:x val="0.23467962249399668"/>
                  <c:y val="-0.1052610090405369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B14-40C4-B3AE-73D995C7717E}"/>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balance'!$A$67:$A$68</c:f>
              <c:strCache>
                <c:ptCount val="2"/>
                <c:pt idx="0">
                  <c:v>ACTIVO NO CORRIENTE</c:v>
                </c:pt>
                <c:pt idx="1">
                  <c:v>ACTIVO CORRIENTE</c:v>
                </c:pt>
              </c:strCache>
            </c:strRef>
          </c:cat>
          <c:val>
            <c:numRef>
              <c:f>'Resumen balance'!$H$67:$H$68</c:f>
              <c:numCache>
                <c:formatCode>0%</c:formatCode>
                <c:ptCount val="2"/>
                <c:pt idx="0">
                  <c:v>0.53178200382460961</c:v>
                </c:pt>
                <c:pt idx="1">
                  <c:v>0.46821799617539034</c:v>
                </c:pt>
              </c:numCache>
            </c:numRef>
          </c:val>
          <c:extLst>
            <c:ext xmlns:c16="http://schemas.microsoft.com/office/drawing/2014/chart" uri="{C3380CC4-5D6E-409C-BE32-E72D297353CC}">
              <c16:uniqueId val="{00000003-1B14-40C4-B3AE-73D995C7717E}"/>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22" l="0.70000000000000062" r="0.70000000000000062" t="0.750000000000002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tx>
            <c:strRef>
              <c:f>'Resumen balance'!$D$63</c:f>
              <c:strCache>
                <c:ptCount val="1"/>
                <c:pt idx="0">
                  <c:v>2019</c:v>
                </c:pt>
              </c:strCache>
            </c:strRef>
          </c:tx>
          <c:dPt>
            <c:idx val="0"/>
            <c:bubble3D val="0"/>
            <c:extLst>
              <c:ext xmlns:c16="http://schemas.microsoft.com/office/drawing/2014/chart" uri="{C3380CC4-5D6E-409C-BE32-E72D297353CC}">
                <c16:uniqueId val="{00000000-7D55-4643-A7B8-97855A518B6E}"/>
              </c:ext>
            </c:extLst>
          </c:dPt>
          <c:dPt>
            <c:idx val="1"/>
            <c:bubble3D val="0"/>
            <c:extLst>
              <c:ext xmlns:c16="http://schemas.microsoft.com/office/drawing/2014/chart" uri="{C3380CC4-5D6E-409C-BE32-E72D297353CC}">
                <c16:uniqueId val="{00000001-7D55-4643-A7B8-97855A518B6E}"/>
              </c:ext>
            </c:extLst>
          </c:dPt>
          <c:dPt>
            <c:idx val="2"/>
            <c:bubble3D val="0"/>
            <c:extLst>
              <c:ext xmlns:c16="http://schemas.microsoft.com/office/drawing/2014/chart" uri="{C3380CC4-5D6E-409C-BE32-E72D297353CC}">
                <c16:uniqueId val="{00000002-7D55-4643-A7B8-97855A518B6E}"/>
              </c:ext>
            </c:extLst>
          </c:dPt>
          <c:dLbls>
            <c:dLbl>
              <c:idx val="0"/>
              <c:layout>
                <c:manualLayout>
                  <c:x val="7.5333221645167037E-2"/>
                  <c:y val="-3.93305466446323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55-4643-A7B8-97855A518B6E}"/>
                </c:ext>
              </c:extLst>
            </c:dLbl>
            <c:dLbl>
              <c:idx val="1"/>
              <c:layout>
                <c:manualLayout>
                  <c:x val="1.6119729714636741E-2"/>
                  <c:y val="0.1079025307021810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D55-4643-A7B8-97855A518B6E}"/>
                </c:ext>
              </c:extLst>
            </c:dLbl>
            <c:dLbl>
              <c:idx val="2"/>
              <c:layout>
                <c:manualLayout>
                  <c:x val="0.23467962249399668"/>
                  <c:y val="-0.1052610090405368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D55-4643-A7B8-97855A518B6E}"/>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balance'!$A$64:$A$66</c:f>
              <c:strCache>
                <c:ptCount val="3"/>
                <c:pt idx="0">
                  <c:v>PASIVO CORRIENTE</c:v>
                </c:pt>
                <c:pt idx="1">
                  <c:v>PASIVO NO CORRIENTE</c:v>
                </c:pt>
                <c:pt idx="2">
                  <c:v>PATRIMONIO</c:v>
                </c:pt>
              </c:strCache>
            </c:strRef>
          </c:cat>
          <c:val>
            <c:numRef>
              <c:f>'Resumen balance'!$D$64:$D$66</c:f>
              <c:numCache>
                <c:formatCode>0%</c:formatCode>
                <c:ptCount val="3"/>
                <c:pt idx="0">
                  <c:v>0.29021624535209328</c:v>
                </c:pt>
                <c:pt idx="1">
                  <c:v>0.24463838858398615</c:v>
                </c:pt>
                <c:pt idx="2">
                  <c:v>0.46514536606392048</c:v>
                </c:pt>
              </c:numCache>
            </c:numRef>
          </c:val>
          <c:extLst>
            <c:ext xmlns:c16="http://schemas.microsoft.com/office/drawing/2014/chart" uri="{C3380CC4-5D6E-409C-BE32-E72D297353CC}">
              <c16:uniqueId val="{00000003-7D55-4643-A7B8-97855A518B6E}"/>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tx>
            <c:strRef>
              <c:f>'Resumen balance'!$H$63</c:f>
              <c:strCache>
                <c:ptCount val="1"/>
                <c:pt idx="0">
                  <c:v>2021</c:v>
                </c:pt>
              </c:strCache>
            </c:strRef>
          </c:tx>
          <c:dPt>
            <c:idx val="0"/>
            <c:bubble3D val="0"/>
            <c:extLst>
              <c:ext xmlns:c16="http://schemas.microsoft.com/office/drawing/2014/chart" uri="{C3380CC4-5D6E-409C-BE32-E72D297353CC}">
                <c16:uniqueId val="{00000000-BCAF-4328-8E14-9EC5CB2E9FD7}"/>
              </c:ext>
            </c:extLst>
          </c:dPt>
          <c:dPt>
            <c:idx val="1"/>
            <c:bubble3D val="0"/>
            <c:extLst>
              <c:ext xmlns:c16="http://schemas.microsoft.com/office/drawing/2014/chart" uri="{C3380CC4-5D6E-409C-BE32-E72D297353CC}">
                <c16:uniqueId val="{00000001-BCAF-4328-8E14-9EC5CB2E9FD7}"/>
              </c:ext>
            </c:extLst>
          </c:dPt>
          <c:dPt>
            <c:idx val="2"/>
            <c:bubble3D val="0"/>
            <c:extLst>
              <c:ext xmlns:c16="http://schemas.microsoft.com/office/drawing/2014/chart" uri="{C3380CC4-5D6E-409C-BE32-E72D297353CC}">
                <c16:uniqueId val="{00000002-BCAF-4328-8E14-9EC5CB2E9FD7}"/>
              </c:ext>
            </c:extLst>
          </c:dPt>
          <c:dLbls>
            <c:dLbl>
              <c:idx val="0"/>
              <c:layout>
                <c:manualLayout>
                  <c:x val="7.5333221645167037E-2"/>
                  <c:y val="-3.93305466446323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CAF-4328-8E14-9EC5CB2E9FD7}"/>
                </c:ext>
              </c:extLst>
            </c:dLbl>
            <c:dLbl>
              <c:idx val="1"/>
              <c:layout>
                <c:manualLayout>
                  <c:x val="1.6119729714636741E-2"/>
                  <c:y val="0.1079025307021810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CAF-4328-8E14-9EC5CB2E9FD7}"/>
                </c:ext>
              </c:extLst>
            </c:dLbl>
            <c:dLbl>
              <c:idx val="2"/>
              <c:layout>
                <c:manualLayout>
                  <c:x val="0.23467962249399668"/>
                  <c:y val="-0.1052610090405368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CAF-4328-8E14-9EC5CB2E9FD7}"/>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balance'!$A$64:$A$66</c:f>
              <c:strCache>
                <c:ptCount val="3"/>
                <c:pt idx="0">
                  <c:v>PASIVO CORRIENTE</c:v>
                </c:pt>
                <c:pt idx="1">
                  <c:v>PASIVO NO CORRIENTE</c:v>
                </c:pt>
                <c:pt idx="2">
                  <c:v>PATRIMONIO</c:v>
                </c:pt>
              </c:strCache>
            </c:strRef>
          </c:cat>
          <c:val>
            <c:numRef>
              <c:f>'Resumen balance'!$H$64:$H$66</c:f>
              <c:numCache>
                <c:formatCode>0%</c:formatCode>
                <c:ptCount val="3"/>
                <c:pt idx="0">
                  <c:v>0.3514430673261647</c:v>
                </c:pt>
                <c:pt idx="1">
                  <c:v>0.19003912230238398</c:v>
                </c:pt>
                <c:pt idx="2">
                  <c:v>0.45851781037145128</c:v>
                </c:pt>
              </c:numCache>
            </c:numRef>
          </c:val>
          <c:extLst>
            <c:ext xmlns:c16="http://schemas.microsoft.com/office/drawing/2014/chart" uri="{C3380CC4-5D6E-409C-BE32-E72D297353CC}">
              <c16:uniqueId val="{00000003-BCAF-4328-8E14-9EC5CB2E9FD7}"/>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b="1" i="0" u="none" strike="noStrike" baseline="0">
              <a:solidFill>
                <a:srgbClr val="000000"/>
              </a:solidFill>
              <a:latin typeface="Calibri"/>
              <a:ea typeface="Calibri"/>
              <a:cs typeface="Calibri"/>
            </a:defRPr>
          </a:pPr>
          <a:endParaRPr lang="es-CO"/>
        </a:p>
      </c:txPr>
    </c:title>
    <c:autoTitleDeleted val="0"/>
    <c:view3D>
      <c:rotX val="30"/>
      <c:rotY val="0"/>
      <c:rAngAx val="0"/>
    </c:view3D>
    <c:floor>
      <c:thickness val="0"/>
    </c:floor>
    <c:sideWall>
      <c:thickness val="0"/>
    </c:sideWall>
    <c:backWall>
      <c:thickness val="0"/>
    </c:backWall>
    <c:plotArea>
      <c:layout/>
      <c:pie3DChart>
        <c:varyColors val="1"/>
        <c:ser>
          <c:idx val="0"/>
          <c:order val="0"/>
          <c:tx>
            <c:strRef>
              <c:f>'Resumen balance'!$F$63</c:f>
              <c:strCache>
                <c:ptCount val="1"/>
                <c:pt idx="0">
                  <c:v>2020</c:v>
                </c:pt>
              </c:strCache>
            </c:strRef>
          </c:tx>
          <c:dPt>
            <c:idx val="0"/>
            <c:bubble3D val="0"/>
            <c:extLst>
              <c:ext xmlns:c16="http://schemas.microsoft.com/office/drawing/2014/chart" uri="{C3380CC4-5D6E-409C-BE32-E72D297353CC}">
                <c16:uniqueId val="{00000000-7B72-47C7-BC3C-B02F73EB8454}"/>
              </c:ext>
            </c:extLst>
          </c:dPt>
          <c:dPt>
            <c:idx val="1"/>
            <c:bubble3D val="0"/>
            <c:extLst>
              <c:ext xmlns:c16="http://schemas.microsoft.com/office/drawing/2014/chart" uri="{C3380CC4-5D6E-409C-BE32-E72D297353CC}">
                <c16:uniqueId val="{00000001-7B72-47C7-BC3C-B02F73EB8454}"/>
              </c:ext>
            </c:extLst>
          </c:dPt>
          <c:dLbls>
            <c:dLbl>
              <c:idx val="0"/>
              <c:layout>
                <c:manualLayout>
                  <c:x val="-0.17998592729100354"/>
                  <c:y val="-0.2679020729821213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B72-47C7-BC3C-B02F73EB8454}"/>
                </c:ext>
              </c:extLst>
            </c:dLbl>
            <c:dLbl>
              <c:idx val="1"/>
              <c:layout>
                <c:manualLayout>
                  <c:x val="-5.7639135533590229E-2"/>
                  <c:y val="-3.685941468881278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B72-47C7-BC3C-B02F73EB8454}"/>
                </c:ext>
              </c:extLst>
            </c:dLbl>
            <c:dLbl>
              <c:idx val="2"/>
              <c:layout>
                <c:manualLayout>
                  <c:x val="0.23467962249399668"/>
                  <c:y val="-0.1052610090405369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B72-47C7-BC3C-B02F73EB8454}"/>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balance'!$A$67:$A$68</c:f>
              <c:strCache>
                <c:ptCount val="2"/>
                <c:pt idx="0">
                  <c:v>ACTIVO NO CORRIENTE</c:v>
                </c:pt>
                <c:pt idx="1">
                  <c:v>ACTIVO CORRIENTE</c:v>
                </c:pt>
              </c:strCache>
            </c:strRef>
          </c:cat>
          <c:val>
            <c:numRef>
              <c:f>'Resumen balance'!$F$67:$F$68</c:f>
              <c:numCache>
                <c:formatCode>0%</c:formatCode>
                <c:ptCount val="2"/>
                <c:pt idx="0">
                  <c:v>0.40126119352562756</c:v>
                </c:pt>
                <c:pt idx="1">
                  <c:v>0.5987388064743725</c:v>
                </c:pt>
              </c:numCache>
            </c:numRef>
          </c:val>
          <c:extLst>
            <c:ext xmlns:c16="http://schemas.microsoft.com/office/drawing/2014/chart" uri="{C3380CC4-5D6E-409C-BE32-E72D297353CC}">
              <c16:uniqueId val="{00000003-7B72-47C7-BC3C-B02F73EB8454}"/>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pie3DChart>
        <c:varyColors val="1"/>
        <c:ser>
          <c:idx val="0"/>
          <c:order val="0"/>
          <c:tx>
            <c:strRef>
              <c:f>'Resumen balance'!$F$63</c:f>
              <c:strCache>
                <c:ptCount val="1"/>
                <c:pt idx="0">
                  <c:v>2020</c:v>
                </c:pt>
              </c:strCache>
            </c:strRef>
          </c:tx>
          <c:dPt>
            <c:idx val="0"/>
            <c:bubble3D val="0"/>
            <c:extLst>
              <c:ext xmlns:c16="http://schemas.microsoft.com/office/drawing/2014/chart" uri="{C3380CC4-5D6E-409C-BE32-E72D297353CC}">
                <c16:uniqueId val="{00000000-445E-4D52-9682-3DB70216CC39}"/>
              </c:ext>
            </c:extLst>
          </c:dPt>
          <c:dPt>
            <c:idx val="1"/>
            <c:bubble3D val="0"/>
            <c:extLst>
              <c:ext xmlns:c16="http://schemas.microsoft.com/office/drawing/2014/chart" uri="{C3380CC4-5D6E-409C-BE32-E72D297353CC}">
                <c16:uniqueId val="{00000001-445E-4D52-9682-3DB70216CC39}"/>
              </c:ext>
            </c:extLst>
          </c:dPt>
          <c:dPt>
            <c:idx val="2"/>
            <c:bubble3D val="0"/>
            <c:extLst>
              <c:ext xmlns:c16="http://schemas.microsoft.com/office/drawing/2014/chart" uri="{C3380CC4-5D6E-409C-BE32-E72D297353CC}">
                <c16:uniqueId val="{00000002-445E-4D52-9682-3DB70216CC39}"/>
              </c:ext>
            </c:extLst>
          </c:dPt>
          <c:dLbls>
            <c:dLbl>
              <c:idx val="0"/>
              <c:layout>
                <c:manualLayout>
                  <c:x val="7.5333221645167037E-2"/>
                  <c:y val="-3.93305466446323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45E-4D52-9682-3DB70216CC39}"/>
                </c:ext>
              </c:extLst>
            </c:dLbl>
            <c:dLbl>
              <c:idx val="1"/>
              <c:layout>
                <c:manualLayout>
                  <c:x val="1.6119729714636741E-2"/>
                  <c:y val="0.1079025307021810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45E-4D52-9682-3DB70216CC39}"/>
                </c:ext>
              </c:extLst>
            </c:dLbl>
            <c:dLbl>
              <c:idx val="2"/>
              <c:layout>
                <c:manualLayout>
                  <c:x val="0.23467962249399668"/>
                  <c:y val="-0.1052610090405368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45E-4D52-9682-3DB70216CC39}"/>
                </c:ext>
              </c:extLst>
            </c:dLbl>
            <c:spPr>
              <a:noFill/>
              <a:ln>
                <a:noFill/>
              </a:ln>
              <a:effectLst/>
            </c:spPr>
            <c:txPr>
              <a:bodyPr/>
              <a:lstStyle/>
              <a:p>
                <a:pPr>
                  <a:defRPr sz="500" b="0" i="0" u="none" strike="noStrike" baseline="0">
                    <a:solidFill>
                      <a:srgbClr val="000000"/>
                    </a:solidFill>
                    <a:latin typeface="Calibri"/>
                    <a:ea typeface="Calibri"/>
                    <a:cs typeface="Calibri"/>
                  </a:defRPr>
                </a:pPr>
                <a:endParaRPr lang="es-CO"/>
              </a:p>
            </c:txPr>
            <c:showLegendKey val="0"/>
            <c:showVal val="0"/>
            <c:showCatName val="1"/>
            <c:showSerName val="0"/>
            <c:showPercent val="1"/>
            <c:showBubbleSize val="0"/>
            <c:showLeaderLines val="1"/>
            <c:extLst>
              <c:ext xmlns:c15="http://schemas.microsoft.com/office/drawing/2012/chart" uri="{CE6537A1-D6FC-4f65-9D91-7224C49458BB}"/>
            </c:extLst>
          </c:dLbls>
          <c:cat>
            <c:strRef>
              <c:f>'Resumen balance'!$A$64:$A$66</c:f>
              <c:strCache>
                <c:ptCount val="3"/>
                <c:pt idx="0">
                  <c:v>PASIVO CORRIENTE</c:v>
                </c:pt>
                <c:pt idx="1">
                  <c:v>PASIVO NO CORRIENTE</c:v>
                </c:pt>
                <c:pt idx="2">
                  <c:v>PATRIMONIO</c:v>
                </c:pt>
              </c:strCache>
            </c:strRef>
          </c:cat>
          <c:val>
            <c:numRef>
              <c:f>'Resumen balance'!$F$64:$F$66</c:f>
              <c:numCache>
                <c:formatCode>0%</c:formatCode>
                <c:ptCount val="3"/>
                <c:pt idx="0">
                  <c:v>0.28155840711393526</c:v>
                </c:pt>
                <c:pt idx="1">
                  <c:v>0.16723039164563158</c:v>
                </c:pt>
                <c:pt idx="2">
                  <c:v>0.5512112012404331</c:v>
                </c:pt>
              </c:numCache>
            </c:numRef>
          </c:val>
          <c:extLst>
            <c:ext xmlns:c16="http://schemas.microsoft.com/office/drawing/2014/chart" uri="{C3380CC4-5D6E-409C-BE32-E72D297353CC}">
              <c16:uniqueId val="{00000003-445E-4D52-9682-3DB70216CC39}"/>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78" l="0.70000000000000062" r="0.70000000000000062" t="0.75000000000000178"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hyperlink" Target="#Contenido!A1"/><Relationship Id="rId2" Type="http://schemas.openxmlformats.org/officeDocument/2006/relationships/chart" Target="../charts/chart21.xml"/><Relationship Id="rId1" Type="http://schemas.openxmlformats.org/officeDocument/2006/relationships/chart" Target="../charts/chart20.xml"/></Relationships>
</file>

<file path=xl/drawings/_rels/drawing13.xml.rels><?xml version="1.0" encoding="UTF-8" standalone="yes"?>
<Relationships xmlns="http://schemas.openxmlformats.org/package/2006/relationships"><Relationship Id="rId3" Type="http://schemas.openxmlformats.org/officeDocument/2006/relationships/hyperlink" Target="#Contenido!A1"/><Relationship Id="rId2" Type="http://schemas.openxmlformats.org/officeDocument/2006/relationships/chart" Target="../charts/chart23.xml"/><Relationship Id="rId1" Type="http://schemas.openxmlformats.org/officeDocument/2006/relationships/chart" Target="../charts/chart22.xml"/></Relationships>
</file>

<file path=xl/drawings/_rels/drawing1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3" Type="http://schemas.openxmlformats.org/officeDocument/2006/relationships/hyperlink" Target="#Contenido!A1"/><Relationship Id="rId2" Type="http://schemas.openxmlformats.org/officeDocument/2006/relationships/chart" Target="../charts/chart26.xml"/><Relationship Id="rId1" Type="http://schemas.openxmlformats.org/officeDocument/2006/relationships/chart" Target="../charts/chart25.xml"/></Relationships>
</file>

<file path=xl/drawings/_rels/drawing1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9.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0.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1.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2.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3.xml.rels><?xml version="1.0" encoding="UTF-8" standalone="yes"?>
<Relationships xmlns="http://schemas.openxmlformats.org/package/2006/relationships"><Relationship Id="rId8" Type="http://schemas.openxmlformats.org/officeDocument/2006/relationships/chart" Target="../charts/chart34.xml"/><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 Id="rId9" Type="http://schemas.openxmlformats.org/officeDocument/2006/relationships/hyperlink" Target="#Contenido!A1"/></Relationships>
</file>

<file path=xl/drawings/_rels/drawing2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3.xml.rels><?xml version="1.0" encoding="UTF-8" standalone="yes"?>
<Relationships xmlns="http://schemas.openxmlformats.org/package/2006/relationships"><Relationship Id="rId1" Type="http://schemas.openxmlformats.org/officeDocument/2006/relationships/hyperlink" Target="#Contenido!A1"/></Relationships>
</file>

<file path=xl/drawings/_rels/drawing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8" Type="http://schemas.openxmlformats.org/officeDocument/2006/relationships/hyperlink" Target="#Contenido!A1"/><Relationship Id="rId13" Type="http://schemas.openxmlformats.org/officeDocument/2006/relationships/chart" Target="../charts/chart12.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1.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3" Type="http://schemas.openxmlformats.org/officeDocument/2006/relationships/hyperlink" Target="#Contenido!A1"/><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47625</xdr:colOff>
      <xdr:row>0</xdr:row>
      <xdr:rowOff>57150</xdr:rowOff>
    </xdr:from>
    <xdr:to>
      <xdr:col>1</xdr:col>
      <xdr:colOff>676275</xdr:colOff>
      <xdr:row>1</xdr:row>
      <xdr:rowOff>76200</xdr:rowOff>
    </xdr:to>
    <xdr:sp macro="" textlink="">
      <xdr:nvSpPr>
        <xdr:cNvPr id="2" name="1 Flecha izquierda" descr="af25652a-4c52-485e-a9d8-5c15a75587d2">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19075" y="57150"/>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9525</xdr:colOff>
      <xdr:row>27</xdr:row>
      <xdr:rowOff>95250</xdr:rowOff>
    </xdr:from>
    <xdr:to>
      <xdr:col>4</xdr:col>
      <xdr:colOff>0</xdr:colOff>
      <xdr:row>27</xdr:row>
      <xdr:rowOff>96838</xdr:rowOff>
    </xdr:to>
    <xdr:cxnSp macro="">
      <xdr:nvCxnSpPr>
        <xdr:cNvPr id="2" name="1 Conector recto de flecha" descr="2b24d9c8-ea0c-4913-abee-b45bc04987ab">
          <a:extLst>
            <a:ext uri="{FF2B5EF4-FFF2-40B4-BE49-F238E27FC236}">
              <a16:creationId xmlns:a16="http://schemas.microsoft.com/office/drawing/2014/main" id="{00000000-0008-0000-0F00-000002000000}"/>
            </a:ext>
          </a:extLst>
        </xdr:cNvPr>
        <xdr:cNvCxnSpPr/>
      </xdr:nvCxnSpPr>
      <xdr:spPr>
        <a:xfrm>
          <a:off x="14630400" y="8496300"/>
          <a:ext cx="752475"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582087</xdr:colOff>
      <xdr:row>28</xdr:row>
      <xdr:rowOff>52918</xdr:rowOff>
    </xdr:from>
    <xdr:to>
      <xdr:col>4</xdr:col>
      <xdr:colOff>594258</xdr:colOff>
      <xdr:row>31</xdr:row>
      <xdr:rowOff>105834</xdr:rowOff>
    </xdr:to>
    <xdr:cxnSp macro="">
      <xdr:nvCxnSpPr>
        <xdr:cNvPr id="12" name="11 Conector recto de flecha" descr="7299ecd0-ba51-4844-a095-09d0c4599b73">
          <a:extLst>
            <a:ext uri="{FF2B5EF4-FFF2-40B4-BE49-F238E27FC236}">
              <a16:creationId xmlns:a16="http://schemas.microsoft.com/office/drawing/2014/main" id="{00000000-0008-0000-0F00-00000C000000}"/>
            </a:ext>
          </a:extLst>
        </xdr:cNvPr>
        <xdr:cNvCxnSpPr/>
      </xdr:nvCxnSpPr>
      <xdr:spPr>
        <a:xfrm rot="5400000">
          <a:off x="5800465" y="5470790"/>
          <a:ext cx="624416" cy="1217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1502833</xdr:colOff>
      <xdr:row>32</xdr:row>
      <xdr:rowOff>116417</xdr:rowOff>
    </xdr:from>
    <xdr:to>
      <xdr:col>3</xdr:col>
      <xdr:colOff>1471084</xdr:colOff>
      <xdr:row>32</xdr:row>
      <xdr:rowOff>118005</xdr:rowOff>
    </xdr:to>
    <xdr:cxnSp macro="">
      <xdr:nvCxnSpPr>
        <xdr:cNvPr id="15" name="14 Conector recto de flecha" descr="639e6ab2-1cd5-4dd5-b025-01ea1004ef20">
          <a:extLst>
            <a:ext uri="{FF2B5EF4-FFF2-40B4-BE49-F238E27FC236}">
              <a16:creationId xmlns:a16="http://schemas.microsoft.com/office/drawing/2014/main" id="{00000000-0008-0000-0F00-00000F000000}"/>
            </a:ext>
          </a:extLst>
        </xdr:cNvPr>
        <xdr:cNvCxnSpPr/>
      </xdr:nvCxnSpPr>
      <xdr:spPr>
        <a:xfrm rot="10800000">
          <a:off x="4000500" y="5990167"/>
          <a:ext cx="1481667"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877622</xdr:colOff>
      <xdr:row>28</xdr:row>
      <xdr:rowOff>32544</xdr:rowOff>
    </xdr:from>
    <xdr:to>
      <xdr:col>2</xdr:col>
      <xdr:colOff>879210</xdr:colOff>
      <xdr:row>31</xdr:row>
      <xdr:rowOff>159544</xdr:rowOff>
    </xdr:to>
    <xdr:cxnSp macro="">
      <xdr:nvCxnSpPr>
        <xdr:cNvPr id="17" name="16 Conector recto de flecha" descr="40d5959d-0b2e-4e4a-875b-cefb9193353e">
          <a:extLst>
            <a:ext uri="{FF2B5EF4-FFF2-40B4-BE49-F238E27FC236}">
              <a16:creationId xmlns:a16="http://schemas.microsoft.com/office/drawing/2014/main" id="{00000000-0008-0000-0F00-000011000000}"/>
            </a:ext>
          </a:extLst>
        </xdr:cNvPr>
        <xdr:cNvCxnSpPr/>
      </xdr:nvCxnSpPr>
      <xdr:spPr>
        <a:xfrm rot="5400000" flipH="1" flipV="1">
          <a:off x="3026833" y="5492750"/>
          <a:ext cx="698500"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2459355</xdr:colOff>
      <xdr:row>35</xdr:row>
      <xdr:rowOff>47625</xdr:rowOff>
    </xdr:from>
    <xdr:to>
      <xdr:col>13</xdr:col>
      <xdr:colOff>788670</xdr:colOff>
      <xdr:row>59</xdr:row>
      <xdr:rowOff>0</xdr:rowOff>
    </xdr:to>
    <xdr:graphicFrame macro="">
      <xdr:nvGraphicFramePr>
        <xdr:cNvPr id="827062" name="17 Gráfico">
          <a:extLst>
            <a:ext uri="{FF2B5EF4-FFF2-40B4-BE49-F238E27FC236}">
              <a16:creationId xmlns:a16="http://schemas.microsoft.com/office/drawing/2014/main" id="{00000000-0008-0000-0F00-0000B69E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52915</xdr:colOff>
      <xdr:row>0</xdr:row>
      <xdr:rowOff>63498</xdr:rowOff>
    </xdr:from>
    <xdr:to>
      <xdr:col>1</xdr:col>
      <xdr:colOff>681565</xdr:colOff>
      <xdr:row>1</xdr:row>
      <xdr:rowOff>82548</xdr:rowOff>
    </xdr:to>
    <xdr:sp macro="" textlink="">
      <xdr:nvSpPr>
        <xdr:cNvPr id="7" name="6 Flecha izquierda" descr="b7f4921d-b747-419d-8063-2df4abd03063">
          <a:hlinkClick xmlns:r="http://schemas.openxmlformats.org/officeDocument/2006/relationships" r:id="rId2"/>
          <a:extLst>
            <a:ext uri="{FF2B5EF4-FFF2-40B4-BE49-F238E27FC236}">
              <a16:creationId xmlns:a16="http://schemas.microsoft.com/office/drawing/2014/main" id="{00000000-0008-0000-0F00-000007000000}"/>
            </a:ext>
          </a:extLst>
        </xdr:cNvPr>
        <xdr:cNvSpPr/>
      </xdr:nvSpPr>
      <xdr:spPr>
        <a:xfrm>
          <a:off x="126998" y="63498"/>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81491</xdr:colOff>
      <xdr:row>24</xdr:row>
      <xdr:rowOff>129116</xdr:rowOff>
    </xdr:from>
    <xdr:to>
      <xdr:col>11</xdr:col>
      <xdr:colOff>8466</xdr:colOff>
      <xdr:row>51</xdr:row>
      <xdr:rowOff>42334</xdr:rowOff>
    </xdr:to>
    <xdr:graphicFrame macro="">
      <xdr:nvGraphicFramePr>
        <xdr:cNvPr id="828598" name="1 Gráfico">
          <a:extLst>
            <a:ext uri="{FF2B5EF4-FFF2-40B4-BE49-F238E27FC236}">
              <a16:creationId xmlns:a16="http://schemas.microsoft.com/office/drawing/2014/main" id="{00000000-0008-0000-1000-0000B6A4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52915</xdr:colOff>
      <xdr:row>0</xdr:row>
      <xdr:rowOff>74081</xdr:rowOff>
    </xdr:from>
    <xdr:to>
      <xdr:col>1</xdr:col>
      <xdr:colOff>681565</xdr:colOff>
      <xdr:row>1</xdr:row>
      <xdr:rowOff>93131</xdr:rowOff>
    </xdr:to>
    <xdr:sp macro="" textlink="">
      <xdr:nvSpPr>
        <xdr:cNvPr id="3" name="2 Flecha izquierda" descr="be47ff3d-7e12-4bff-bd70-7c9a6ceaeaba">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26998" y="74081"/>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38</xdr:row>
      <xdr:rowOff>0</xdr:rowOff>
    </xdr:from>
    <xdr:to>
      <xdr:col>2</xdr:col>
      <xdr:colOff>2250498</xdr:colOff>
      <xdr:row>67</xdr:row>
      <xdr:rowOff>50800</xdr:rowOff>
    </xdr:to>
    <xdr:graphicFrame macro="">
      <xdr:nvGraphicFramePr>
        <xdr:cNvPr id="830773" name="9 Gráfico">
          <a:extLst>
            <a:ext uri="{FF2B5EF4-FFF2-40B4-BE49-F238E27FC236}">
              <a16:creationId xmlns:a16="http://schemas.microsoft.com/office/drawing/2014/main" id="{00000000-0008-0000-1100-000035AD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2432242</xdr:colOff>
      <xdr:row>38</xdr:row>
      <xdr:rowOff>0</xdr:rowOff>
    </xdr:from>
    <xdr:to>
      <xdr:col>11</xdr:col>
      <xdr:colOff>14624</xdr:colOff>
      <xdr:row>67</xdr:row>
      <xdr:rowOff>50799</xdr:rowOff>
    </xdr:to>
    <xdr:graphicFrame macro="">
      <xdr:nvGraphicFramePr>
        <xdr:cNvPr id="830774" name="10 Gráfico">
          <a:extLst>
            <a:ext uri="{FF2B5EF4-FFF2-40B4-BE49-F238E27FC236}">
              <a16:creationId xmlns:a16="http://schemas.microsoft.com/office/drawing/2014/main" id="{00000000-0008-0000-1100-000036AD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52915</xdr:colOff>
      <xdr:row>0</xdr:row>
      <xdr:rowOff>74081</xdr:rowOff>
    </xdr:from>
    <xdr:to>
      <xdr:col>1</xdr:col>
      <xdr:colOff>681565</xdr:colOff>
      <xdr:row>1</xdr:row>
      <xdr:rowOff>93131</xdr:rowOff>
    </xdr:to>
    <xdr:sp macro="" textlink="">
      <xdr:nvSpPr>
        <xdr:cNvPr id="4" name="3 Flecha izquierda" descr="8ac2e0d5-39b0-4cf5-bf89-639acb113ac4">
          <a:hlinkClick xmlns:r="http://schemas.openxmlformats.org/officeDocument/2006/relationships" r:id="rId3"/>
          <a:extLst>
            <a:ext uri="{FF2B5EF4-FFF2-40B4-BE49-F238E27FC236}">
              <a16:creationId xmlns:a16="http://schemas.microsoft.com/office/drawing/2014/main" id="{00000000-0008-0000-1100-000004000000}"/>
            </a:ext>
          </a:extLst>
        </xdr:cNvPr>
        <xdr:cNvSpPr/>
      </xdr:nvSpPr>
      <xdr:spPr>
        <a:xfrm>
          <a:off x="126998" y="74081"/>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22860</xdr:colOff>
      <xdr:row>9</xdr:row>
      <xdr:rowOff>68580</xdr:rowOff>
    </xdr:from>
    <xdr:to>
      <xdr:col>6</xdr:col>
      <xdr:colOff>1524000</xdr:colOff>
      <xdr:row>31</xdr:row>
      <xdr:rowOff>114300</xdr:rowOff>
    </xdr:to>
    <xdr:graphicFrame macro="">
      <xdr:nvGraphicFramePr>
        <xdr:cNvPr id="2" name="Gráfico 1">
          <a:extLst>
            <a:ext uri="{FF2B5EF4-FFF2-40B4-BE49-F238E27FC236}">
              <a16:creationId xmlns:a16="http://schemas.microsoft.com/office/drawing/2014/main" id="{95CCDEC4-BBFE-4AAF-B224-80844ADE54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228600</xdr:colOff>
      <xdr:row>40</xdr:row>
      <xdr:rowOff>146955</xdr:rowOff>
    </xdr:from>
    <xdr:to>
      <xdr:col>5</xdr:col>
      <xdr:colOff>1134343</xdr:colOff>
      <xdr:row>73</xdr:row>
      <xdr:rowOff>160069</xdr:rowOff>
    </xdr:to>
    <xdr:graphicFrame macro="">
      <xdr:nvGraphicFramePr>
        <xdr:cNvPr id="6" name="Gráfico 5">
          <a:extLst>
            <a:ext uri="{FF2B5EF4-FFF2-40B4-BE49-F238E27FC236}">
              <a16:creationId xmlns:a16="http://schemas.microsoft.com/office/drawing/2014/main" id="{06C1C196-60B7-41E2-800C-CBAFEA68D8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201381</xdr:colOff>
      <xdr:row>41</xdr:row>
      <xdr:rowOff>114299</xdr:rowOff>
    </xdr:from>
    <xdr:ext cx="2268000" cy="576000"/>
    <xdr:sp macro="" textlink="$E$44">
      <xdr:nvSpPr>
        <xdr:cNvPr id="7" name="CuadroTexto 6">
          <a:extLst>
            <a:ext uri="{FF2B5EF4-FFF2-40B4-BE49-F238E27FC236}">
              <a16:creationId xmlns:a16="http://schemas.microsoft.com/office/drawing/2014/main" id="{C2A8F5DB-A237-499C-B3B9-4A31B00394C1}"/>
            </a:ext>
          </a:extLst>
        </xdr:cNvPr>
        <xdr:cNvSpPr txBox="1"/>
      </xdr:nvSpPr>
      <xdr:spPr>
        <a:xfrm>
          <a:off x="6210295" y="7886699"/>
          <a:ext cx="2268000" cy="576000"/>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fld id="{C1F5CD2A-606E-449C-A569-E16E7DD7E517}" type="TxLink">
            <a:rPr lang="en-US" sz="1600" b="0" i="0" u="none" strike="noStrike">
              <a:solidFill>
                <a:srgbClr val="000000"/>
              </a:solidFill>
              <a:latin typeface="Trebuchet MS"/>
            </a:rPr>
            <a:pPr algn="ctr"/>
            <a:t>Crea Valor</a:t>
          </a:fld>
          <a:endParaRPr lang="es-CO" sz="2000"/>
        </a:p>
      </xdr:txBody>
    </xdr:sp>
    <xdr:clientData/>
  </xdr:oneCellAnchor>
  <xdr:oneCellAnchor>
    <xdr:from>
      <xdr:col>4</xdr:col>
      <xdr:colOff>201381</xdr:colOff>
      <xdr:row>70</xdr:row>
      <xdr:rowOff>5443</xdr:rowOff>
    </xdr:from>
    <xdr:ext cx="2268000" cy="576000"/>
    <xdr:sp macro="" textlink="$E$45">
      <xdr:nvSpPr>
        <xdr:cNvPr id="8" name="CuadroTexto 7">
          <a:extLst>
            <a:ext uri="{FF2B5EF4-FFF2-40B4-BE49-F238E27FC236}">
              <a16:creationId xmlns:a16="http://schemas.microsoft.com/office/drawing/2014/main" id="{377E7517-34E9-432B-B532-8F1F2911D761}"/>
            </a:ext>
          </a:extLst>
        </xdr:cNvPr>
        <xdr:cNvSpPr txBox="1"/>
      </xdr:nvSpPr>
      <xdr:spPr>
        <a:xfrm>
          <a:off x="6210295" y="13144500"/>
          <a:ext cx="2268000" cy="576000"/>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fld id="{80476A4F-3BF1-4A4F-8BC7-52F051966D31}" type="TxLink">
            <a:rPr lang="en-US" sz="1600" b="0" i="0" u="none" strike="noStrike">
              <a:solidFill>
                <a:srgbClr val="000000"/>
              </a:solidFill>
              <a:latin typeface="Trebuchet MS"/>
            </a:rPr>
            <a:pPr algn="ctr"/>
            <a:t>Limita la Creación de Valor</a:t>
          </a:fld>
          <a:endParaRPr lang="es-CO" sz="4800"/>
        </a:p>
      </xdr:txBody>
    </xdr:sp>
    <xdr:clientData/>
  </xdr:oneCellAnchor>
  <xdr:oneCellAnchor>
    <xdr:from>
      <xdr:col>2</xdr:col>
      <xdr:colOff>451756</xdr:colOff>
      <xdr:row>41</xdr:row>
      <xdr:rowOff>114299</xdr:rowOff>
    </xdr:from>
    <xdr:ext cx="2268000" cy="576000"/>
    <xdr:sp macro="" textlink="$E$46">
      <xdr:nvSpPr>
        <xdr:cNvPr id="9" name="CuadroTexto 8">
          <a:extLst>
            <a:ext uri="{FF2B5EF4-FFF2-40B4-BE49-F238E27FC236}">
              <a16:creationId xmlns:a16="http://schemas.microsoft.com/office/drawing/2014/main" id="{58A07B6A-5A91-4EF9-BC90-83424D62DE1C}"/>
            </a:ext>
          </a:extLst>
        </xdr:cNvPr>
        <xdr:cNvSpPr txBox="1"/>
      </xdr:nvSpPr>
      <xdr:spPr>
        <a:xfrm>
          <a:off x="2781299" y="7886699"/>
          <a:ext cx="2268000" cy="576000"/>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fld id="{8FEC93EC-EBA5-4A89-B2BC-51E72CE29212}" type="TxLink">
            <a:rPr lang="en-US" sz="1600" b="0" i="0" u="none" strike="noStrike">
              <a:solidFill>
                <a:srgbClr val="000000"/>
              </a:solidFill>
              <a:latin typeface="Trebuchet MS"/>
            </a:rPr>
            <a:pPr algn="ctr"/>
            <a:t>Destruye Valor</a:t>
          </a:fld>
          <a:endParaRPr lang="es-CO" sz="9600"/>
        </a:p>
      </xdr:txBody>
    </xdr:sp>
    <xdr:clientData/>
  </xdr:oneCellAnchor>
  <xdr:oneCellAnchor>
    <xdr:from>
      <xdr:col>2</xdr:col>
      <xdr:colOff>451756</xdr:colOff>
      <xdr:row>70</xdr:row>
      <xdr:rowOff>5443</xdr:rowOff>
    </xdr:from>
    <xdr:ext cx="2268000" cy="576000"/>
    <xdr:sp macro="" textlink="$E$47">
      <xdr:nvSpPr>
        <xdr:cNvPr id="10" name="CuadroTexto 9">
          <a:extLst>
            <a:ext uri="{FF2B5EF4-FFF2-40B4-BE49-F238E27FC236}">
              <a16:creationId xmlns:a16="http://schemas.microsoft.com/office/drawing/2014/main" id="{B07B3DA8-3082-45C9-9291-A57F1BA1838E}"/>
            </a:ext>
          </a:extLst>
        </xdr:cNvPr>
        <xdr:cNvSpPr txBox="1"/>
      </xdr:nvSpPr>
      <xdr:spPr>
        <a:xfrm>
          <a:off x="2781299" y="13144500"/>
          <a:ext cx="2268000" cy="576000"/>
        </a:xfrm>
        <a:prstGeom prst="rect">
          <a:avLst/>
        </a:prstGeom>
        <a:solidFill>
          <a:schemeClr val="accent5">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fld id="{81FA9CD6-2616-488E-AFAB-CF0F9449F2E3}" type="TxLink">
            <a:rPr lang="en-US" sz="1600" b="0" i="0" u="none" strike="noStrike">
              <a:solidFill>
                <a:srgbClr val="000000"/>
              </a:solidFill>
              <a:latin typeface="Trebuchet MS"/>
            </a:rPr>
            <a:pPr algn="ctr"/>
            <a:t>Resguarda el potencial de crear valor</a:t>
          </a:fld>
          <a:endParaRPr lang="es-CO" sz="9600"/>
        </a:p>
      </xdr:txBody>
    </xdr:sp>
    <xdr:clientData/>
  </xdr:oneCellAnchor>
  <xdr:twoCellAnchor>
    <xdr:from>
      <xdr:col>0</xdr:col>
      <xdr:colOff>87085</xdr:colOff>
      <xdr:row>1</xdr:row>
      <xdr:rowOff>152400</xdr:rowOff>
    </xdr:from>
    <xdr:to>
      <xdr:col>0</xdr:col>
      <xdr:colOff>715735</xdr:colOff>
      <xdr:row>1</xdr:row>
      <xdr:rowOff>354330</xdr:rowOff>
    </xdr:to>
    <xdr:sp macro="" textlink="">
      <xdr:nvSpPr>
        <xdr:cNvPr id="11" name="3 Flecha izquierda" descr="8ac2e0d5-39b0-4cf5-bf89-639acb113ac4">
          <a:hlinkClick xmlns:r="http://schemas.openxmlformats.org/officeDocument/2006/relationships" r:id="rId3"/>
          <a:extLst>
            <a:ext uri="{FF2B5EF4-FFF2-40B4-BE49-F238E27FC236}">
              <a16:creationId xmlns:a16="http://schemas.microsoft.com/office/drawing/2014/main" id="{87F59FF7-4A37-4EBB-98AE-81C45FADC7F2}"/>
            </a:ext>
          </a:extLst>
        </xdr:cNvPr>
        <xdr:cNvSpPr/>
      </xdr:nvSpPr>
      <xdr:spPr>
        <a:xfrm>
          <a:off x="87085" y="337457"/>
          <a:ext cx="628650" cy="20193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74081</xdr:colOff>
      <xdr:row>0</xdr:row>
      <xdr:rowOff>63498</xdr:rowOff>
    </xdr:from>
    <xdr:to>
      <xdr:col>1</xdr:col>
      <xdr:colOff>702731</xdr:colOff>
      <xdr:row>1</xdr:row>
      <xdr:rowOff>82548</xdr:rowOff>
    </xdr:to>
    <xdr:sp macro="" textlink="">
      <xdr:nvSpPr>
        <xdr:cNvPr id="2" name="1 Flecha izquierda" descr="910fc336-0a1a-4500-9471-fce23333cfed">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48164" y="63498"/>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37040</xdr:colOff>
      <xdr:row>21</xdr:row>
      <xdr:rowOff>118533</xdr:rowOff>
    </xdr:from>
    <xdr:to>
      <xdr:col>11</xdr:col>
      <xdr:colOff>31749</xdr:colOff>
      <xdr:row>43</xdr:row>
      <xdr:rowOff>42333</xdr:rowOff>
    </xdr:to>
    <xdr:graphicFrame macro="">
      <xdr:nvGraphicFramePr>
        <xdr:cNvPr id="833719" name="1 Gráfico">
          <a:extLst>
            <a:ext uri="{FF2B5EF4-FFF2-40B4-BE49-F238E27FC236}">
              <a16:creationId xmlns:a16="http://schemas.microsoft.com/office/drawing/2014/main" id="{00000000-0008-0000-1300-0000B7B8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74081</xdr:colOff>
      <xdr:row>0</xdr:row>
      <xdr:rowOff>52915</xdr:rowOff>
    </xdr:from>
    <xdr:to>
      <xdr:col>1</xdr:col>
      <xdr:colOff>702731</xdr:colOff>
      <xdr:row>1</xdr:row>
      <xdr:rowOff>71965</xdr:rowOff>
    </xdr:to>
    <xdr:sp macro="" textlink="">
      <xdr:nvSpPr>
        <xdr:cNvPr id="3" name="2 Flecha izquierda" descr="4f5f443f-c894-421a-8aa6-d62eb872d524">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48164" y="5291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38100</xdr:colOff>
      <xdr:row>33</xdr:row>
      <xdr:rowOff>22861</xdr:rowOff>
    </xdr:from>
    <xdr:to>
      <xdr:col>2</xdr:col>
      <xdr:colOff>2882348</xdr:colOff>
      <xdr:row>59</xdr:row>
      <xdr:rowOff>33130</xdr:rowOff>
    </xdr:to>
    <xdr:graphicFrame macro="">
      <xdr:nvGraphicFramePr>
        <xdr:cNvPr id="811318" name="9 Gráfico">
          <a:extLst>
            <a:ext uri="{FF2B5EF4-FFF2-40B4-BE49-F238E27FC236}">
              <a16:creationId xmlns:a16="http://schemas.microsoft.com/office/drawing/2014/main" id="{00000000-0008-0000-0E00-00003661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3016002</xdr:colOff>
      <xdr:row>33</xdr:row>
      <xdr:rowOff>37658</xdr:rowOff>
    </xdr:from>
    <xdr:to>
      <xdr:col>10</xdr:col>
      <xdr:colOff>927653</xdr:colOff>
      <xdr:row>59</xdr:row>
      <xdr:rowOff>55217</xdr:rowOff>
    </xdr:to>
    <xdr:graphicFrame macro="">
      <xdr:nvGraphicFramePr>
        <xdr:cNvPr id="811319" name="11 Gráfico">
          <a:extLst>
            <a:ext uri="{FF2B5EF4-FFF2-40B4-BE49-F238E27FC236}">
              <a16:creationId xmlns:a16="http://schemas.microsoft.com/office/drawing/2014/main" id="{00000000-0008-0000-0E00-00003761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52915</xdr:colOff>
      <xdr:row>0</xdr:row>
      <xdr:rowOff>42332</xdr:rowOff>
    </xdr:from>
    <xdr:to>
      <xdr:col>1</xdr:col>
      <xdr:colOff>681565</xdr:colOff>
      <xdr:row>1</xdr:row>
      <xdr:rowOff>61382</xdr:rowOff>
    </xdr:to>
    <xdr:sp macro="" textlink="">
      <xdr:nvSpPr>
        <xdr:cNvPr id="4" name="3 Flecha izquierda" descr="7ea9c4c9-65f5-4d34-aaae-3d20fba57ebc">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296332" y="42332"/>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52915</xdr:colOff>
      <xdr:row>0</xdr:row>
      <xdr:rowOff>74081</xdr:rowOff>
    </xdr:from>
    <xdr:to>
      <xdr:col>1</xdr:col>
      <xdr:colOff>681565</xdr:colOff>
      <xdr:row>1</xdr:row>
      <xdr:rowOff>93131</xdr:rowOff>
    </xdr:to>
    <xdr:sp macro="" textlink="">
      <xdr:nvSpPr>
        <xdr:cNvPr id="4" name="3 Flecha izquierda" descr="8ac2e0d5-39b0-4cf5-bf89-639acb113ac4">
          <a:hlinkClick xmlns:r="http://schemas.openxmlformats.org/officeDocument/2006/relationships" r:id="rId1"/>
          <a:extLst>
            <a:ext uri="{FF2B5EF4-FFF2-40B4-BE49-F238E27FC236}">
              <a16:creationId xmlns:a16="http://schemas.microsoft.com/office/drawing/2014/main" id="{BC0D45CC-44AD-4F6F-BBB2-418B0E7D8458}"/>
            </a:ext>
          </a:extLst>
        </xdr:cNvPr>
        <xdr:cNvSpPr/>
      </xdr:nvSpPr>
      <xdr:spPr>
        <a:xfrm>
          <a:off x="129115" y="74081"/>
          <a:ext cx="628650" cy="20193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38100</xdr:colOff>
      <xdr:row>0</xdr:row>
      <xdr:rowOff>47625</xdr:rowOff>
    </xdr:from>
    <xdr:to>
      <xdr:col>1</xdr:col>
      <xdr:colOff>666750</xdr:colOff>
      <xdr:row>1</xdr:row>
      <xdr:rowOff>76200</xdr:rowOff>
    </xdr:to>
    <xdr:sp macro="" textlink="">
      <xdr:nvSpPr>
        <xdr:cNvPr id="2" name="1 Flecha izquierda" descr="6321125c-c994-40c5-b9c1-3723bbcd873b">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333375" y="476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0</xdr:row>
      <xdr:rowOff>47625</xdr:rowOff>
    </xdr:from>
    <xdr:to>
      <xdr:col>1</xdr:col>
      <xdr:colOff>657225</xdr:colOff>
      <xdr:row>1</xdr:row>
      <xdr:rowOff>76200</xdr:rowOff>
    </xdr:to>
    <xdr:sp macro="" textlink="">
      <xdr:nvSpPr>
        <xdr:cNvPr id="2" name="1 Flecha izquierda" descr="b33cd2b8-ce00-4b30-932f-da1a5c794a87">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323850" y="476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0</xdr:row>
      <xdr:rowOff>85725</xdr:rowOff>
    </xdr:from>
    <xdr:to>
      <xdr:col>2</xdr:col>
      <xdr:colOff>666750</xdr:colOff>
      <xdr:row>1</xdr:row>
      <xdr:rowOff>28575</xdr:rowOff>
    </xdr:to>
    <xdr:sp macro="" textlink="">
      <xdr:nvSpPr>
        <xdr:cNvPr id="2" name="1 Flecha izquierda" descr="d3140485-dfda-4845-95c4-0dd142c345a0">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33375" y="857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0</xdr:row>
      <xdr:rowOff>47625</xdr:rowOff>
    </xdr:from>
    <xdr:to>
      <xdr:col>1</xdr:col>
      <xdr:colOff>657225</xdr:colOff>
      <xdr:row>1</xdr:row>
      <xdr:rowOff>76200</xdr:rowOff>
    </xdr:to>
    <xdr:sp macro="" textlink="">
      <xdr:nvSpPr>
        <xdr:cNvPr id="2" name="1 Flecha izquierda" descr="88fdff42-5456-4a3c-8afd-9dcd2f277f9a">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342900" y="476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19050</xdr:colOff>
      <xdr:row>0</xdr:row>
      <xdr:rowOff>47625</xdr:rowOff>
    </xdr:from>
    <xdr:to>
      <xdr:col>1</xdr:col>
      <xdr:colOff>647700</xdr:colOff>
      <xdr:row>1</xdr:row>
      <xdr:rowOff>66675</xdr:rowOff>
    </xdr:to>
    <xdr:sp macro="" textlink="">
      <xdr:nvSpPr>
        <xdr:cNvPr id="2" name="1 Flecha izquierda" descr="ea10a72b-f846-40b8-b086-b598c857d954">
          <a:hlinkClick xmlns:r="http://schemas.openxmlformats.org/officeDocument/2006/relationships" r:id="rId1"/>
          <a:extLst>
            <a:ext uri="{FF2B5EF4-FFF2-40B4-BE49-F238E27FC236}">
              <a16:creationId xmlns:a16="http://schemas.microsoft.com/office/drawing/2014/main" id="{80CE645B-B7DE-4E1E-81DE-470EBD21D1B2}"/>
            </a:ext>
          </a:extLst>
        </xdr:cNvPr>
        <xdr:cNvSpPr/>
      </xdr:nvSpPr>
      <xdr:spPr>
        <a:xfrm>
          <a:off x="194310" y="476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19050</xdr:colOff>
      <xdr:row>0</xdr:row>
      <xdr:rowOff>47625</xdr:rowOff>
    </xdr:from>
    <xdr:to>
      <xdr:col>1</xdr:col>
      <xdr:colOff>647700</xdr:colOff>
      <xdr:row>1</xdr:row>
      <xdr:rowOff>66675</xdr:rowOff>
    </xdr:to>
    <xdr:sp macro="" textlink="">
      <xdr:nvSpPr>
        <xdr:cNvPr id="2" name="1 Flecha izquierda" descr="ea10a72b-f846-40b8-b086-b598c857d954">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200025" y="476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38100</xdr:colOff>
      <xdr:row>1</xdr:row>
      <xdr:rowOff>190500</xdr:rowOff>
    </xdr:from>
    <xdr:to>
      <xdr:col>8</xdr:col>
      <xdr:colOff>104775</xdr:colOff>
      <xdr:row>14</xdr:row>
      <xdr:rowOff>9525</xdr:rowOff>
    </xdr:to>
    <xdr:graphicFrame macro="">
      <xdr:nvGraphicFramePr>
        <xdr:cNvPr id="3601593" name="1 Gráfico">
          <a:extLst>
            <a:ext uri="{FF2B5EF4-FFF2-40B4-BE49-F238E27FC236}">
              <a16:creationId xmlns:a16="http://schemas.microsoft.com/office/drawing/2014/main" id="{00000000-0008-0000-1500-0000B9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285750</xdr:colOff>
      <xdr:row>2</xdr:row>
      <xdr:rowOff>0</xdr:rowOff>
    </xdr:from>
    <xdr:to>
      <xdr:col>13</xdr:col>
      <xdr:colOff>381000</xdr:colOff>
      <xdr:row>14</xdr:row>
      <xdr:rowOff>28575</xdr:rowOff>
    </xdr:to>
    <xdr:graphicFrame macro="">
      <xdr:nvGraphicFramePr>
        <xdr:cNvPr id="3601594" name="2 Gráfico">
          <a:extLst>
            <a:ext uri="{FF2B5EF4-FFF2-40B4-BE49-F238E27FC236}">
              <a16:creationId xmlns:a16="http://schemas.microsoft.com/office/drawing/2014/main" id="{00000000-0008-0000-1500-0000BA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47625</xdr:colOff>
      <xdr:row>14</xdr:row>
      <xdr:rowOff>133350</xdr:rowOff>
    </xdr:from>
    <xdr:to>
      <xdr:col>8</xdr:col>
      <xdr:colOff>133350</xdr:colOff>
      <xdr:row>27</xdr:row>
      <xdr:rowOff>47625</xdr:rowOff>
    </xdr:to>
    <xdr:graphicFrame macro="">
      <xdr:nvGraphicFramePr>
        <xdr:cNvPr id="3601595" name="3 Gráfico">
          <a:extLst>
            <a:ext uri="{FF2B5EF4-FFF2-40B4-BE49-F238E27FC236}">
              <a16:creationId xmlns:a16="http://schemas.microsoft.com/office/drawing/2014/main" id="{00000000-0008-0000-1500-0000BB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285750</xdr:colOff>
      <xdr:row>14</xdr:row>
      <xdr:rowOff>133350</xdr:rowOff>
    </xdr:from>
    <xdr:to>
      <xdr:col>13</xdr:col>
      <xdr:colOff>400050</xdr:colOff>
      <xdr:row>27</xdr:row>
      <xdr:rowOff>76200</xdr:rowOff>
    </xdr:to>
    <xdr:graphicFrame macro="">
      <xdr:nvGraphicFramePr>
        <xdr:cNvPr id="3601596" name="4 Gráfico">
          <a:extLst>
            <a:ext uri="{FF2B5EF4-FFF2-40B4-BE49-F238E27FC236}">
              <a16:creationId xmlns:a16="http://schemas.microsoft.com/office/drawing/2014/main" id="{00000000-0008-0000-1500-0000BC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152400</xdr:colOff>
      <xdr:row>28</xdr:row>
      <xdr:rowOff>158115</xdr:rowOff>
    </xdr:from>
    <xdr:to>
      <xdr:col>10</xdr:col>
      <xdr:colOff>40005</xdr:colOff>
      <xdr:row>40</xdr:row>
      <xdr:rowOff>70485</xdr:rowOff>
    </xdr:to>
    <xdr:graphicFrame macro="">
      <xdr:nvGraphicFramePr>
        <xdr:cNvPr id="3601597" name="8 Gráfico">
          <a:extLst>
            <a:ext uri="{FF2B5EF4-FFF2-40B4-BE49-F238E27FC236}">
              <a16:creationId xmlns:a16="http://schemas.microsoft.com/office/drawing/2014/main" id="{00000000-0008-0000-1500-0000BD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228600</xdr:colOff>
      <xdr:row>28</xdr:row>
      <xdr:rowOff>66675</xdr:rowOff>
    </xdr:from>
    <xdr:to>
      <xdr:col>13</xdr:col>
      <xdr:colOff>533400</xdr:colOff>
      <xdr:row>40</xdr:row>
      <xdr:rowOff>95250</xdr:rowOff>
    </xdr:to>
    <xdr:graphicFrame macro="">
      <xdr:nvGraphicFramePr>
        <xdr:cNvPr id="3601598" name="10 Gráfico">
          <a:extLst>
            <a:ext uri="{FF2B5EF4-FFF2-40B4-BE49-F238E27FC236}">
              <a16:creationId xmlns:a16="http://schemas.microsoft.com/office/drawing/2014/main" id="{00000000-0008-0000-1500-0000BE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228600</xdr:colOff>
      <xdr:row>40</xdr:row>
      <xdr:rowOff>152400</xdr:rowOff>
    </xdr:from>
    <xdr:to>
      <xdr:col>8</xdr:col>
      <xdr:colOff>0</xdr:colOff>
      <xdr:row>56</xdr:row>
      <xdr:rowOff>0</xdr:rowOff>
    </xdr:to>
    <xdr:graphicFrame macro="">
      <xdr:nvGraphicFramePr>
        <xdr:cNvPr id="3601599" name="11 Gráfico">
          <a:extLst>
            <a:ext uri="{FF2B5EF4-FFF2-40B4-BE49-F238E27FC236}">
              <a16:creationId xmlns:a16="http://schemas.microsoft.com/office/drawing/2014/main" id="{00000000-0008-0000-1500-0000BF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200025</xdr:colOff>
      <xdr:row>41</xdr:row>
      <xdr:rowOff>0</xdr:rowOff>
    </xdr:from>
    <xdr:to>
      <xdr:col>13</xdr:col>
      <xdr:colOff>504825</xdr:colOff>
      <xdr:row>55</xdr:row>
      <xdr:rowOff>180975</xdr:rowOff>
    </xdr:to>
    <xdr:graphicFrame macro="">
      <xdr:nvGraphicFramePr>
        <xdr:cNvPr id="3601600" name="15 Gráfico">
          <a:extLst>
            <a:ext uri="{FF2B5EF4-FFF2-40B4-BE49-F238E27FC236}">
              <a16:creationId xmlns:a16="http://schemas.microsoft.com/office/drawing/2014/main" id="{00000000-0008-0000-1500-0000C0F43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104775</xdr:colOff>
      <xdr:row>0</xdr:row>
      <xdr:rowOff>57150</xdr:rowOff>
    </xdr:from>
    <xdr:to>
      <xdr:col>3</xdr:col>
      <xdr:colOff>733425</xdr:colOff>
      <xdr:row>1</xdr:row>
      <xdr:rowOff>76200</xdr:rowOff>
    </xdr:to>
    <xdr:sp macro="" textlink="">
      <xdr:nvSpPr>
        <xdr:cNvPr id="10" name="9 Flecha izquierda" descr="401f3fce-b79b-4dba-9e15-460cb789ddf4">
          <a:hlinkClick xmlns:r="http://schemas.openxmlformats.org/officeDocument/2006/relationships" r:id="rId9"/>
          <a:extLst>
            <a:ext uri="{FF2B5EF4-FFF2-40B4-BE49-F238E27FC236}">
              <a16:creationId xmlns:a16="http://schemas.microsoft.com/office/drawing/2014/main" id="{00000000-0008-0000-1500-00000A000000}"/>
            </a:ext>
          </a:extLst>
        </xdr:cNvPr>
        <xdr:cNvSpPr/>
      </xdr:nvSpPr>
      <xdr:spPr>
        <a:xfrm>
          <a:off x="419100" y="57150"/>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63498</xdr:colOff>
      <xdr:row>0</xdr:row>
      <xdr:rowOff>52915</xdr:rowOff>
    </xdr:from>
    <xdr:to>
      <xdr:col>1</xdr:col>
      <xdr:colOff>692148</xdr:colOff>
      <xdr:row>1</xdr:row>
      <xdr:rowOff>71965</xdr:rowOff>
    </xdr:to>
    <xdr:sp macro="" textlink="">
      <xdr:nvSpPr>
        <xdr:cNvPr id="2" name="1 Flecha izquierda" descr="ca2a313e-8981-492f-8c1b-b2d6d54ce9bd">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306915" y="5291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40821</xdr:colOff>
      <xdr:row>0</xdr:row>
      <xdr:rowOff>68035</xdr:rowOff>
    </xdr:from>
    <xdr:to>
      <xdr:col>1</xdr:col>
      <xdr:colOff>669471</xdr:colOff>
      <xdr:row>1</xdr:row>
      <xdr:rowOff>87085</xdr:rowOff>
    </xdr:to>
    <xdr:sp macro="" textlink="">
      <xdr:nvSpPr>
        <xdr:cNvPr id="2" name="1 Flecha izquierda" descr="b9a6f74e-2d78-45b4-9e5a-b59284be2ae8">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285750" y="6803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66675</xdr:rowOff>
    </xdr:from>
    <xdr:to>
      <xdr:col>1</xdr:col>
      <xdr:colOff>638175</xdr:colOff>
      <xdr:row>1</xdr:row>
      <xdr:rowOff>95250</xdr:rowOff>
    </xdr:to>
    <xdr:sp macro="" textlink="">
      <xdr:nvSpPr>
        <xdr:cNvPr id="2" name="1 Flecha izquierda" descr="de0b2297-4434-431a-993d-685caef053f0">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04800" y="6667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76200</xdr:rowOff>
    </xdr:from>
    <xdr:to>
      <xdr:col>1</xdr:col>
      <xdr:colOff>628650</xdr:colOff>
      <xdr:row>1</xdr:row>
      <xdr:rowOff>104775</xdr:rowOff>
    </xdr:to>
    <xdr:sp macro="" textlink="">
      <xdr:nvSpPr>
        <xdr:cNvPr id="2" name="1 Flecha izquierda" descr="d223229f-01c6-4eeb-a3bb-e8b659416f7a">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42900" y="76200"/>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127000</xdr:colOff>
      <xdr:row>41</xdr:row>
      <xdr:rowOff>67945</xdr:rowOff>
    </xdr:from>
    <xdr:to>
      <xdr:col>14</xdr:col>
      <xdr:colOff>247650</xdr:colOff>
      <xdr:row>59</xdr:row>
      <xdr:rowOff>140970</xdr:rowOff>
    </xdr:to>
    <xdr:graphicFrame macro="">
      <xdr:nvGraphicFramePr>
        <xdr:cNvPr id="814000" name="2 Gráfico">
          <a:extLst>
            <a:ext uri="{FF2B5EF4-FFF2-40B4-BE49-F238E27FC236}">
              <a16:creationId xmlns:a16="http://schemas.microsoft.com/office/drawing/2014/main" id="{00000000-0008-0000-0600-0000B06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114299</xdr:colOff>
      <xdr:row>70</xdr:row>
      <xdr:rowOff>27825</xdr:rowOff>
    </xdr:from>
    <xdr:to>
      <xdr:col>2</xdr:col>
      <xdr:colOff>295349</xdr:colOff>
      <xdr:row>79</xdr:row>
      <xdr:rowOff>104775</xdr:rowOff>
    </xdr:to>
    <xdr:graphicFrame macro="">
      <xdr:nvGraphicFramePr>
        <xdr:cNvPr id="814001" name="7 Gráfico">
          <a:extLst>
            <a:ext uri="{FF2B5EF4-FFF2-40B4-BE49-F238E27FC236}">
              <a16:creationId xmlns:a16="http://schemas.microsoft.com/office/drawing/2014/main" id="{00000000-0008-0000-0600-0000B16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109597</xdr:colOff>
      <xdr:row>60</xdr:row>
      <xdr:rowOff>110965</xdr:rowOff>
    </xdr:from>
    <xdr:to>
      <xdr:col>2</xdr:col>
      <xdr:colOff>290647</xdr:colOff>
      <xdr:row>70</xdr:row>
      <xdr:rowOff>16465</xdr:rowOff>
    </xdr:to>
    <xdr:graphicFrame macro="">
      <xdr:nvGraphicFramePr>
        <xdr:cNvPr id="814002" name="8 Gráfico">
          <a:extLst>
            <a:ext uri="{FF2B5EF4-FFF2-40B4-BE49-F238E27FC236}">
              <a16:creationId xmlns:a16="http://schemas.microsoft.com/office/drawing/2014/main" id="{00000000-0008-0000-0600-0000B26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315156</xdr:colOff>
      <xdr:row>60</xdr:row>
      <xdr:rowOff>110965</xdr:rowOff>
    </xdr:from>
    <xdr:to>
      <xdr:col>4</xdr:col>
      <xdr:colOff>286656</xdr:colOff>
      <xdr:row>70</xdr:row>
      <xdr:rowOff>16465</xdr:rowOff>
    </xdr:to>
    <xdr:graphicFrame macro="">
      <xdr:nvGraphicFramePr>
        <xdr:cNvPr id="814003" name="9 Gráfico">
          <a:extLst>
            <a:ext uri="{FF2B5EF4-FFF2-40B4-BE49-F238E27FC236}">
              <a16:creationId xmlns:a16="http://schemas.microsoft.com/office/drawing/2014/main" id="{00000000-0008-0000-0600-0000B36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307174</xdr:colOff>
      <xdr:row>60</xdr:row>
      <xdr:rowOff>110965</xdr:rowOff>
    </xdr:from>
    <xdr:to>
      <xdr:col>8</xdr:col>
      <xdr:colOff>278674</xdr:colOff>
      <xdr:row>70</xdr:row>
      <xdr:rowOff>16465</xdr:rowOff>
    </xdr:to>
    <xdr:graphicFrame macro="">
      <xdr:nvGraphicFramePr>
        <xdr:cNvPr id="814004" name="10 Gráfico">
          <a:extLst>
            <a:ext uri="{FF2B5EF4-FFF2-40B4-BE49-F238E27FC236}">
              <a16:creationId xmlns:a16="http://schemas.microsoft.com/office/drawing/2014/main" id="{00000000-0008-0000-0600-0000B46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319086</xdr:colOff>
      <xdr:row>70</xdr:row>
      <xdr:rowOff>27825</xdr:rowOff>
    </xdr:from>
    <xdr:to>
      <xdr:col>4</xdr:col>
      <xdr:colOff>290586</xdr:colOff>
      <xdr:row>79</xdr:row>
      <xdr:rowOff>104775</xdr:rowOff>
    </xdr:to>
    <xdr:graphicFrame macro="">
      <xdr:nvGraphicFramePr>
        <xdr:cNvPr id="814005" name="11 Gráfico">
          <a:extLst>
            <a:ext uri="{FF2B5EF4-FFF2-40B4-BE49-F238E27FC236}">
              <a16:creationId xmlns:a16="http://schemas.microsoft.com/office/drawing/2014/main" id="{00000000-0008-0000-0600-0000B56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309561</xdr:colOff>
      <xdr:row>70</xdr:row>
      <xdr:rowOff>27825</xdr:rowOff>
    </xdr:from>
    <xdr:to>
      <xdr:col>8</xdr:col>
      <xdr:colOff>281061</xdr:colOff>
      <xdr:row>79</xdr:row>
      <xdr:rowOff>104775</xdr:rowOff>
    </xdr:to>
    <xdr:graphicFrame macro="">
      <xdr:nvGraphicFramePr>
        <xdr:cNvPr id="814006" name="12 Gráfico">
          <a:extLst>
            <a:ext uri="{FF2B5EF4-FFF2-40B4-BE49-F238E27FC236}">
              <a16:creationId xmlns:a16="http://schemas.microsoft.com/office/drawing/2014/main" id="{00000000-0008-0000-0600-0000B66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0</xdr:row>
      <xdr:rowOff>47625</xdr:rowOff>
    </xdr:from>
    <xdr:to>
      <xdr:col>1</xdr:col>
      <xdr:colOff>676275</xdr:colOff>
      <xdr:row>1</xdr:row>
      <xdr:rowOff>76200</xdr:rowOff>
    </xdr:to>
    <xdr:sp macro="" textlink="">
      <xdr:nvSpPr>
        <xdr:cNvPr id="9" name="8 Flecha izquierda" descr="e5b9a22a-2e59-4b3f-aea0-6c96da2b878a">
          <a:hlinkClick xmlns:r="http://schemas.openxmlformats.org/officeDocument/2006/relationships" r:id="rId8"/>
          <a:extLst>
            <a:ext uri="{FF2B5EF4-FFF2-40B4-BE49-F238E27FC236}">
              <a16:creationId xmlns:a16="http://schemas.microsoft.com/office/drawing/2014/main" id="{00000000-0008-0000-0600-000009000000}"/>
            </a:ext>
          </a:extLst>
        </xdr:cNvPr>
        <xdr:cNvSpPr/>
      </xdr:nvSpPr>
      <xdr:spPr>
        <a:xfrm>
          <a:off x="342900" y="476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twoCellAnchor>
    <xdr:from>
      <xdr:col>4</xdr:col>
      <xdr:colOff>311165</xdr:colOff>
      <xdr:row>60</xdr:row>
      <xdr:rowOff>110965</xdr:rowOff>
    </xdr:from>
    <xdr:to>
      <xdr:col>6</xdr:col>
      <xdr:colOff>282665</xdr:colOff>
      <xdr:row>70</xdr:row>
      <xdr:rowOff>16465</xdr:rowOff>
    </xdr:to>
    <xdr:graphicFrame macro="">
      <xdr:nvGraphicFramePr>
        <xdr:cNvPr id="10" name="9 Gráfico">
          <a:extLst>
            <a:ext uri="{FF2B5EF4-FFF2-40B4-BE49-F238E27FC236}">
              <a16:creationId xmlns:a16="http://schemas.microsoft.com/office/drawing/2014/main" id="{D6A25C24-956D-4A6F-A32B-80DB6ADB35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314323</xdr:colOff>
      <xdr:row>70</xdr:row>
      <xdr:rowOff>27825</xdr:rowOff>
    </xdr:from>
    <xdr:to>
      <xdr:col>6</xdr:col>
      <xdr:colOff>285823</xdr:colOff>
      <xdr:row>79</xdr:row>
      <xdr:rowOff>104775</xdr:rowOff>
    </xdr:to>
    <xdr:graphicFrame macro="">
      <xdr:nvGraphicFramePr>
        <xdr:cNvPr id="11" name="11 Gráfico">
          <a:extLst>
            <a:ext uri="{FF2B5EF4-FFF2-40B4-BE49-F238E27FC236}">
              <a16:creationId xmlns:a16="http://schemas.microsoft.com/office/drawing/2014/main" id="{86DF991D-9612-4357-A212-FCA71DB74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295200</xdr:colOff>
      <xdr:row>60</xdr:row>
      <xdr:rowOff>110965</xdr:rowOff>
    </xdr:from>
    <xdr:to>
      <xdr:col>14</xdr:col>
      <xdr:colOff>266700</xdr:colOff>
      <xdr:row>70</xdr:row>
      <xdr:rowOff>16465</xdr:rowOff>
    </xdr:to>
    <xdr:graphicFrame macro="">
      <xdr:nvGraphicFramePr>
        <xdr:cNvPr id="12" name="10 Gráfico">
          <a:extLst>
            <a:ext uri="{FF2B5EF4-FFF2-40B4-BE49-F238E27FC236}">
              <a16:creationId xmlns:a16="http://schemas.microsoft.com/office/drawing/2014/main" id="{12D39782-F7D8-4484-9D12-77D5B50FC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295274</xdr:colOff>
      <xdr:row>70</xdr:row>
      <xdr:rowOff>27825</xdr:rowOff>
    </xdr:from>
    <xdr:to>
      <xdr:col>14</xdr:col>
      <xdr:colOff>266774</xdr:colOff>
      <xdr:row>79</xdr:row>
      <xdr:rowOff>104775</xdr:rowOff>
    </xdr:to>
    <xdr:graphicFrame macro="">
      <xdr:nvGraphicFramePr>
        <xdr:cNvPr id="13" name="12 Gráfico">
          <a:extLst>
            <a:ext uri="{FF2B5EF4-FFF2-40B4-BE49-F238E27FC236}">
              <a16:creationId xmlns:a16="http://schemas.microsoft.com/office/drawing/2014/main" id="{D83F622B-79C0-4F4A-A0C5-E53F7822F0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299192</xdr:colOff>
      <xdr:row>60</xdr:row>
      <xdr:rowOff>110965</xdr:rowOff>
    </xdr:from>
    <xdr:to>
      <xdr:col>12</xdr:col>
      <xdr:colOff>270692</xdr:colOff>
      <xdr:row>70</xdr:row>
      <xdr:rowOff>16465</xdr:rowOff>
    </xdr:to>
    <xdr:graphicFrame macro="">
      <xdr:nvGraphicFramePr>
        <xdr:cNvPr id="14" name="10 Gráfico">
          <a:extLst>
            <a:ext uri="{FF2B5EF4-FFF2-40B4-BE49-F238E27FC236}">
              <a16:creationId xmlns:a16="http://schemas.microsoft.com/office/drawing/2014/main" id="{E39D667A-ECCF-4228-B793-0EEF4B1F36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300037</xdr:colOff>
      <xdr:row>70</xdr:row>
      <xdr:rowOff>27825</xdr:rowOff>
    </xdr:from>
    <xdr:to>
      <xdr:col>12</xdr:col>
      <xdr:colOff>271537</xdr:colOff>
      <xdr:row>79</xdr:row>
      <xdr:rowOff>104775</xdr:rowOff>
    </xdr:to>
    <xdr:graphicFrame macro="">
      <xdr:nvGraphicFramePr>
        <xdr:cNvPr id="15" name="12 Gráfico">
          <a:extLst>
            <a:ext uri="{FF2B5EF4-FFF2-40B4-BE49-F238E27FC236}">
              <a16:creationId xmlns:a16="http://schemas.microsoft.com/office/drawing/2014/main" id="{A52C29EF-2140-46B0-8C52-E05084D91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303183</xdr:colOff>
      <xdr:row>60</xdr:row>
      <xdr:rowOff>110965</xdr:rowOff>
    </xdr:from>
    <xdr:to>
      <xdr:col>10</xdr:col>
      <xdr:colOff>274683</xdr:colOff>
      <xdr:row>70</xdr:row>
      <xdr:rowOff>16465</xdr:rowOff>
    </xdr:to>
    <xdr:graphicFrame macro="">
      <xdr:nvGraphicFramePr>
        <xdr:cNvPr id="16" name="10 Gráfico">
          <a:extLst>
            <a:ext uri="{FF2B5EF4-FFF2-40B4-BE49-F238E27FC236}">
              <a16:creationId xmlns:a16="http://schemas.microsoft.com/office/drawing/2014/main" id="{E426F0C2-ED88-453A-8EEE-9C25286D2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304799</xdr:colOff>
      <xdr:row>70</xdr:row>
      <xdr:rowOff>27825</xdr:rowOff>
    </xdr:from>
    <xdr:to>
      <xdr:col>10</xdr:col>
      <xdr:colOff>276299</xdr:colOff>
      <xdr:row>79</xdr:row>
      <xdr:rowOff>104775</xdr:rowOff>
    </xdr:to>
    <xdr:graphicFrame macro="">
      <xdr:nvGraphicFramePr>
        <xdr:cNvPr id="17" name="12 Gráfico">
          <a:extLst>
            <a:ext uri="{FF2B5EF4-FFF2-40B4-BE49-F238E27FC236}">
              <a16:creationId xmlns:a16="http://schemas.microsoft.com/office/drawing/2014/main" id="{C1BBC536-4F43-4EB4-AD2C-A40658BFC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0</xdr:row>
      <xdr:rowOff>57150</xdr:rowOff>
    </xdr:from>
    <xdr:to>
      <xdr:col>1</xdr:col>
      <xdr:colOff>676275</xdr:colOff>
      <xdr:row>1</xdr:row>
      <xdr:rowOff>85725</xdr:rowOff>
    </xdr:to>
    <xdr:sp macro="" textlink="">
      <xdr:nvSpPr>
        <xdr:cNvPr id="2" name="1 Flecha izquierda" descr="34e94e40-b0d2-4851-898a-4c45ca15c35d">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314325" y="57150"/>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0</xdr:row>
      <xdr:rowOff>66675</xdr:rowOff>
    </xdr:from>
    <xdr:to>
      <xdr:col>1</xdr:col>
      <xdr:colOff>676275</xdr:colOff>
      <xdr:row>1</xdr:row>
      <xdr:rowOff>95250</xdr:rowOff>
    </xdr:to>
    <xdr:sp macro="" textlink="">
      <xdr:nvSpPr>
        <xdr:cNvPr id="2" name="1 Flecha izquierda" descr="963b4459-fa06-4cb4-880f-e9c10de0f708">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95275" y="6667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276225</xdr:colOff>
      <xdr:row>30</xdr:row>
      <xdr:rowOff>95885</xdr:rowOff>
    </xdr:from>
    <xdr:to>
      <xdr:col>13</xdr:col>
      <xdr:colOff>1656292</xdr:colOff>
      <xdr:row>48</xdr:row>
      <xdr:rowOff>166370</xdr:rowOff>
    </xdr:to>
    <xdr:graphicFrame macro="">
      <xdr:nvGraphicFramePr>
        <xdr:cNvPr id="821557" name="1 Gráfico">
          <a:extLst>
            <a:ext uri="{FF2B5EF4-FFF2-40B4-BE49-F238E27FC236}">
              <a16:creationId xmlns:a16="http://schemas.microsoft.com/office/drawing/2014/main" id="{00000000-0008-0000-0A00-00003589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49</xdr:row>
      <xdr:rowOff>43815</xdr:rowOff>
    </xdr:from>
    <xdr:to>
      <xdr:col>13</xdr:col>
      <xdr:colOff>1713442</xdr:colOff>
      <xdr:row>69</xdr:row>
      <xdr:rowOff>11430</xdr:rowOff>
    </xdr:to>
    <xdr:graphicFrame macro="">
      <xdr:nvGraphicFramePr>
        <xdr:cNvPr id="821558" name="8 Gráfico">
          <a:extLst>
            <a:ext uri="{FF2B5EF4-FFF2-40B4-BE49-F238E27FC236}">
              <a16:creationId xmlns:a16="http://schemas.microsoft.com/office/drawing/2014/main" id="{00000000-0008-0000-0A00-00003689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0</xdr:row>
      <xdr:rowOff>47625</xdr:rowOff>
    </xdr:from>
    <xdr:to>
      <xdr:col>1</xdr:col>
      <xdr:colOff>666750</xdr:colOff>
      <xdr:row>1</xdr:row>
      <xdr:rowOff>76200</xdr:rowOff>
    </xdr:to>
    <xdr:sp macro="" textlink="">
      <xdr:nvSpPr>
        <xdr:cNvPr id="4" name="3 Flecha izquierda" descr="40c2050d-c00d-43d2-ab98-c43706264344">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a:xfrm>
          <a:off x="333375" y="47625"/>
          <a:ext cx="628650" cy="209550"/>
        </a:xfrm>
        <a:prstGeom prst="leftArrow">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es-CO" sz="600" b="1"/>
            <a:t>CONTENIDO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c6a2f478f8c9710f/1.%20SEC/2.%20Proyectos/4.%20Propios/1.%20K-listo/2024/Estados%20Financieros/INFORME%20DICIEMBRE%20KL%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c6a2f478f8c9710f/1.%20SEC/2.%20Proyectos/4.%20Propios/1.%20K-listo/2024/Estados%20Financieros/INFORME%20DICIEMBRE%20KL%20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OneDrive/1.%20SEC/2.%20Proyectos/4.%20Propios/1.%20K-listo/2024/Estados%20Financieros/INFORME%20DICIEMBRE%20KL%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c6a2f478f8c9710f/1.%20SEC/2.%20Proyectos/4.%20Propios/1.%20K-listo/2024/Estados%20Financieros/INFORME%20DICIEMBRE%20KL%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Users/Usuario/OneDrive/1.%20SEC/2.%20Proyectos/4.%20Propios/1.%20K-listo/2022/Planeaci&#243;n%20Estrat&#233;gica/listadosparaanalisisfinancierosaos201820192020/Analisis%20Financier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uario/Downloads/INFORME%20DICIEMBRE%20KL%202022%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Usuario/OneDrive/1.%20SEC/2.%20Proyectos/4.%20Propios/1.%20K-listo/2022/Planeaci&#243;n%20Estrat&#233;gica/listadosparaanalisisfinancierosaos201820192020/LIBRO_INVENTARIO_BALANCE_ENE_DIC_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kl"/>
      <sheetName val="pygmes"/>
      <sheetName val="pygacu"/>
      <sheetName val="pygcommesant"/>
      <sheetName val="pygcommes"/>
      <sheetName val="pygcomaa"/>
      <sheetName val="pygcomaa2"/>
      <sheetName val="FAB"/>
      <sheetName val="CAMB"/>
      <sheetName val="JARPLA"/>
      <sheetName val="EVEN"/>
      <sheetName val="COLF"/>
      <sheetName val="CHIPIC"/>
      <sheetName val="MED"/>
      <sheetName val="EJEC"/>
      <sheetName val="INST"/>
      <sheetName val="AUTCAL"/>
      <sheetName val="AUTBOG"/>
      <sheetName val="GTOACUM"/>
      <sheetName val="INVENTA"/>
      <sheetName val="Hoja1"/>
      <sheetName val="Hoja13"/>
      <sheetName val="Hoja12-1"/>
      <sheetName val="Hoja13-1"/>
    </sheetNames>
    <sheetDataSet>
      <sheetData sheetId="0">
        <row r="7">
          <cell r="O7">
            <v>4819762484</v>
          </cell>
        </row>
        <row r="10">
          <cell r="O10">
            <v>182701168</v>
          </cell>
        </row>
        <row r="12">
          <cell r="E12">
            <v>67465736</v>
          </cell>
          <cell r="O12">
            <v>714066403</v>
          </cell>
        </row>
        <row r="13">
          <cell r="O13">
            <v>15371807</v>
          </cell>
        </row>
        <row r="14">
          <cell r="O14">
            <v>1868100044</v>
          </cell>
        </row>
        <row r="16">
          <cell r="O16">
            <v>52128649</v>
          </cell>
        </row>
        <row r="18">
          <cell r="O18">
            <v>242191</v>
          </cell>
        </row>
        <row r="19">
          <cell r="O19">
            <v>3446746</v>
          </cell>
        </row>
        <row r="21">
          <cell r="O21">
            <v>68634367</v>
          </cell>
        </row>
        <row r="22">
          <cell r="O22">
            <v>-54988261</v>
          </cell>
        </row>
        <row r="23">
          <cell r="E23">
            <v>4728878028</v>
          </cell>
          <cell r="O23">
            <v>77251533</v>
          </cell>
        </row>
        <row r="24">
          <cell r="E24">
            <v>2433634356</v>
          </cell>
        </row>
        <row r="25">
          <cell r="O25">
            <v>994542712</v>
          </cell>
        </row>
        <row r="26">
          <cell r="O26">
            <v>33660</v>
          </cell>
        </row>
        <row r="28">
          <cell r="O28">
            <v>252736970</v>
          </cell>
        </row>
        <row r="29">
          <cell r="O29">
            <v>35517994</v>
          </cell>
        </row>
        <row r="30">
          <cell r="O30">
            <v>374768</v>
          </cell>
        </row>
        <row r="31">
          <cell r="O31">
            <v>71158358</v>
          </cell>
        </row>
        <row r="32">
          <cell r="O32">
            <v>64565058</v>
          </cell>
        </row>
        <row r="33">
          <cell r="O33">
            <v>190201995</v>
          </cell>
        </row>
        <row r="34">
          <cell r="E34">
            <v>10993890670</v>
          </cell>
        </row>
        <row r="50">
          <cell r="E50">
            <v>1992726743</v>
          </cell>
        </row>
        <row r="56">
          <cell r="E56">
            <v>157221119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kl"/>
      <sheetName val="pygmes"/>
      <sheetName val="pygacu"/>
      <sheetName val="pygcommesant"/>
      <sheetName val="pygcommes"/>
      <sheetName val="pygcomaa2"/>
      <sheetName val="pygcomaa"/>
      <sheetName val="FAB"/>
      <sheetName val="CAMB"/>
      <sheetName val="JARPLA"/>
      <sheetName val="COLF"/>
      <sheetName val="CHIPIC"/>
      <sheetName val="MED"/>
      <sheetName val="EJEC"/>
      <sheetName val="INST"/>
      <sheetName val="AUTCAL"/>
      <sheetName val="AUTBOG"/>
      <sheetName val="BORONDO"/>
      <sheetName val="PLAZOLETA JV"/>
      <sheetName val="BQUILLA"/>
      <sheetName val="EVENTOS"/>
      <sheetName val="GTOACUM"/>
      <sheetName val="INVENTA"/>
      <sheetName val="Hoja12-1"/>
      <sheetName val="Hoja13-1"/>
    </sheetNames>
    <sheetDataSet>
      <sheetData sheetId="0">
        <row r="7">
          <cell r="O7">
            <v>6413500844</v>
          </cell>
        </row>
        <row r="10">
          <cell r="O10">
            <v>765151374</v>
          </cell>
        </row>
        <row r="12">
          <cell r="E12">
            <v>74494491</v>
          </cell>
          <cell r="O12">
            <v>2093105985</v>
          </cell>
        </row>
        <row r="13">
          <cell r="O13">
            <v>18499169</v>
          </cell>
        </row>
        <row r="14">
          <cell r="O14">
            <v>2512981385</v>
          </cell>
        </row>
        <row r="16">
          <cell r="O16">
            <v>71902867</v>
          </cell>
        </row>
        <row r="18">
          <cell r="O18">
            <v>828901</v>
          </cell>
        </row>
        <row r="19">
          <cell r="O19">
            <v>4878013</v>
          </cell>
        </row>
        <row r="21">
          <cell r="E21">
            <v>5550131</v>
          </cell>
          <cell r="O21">
            <v>100954184</v>
          </cell>
        </row>
        <row r="23">
          <cell r="E23">
            <v>8490046187</v>
          </cell>
          <cell r="O23">
            <v>113804761</v>
          </cell>
        </row>
        <row r="24">
          <cell r="E24">
            <v>3323309134</v>
          </cell>
          <cell r="O24">
            <v>733723113</v>
          </cell>
        </row>
        <row r="25">
          <cell r="O25">
            <v>1523277954</v>
          </cell>
        </row>
        <row r="26">
          <cell r="O26">
            <v>43976672</v>
          </cell>
        </row>
        <row r="27">
          <cell r="O27">
            <v>46020524</v>
          </cell>
        </row>
        <row r="28">
          <cell r="O28">
            <v>324611793</v>
          </cell>
        </row>
        <row r="29">
          <cell r="O29">
            <v>43533567</v>
          </cell>
        </row>
        <row r="30">
          <cell r="O30">
            <v>189928</v>
          </cell>
        </row>
        <row r="31">
          <cell r="O31">
            <v>273792333</v>
          </cell>
        </row>
        <row r="32">
          <cell r="O32">
            <v>69292657</v>
          </cell>
        </row>
        <row r="33">
          <cell r="O33">
            <v>215670924</v>
          </cell>
        </row>
        <row r="34">
          <cell r="E34">
            <v>17319892076</v>
          </cell>
        </row>
        <row r="36">
          <cell r="E36">
            <v>2056290139</v>
          </cell>
        </row>
        <row r="38">
          <cell r="E38">
            <v>5021200039</v>
          </cell>
        </row>
        <row r="39">
          <cell r="E39">
            <v>246744164</v>
          </cell>
        </row>
        <row r="40">
          <cell r="E40">
            <v>-3059062173</v>
          </cell>
          <cell r="O40">
            <v>697820647</v>
          </cell>
        </row>
        <row r="41">
          <cell r="E41">
            <v>-93744217</v>
          </cell>
          <cell r="O41">
            <v>1562008078</v>
          </cell>
        </row>
        <row r="43">
          <cell r="O43">
            <v>5684568471</v>
          </cell>
        </row>
        <row r="50">
          <cell r="E50">
            <v>2643451039</v>
          </cell>
        </row>
        <row r="56">
          <cell r="E56">
            <v>749838027</v>
          </cell>
        </row>
        <row r="60">
          <cell r="E60">
            <v>1562008078</v>
          </cell>
        </row>
      </sheetData>
      <sheetData sheetId="1"/>
      <sheetData sheetId="2"/>
      <sheetData sheetId="3"/>
      <sheetData sheetId="4"/>
      <sheetData sheetId="5">
        <row r="12">
          <cell r="F12">
            <v>184910742</v>
          </cell>
        </row>
        <row r="13">
          <cell r="F13">
            <v>15755874</v>
          </cell>
        </row>
        <row r="23">
          <cell r="F23">
            <v>23385605589</v>
          </cell>
        </row>
        <row r="27">
          <cell r="F27">
            <v>9359559701</v>
          </cell>
        </row>
        <row r="31">
          <cell r="F31">
            <v>183151958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kl"/>
      <sheetName val="pygmes"/>
      <sheetName val="pygacu"/>
      <sheetName val="pygcommesant"/>
      <sheetName val="pygcommes"/>
      <sheetName val="pygcomaa"/>
      <sheetName val="pygcomaa2"/>
      <sheetName val="FAB"/>
      <sheetName val="CAMB"/>
      <sheetName val="JARPLA"/>
      <sheetName val="CHIPIC"/>
      <sheetName val="EVEN"/>
      <sheetName val="COLF"/>
      <sheetName val="ZONT"/>
      <sheetName val="MED"/>
      <sheetName val="EJEC"/>
      <sheetName val="INST"/>
      <sheetName val="AUTCAL"/>
      <sheetName val="AUTBOG"/>
      <sheetName val="GTOACUM"/>
      <sheetName val="CONSOLIDADO 2020-2019"/>
      <sheetName val="INVENTA"/>
      <sheetName val="Hoja13"/>
      <sheetName val="Hoja12-1"/>
      <sheetName val="Hoja13-1"/>
    </sheetNames>
    <sheetDataSet>
      <sheetData sheetId="0">
        <row r="23">
          <cell r="E23">
            <v>4509474310</v>
          </cell>
        </row>
        <row r="24">
          <cell r="E24">
            <v>2001786517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kl"/>
      <sheetName val="pygmes"/>
      <sheetName val="pygacu"/>
      <sheetName val="pygcommesant"/>
      <sheetName val="pygcommes"/>
      <sheetName val="pygcomaa2"/>
      <sheetName val="pygcomaa"/>
      <sheetName val="FAB"/>
      <sheetName val="CAMB"/>
      <sheetName val="JARPLA"/>
      <sheetName val="COLF"/>
      <sheetName val="CHIPIC"/>
      <sheetName val="MED"/>
      <sheetName val="EJEC"/>
      <sheetName val="INST"/>
      <sheetName val="AUTCAL"/>
      <sheetName val="AUTBOG"/>
      <sheetName val="BORONDO"/>
      <sheetName val="PLAZOLETA JV"/>
      <sheetName val="BQUILLA"/>
      <sheetName val="EVENTOS"/>
      <sheetName val="GTOACUM"/>
      <sheetName val="INVENTA"/>
      <sheetName val="Hoja12-1"/>
      <sheetName val="Hoja13-1"/>
    </sheetNames>
    <sheetDataSet>
      <sheetData sheetId="0">
        <row r="23">
          <cell r="E23">
            <v>3867312996</v>
          </cell>
        </row>
        <row r="24">
          <cell r="E24">
            <v>3742620910</v>
          </cell>
        </row>
        <row r="34">
          <cell r="E34">
            <v>11671902159</v>
          </cell>
        </row>
        <row r="38">
          <cell r="E38">
            <v>4890523503</v>
          </cell>
        </row>
        <row r="39">
          <cell r="E39">
            <v>246744164</v>
          </cell>
        </row>
        <row r="40">
          <cell r="E40">
            <v>-2778359734</v>
          </cell>
        </row>
        <row r="41">
          <cell r="E41">
            <v>-93744217</v>
          </cell>
        </row>
      </sheetData>
      <sheetData sheetId="1"/>
      <sheetData sheetId="2"/>
      <sheetData sheetId="3"/>
      <sheetData sheetId="4"/>
      <sheetData sheetId="5">
        <row r="12">
          <cell r="F12">
            <v>158099637</v>
          </cell>
        </row>
        <row r="13">
          <cell r="F13">
            <v>15143946</v>
          </cell>
        </row>
        <row r="17">
          <cell r="F17">
            <v>29230843673</v>
          </cell>
        </row>
        <row r="27">
          <cell r="F27">
            <v>8518919105</v>
          </cell>
        </row>
        <row r="31">
          <cell r="F31">
            <v>244336070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row r="9">
          <cell r="B9">
            <v>637776260</v>
          </cell>
        </row>
        <row r="11">
          <cell r="C11">
            <v>1562008077.5</v>
          </cell>
        </row>
        <row r="21">
          <cell r="B21">
            <v>1000000000</v>
          </cell>
          <cell r="C21">
            <v>1000000000</v>
          </cell>
        </row>
        <row r="22">
          <cell r="C22">
            <v>221041718</v>
          </cell>
        </row>
        <row r="25">
          <cell r="C25">
            <v>1562008077.5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kl"/>
      <sheetName val="pygmes"/>
      <sheetName val="pygacu"/>
      <sheetName val="pygcommesant"/>
      <sheetName val="pygcommes"/>
      <sheetName val="pygcomaa2"/>
      <sheetName val="pygcomaa"/>
      <sheetName val="FAB"/>
      <sheetName val="CAMB"/>
      <sheetName val="JARPLA"/>
      <sheetName val="COLF"/>
      <sheetName val="CHIPIC"/>
      <sheetName val="MED"/>
      <sheetName val="EJEC"/>
      <sheetName val="INST"/>
      <sheetName val="AUTCAL"/>
      <sheetName val="AUTBOG"/>
      <sheetName val="BORONDO"/>
      <sheetName val="PLAZOLETA JV"/>
      <sheetName val="BQUILLA"/>
      <sheetName val="EVENTOS"/>
      <sheetName val="GTOACUM"/>
      <sheetName val="INVENTA"/>
      <sheetName val="Hoja12-1"/>
      <sheetName val="Hoja13-1"/>
    </sheetNames>
    <sheetDataSet>
      <sheetData sheetId="0">
        <row r="16">
          <cell r="O16">
            <v>95295885</v>
          </cell>
        </row>
        <row r="17">
          <cell r="O17">
            <v>0</v>
          </cell>
        </row>
        <row r="18">
          <cell r="O18">
            <v>995526</v>
          </cell>
        </row>
        <row r="19">
          <cell r="O19">
            <v>4992869</v>
          </cell>
        </row>
        <row r="20">
          <cell r="O20">
            <v>0</v>
          </cell>
        </row>
        <row r="21">
          <cell r="O21">
            <v>76756387</v>
          </cell>
        </row>
        <row r="22">
          <cell r="O22">
            <v>0</v>
          </cell>
        </row>
        <row r="23">
          <cell r="O23">
            <v>79790227</v>
          </cell>
        </row>
        <row r="24">
          <cell r="O24">
            <v>0</v>
          </cell>
        </row>
        <row r="25">
          <cell r="O25">
            <v>529643000</v>
          </cell>
        </row>
        <row r="26">
          <cell r="O26">
            <v>44140025</v>
          </cell>
        </row>
        <row r="28">
          <cell r="O28">
            <v>321124591</v>
          </cell>
        </row>
        <row r="29">
          <cell r="O29">
            <v>41100853</v>
          </cell>
        </row>
        <row r="31">
          <cell r="O31">
            <v>78946742</v>
          </cell>
        </row>
        <row r="32">
          <cell r="O32">
            <v>54582444</v>
          </cell>
        </row>
        <row r="33">
          <cell r="O33">
            <v>221735650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Hoja2"/>
    </sheetNames>
    <sheetDataSet>
      <sheetData sheetId="0" refreshError="1"/>
      <sheetData sheetId="1" refreshError="1">
        <row r="3">
          <cell r="E3">
            <v>106331845</v>
          </cell>
        </row>
        <row r="41">
          <cell r="E41">
            <v>3498615211</v>
          </cell>
        </row>
        <row r="117">
          <cell r="E117">
            <v>622844262</v>
          </cell>
        </row>
        <row r="154">
          <cell r="E154">
            <v>1235797981</v>
          </cell>
        </row>
        <row r="204">
          <cell r="G204">
            <v>227696481</v>
          </cell>
        </row>
        <row r="224">
          <cell r="E224">
            <v>699478154</v>
          </cell>
        </row>
        <row r="244">
          <cell r="E244">
            <v>41404363</v>
          </cell>
        </row>
        <row r="253">
          <cell r="E253">
            <v>1562008078</v>
          </cell>
        </row>
        <row r="279">
          <cell r="E279">
            <v>-531399480</v>
          </cell>
        </row>
        <row r="538">
          <cell r="E538">
            <v>-3706413099</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33"/>
  <sheetViews>
    <sheetView topLeftCell="A11" workbookViewId="0">
      <selection activeCell="B26" sqref="B26"/>
    </sheetView>
  </sheetViews>
  <sheetFormatPr baseColWidth="10" defaultColWidth="0" defaultRowHeight="14.4" x14ac:dyDescent="0.35"/>
  <cols>
    <col min="1" max="1" width="2.5546875" customWidth="1"/>
    <col min="2" max="2" width="98.44140625" bestFit="1" customWidth="1"/>
    <col min="3" max="3" width="4.33203125" customWidth="1"/>
  </cols>
  <sheetData>
    <row r="1" spans="1:3" x14ac:dyDescent="0.35">
      <c r="A1" s="175"/>
      <c r="B1" s="175"/>
      <c r="C1" s="175"/>
    </row>
    <row r="2" spans="1:3" ht="18" x14ac:dyDescent="0.35">
      <c r="A2" s="175"/>
      <c r="B2" s="184" t="s">
        <v>0</v>
      </c>
      <c r="C2" s="175"/>
    </row>
    <row r="3" spans="1:3" x14ac:dyDescent="0.35">
      <c r="A3" s="175"/>
      <c r="B3" s="175"/>
      <c r="C3" s="175"/>
    </row>
    <row r="4" spans="1:3" ht="43.2" x14ac:dyDescent="0.35">
      <c r="A4" s="175"/>
      <c r="B4" s="181" t="s">
        <v>1</v>
      </c>
      <c r="C4" s="175"/>
    </row>
    <row r="5" spans="1:3" ht="28.8" x14ac:dyDescent="0.35">
      <c r="A5" s="175"/>
      <c r="B5" s="181" t="s">
        <v>2</v>
      </c>
      <c r="C5" s="175"/>
    </row>
    <row r="6" spans="1:3" x14ac:dyDescent="0.35">
      <c r="A6" s="175"/>
      <c r="B6" s="175"/>
      <c r="C6" s="175"/>
    </row>
    <row r="7" spans="1:3" ht="18" x14ac:dyDescent="0.35">
      <c r="A7" s="175"/>
      <c r="B7" s="182" t="s">
        <v>3</v>
      </c>
      <c r="C7" s="175"/>
    </row>
    <row r="8" spans="1:3" ht="18" x14ac:dyDescent="0.35">
      <c r="A8" s="175"/>
      <c r="B8" s="183" t="s">
        <v>4</v>
      </c>
      <c r="C8" s="175"/>
    </row>
    <row r="9" spans="1:3" ht="18" x14ac:dyDescent="0.35">
      <c r="A9" s="175"/>
      <c r="B9" s="182" t="s">
        <v>5</v>
      </c>
      <c r="C9" s="175"/>
    </row>
    <row r="10" spans="1:3" ht="18" x14ac:dyDescent="0.35">
      <c r="A10" s="175"/>
      <c r="B10" s="183" t="s">
        <v>6</v>
      </c>
      <c r="C10" s="175"/>
    </row>
    <row r="11" spans="1:3" ht="18" x14ac:dyDescent="0.35">
      <c r="A11" s="175"/>
      <c r="B11" s="182" t="s">
        <v>7</v>
      </c>
      <c r="C11" s="175"/>
    </row>
    <row r="12" spans="1:3" ht="18" x14ac:dyDescent="0.35">
      <c r="A12" s="175"/>
      <c r="B12" s="183" t="s">
        <v>8</v>
      </c>
      <c r="C12" s="175"/>
    </row>
    <row r="13" spans="1:3" ht="18" x14ac:dyDescent="0.35">
      <c r="A13" s="175"/>
      <c r="B13" s="182" t="s">
        <v>9</v>
      </c>
      <c r="C13" s="175"/>
    </row>
    <row r="14" spans="1:3" ht="18" x14ac:dyDescent="0.35">
      <c r="A14" s="175"/>
      <c r="B14" s="183" t="s">
        <v>10</v>
      </c>
      <c r="C14" s="175"/>
    </row>
    <row r="15" spans="1:3" ht="18" x14ac:dyDescent="0.35">
      <c r="A15" s="175"/>
      <c r="B15" s="182" t="s">
        <v>11</v>
      </c>
      <c r="C15" s="175"/>
    </row>
    <row r="16" spans="1:3" ht="18" x14ac:dyDescent="0.35">
      <c r="A16" s="175"/>
      <c r="B16" s="183" t="s">
        <v>12</v>
      </c>
      <c r="C16" s="175"/>
    </row>
    <row r="17" spans="1:3" ht="18" x14ac:dyDescent="0.35">
      <c r="A17" s="175"/>
      <c r="B17" s="182" t="s">
        <v>13</v>
      </c>
      <c r="C17" s="175"/>
    </row>
    <row r="18" spans="1:3" ht="18" x14ac:dyDescent="0.35">
      <c r="A18" s="175"/>
      <c r="B18" s="183" t="s">
        <v>14</v>
      </c>
      <c r="C18" s="175"/>
    </row>
    <row r="19" spans="1:3" ht="18" x14ac:dyDescent="0.35">
      <c r="A19" s="175"/>
      <c r="B19" s="182" t="s">
        <v>15</v>
      </c>
      <c r="C19" s="175"/>
    </row>
    <row r="20" spans="1:3" ht="18" x14ac:dyDescent="0.35">
      <c r="A20" s="175"/>
      <c r="B20" s="183" t="s">
        <v>16</v>
      </c>
      <c r="C20" s="175"/>
    </row>
    <row r="21" spans="1:3" ht="18" x14ac:dyDescent="0.35">
      <c r="A21" s="175"/>
      <c r="B21" s="182" t="s">
        <v>17</v>
      </c>
      <c r="C21" s="175"/>
    </row>
    <row r="22" spans="1:3" ht="18" x14ac:dyDescent="0.35">
      <c r="A22" s="175"/>
      <c r="B22" s="183" t="s">
        <v>18</v>
      </c>
      <c r="C22" s="175"/>
    </row>
    <row r="23" spans="1:3" ht="18" x14ac:dyDescent="0.35">
      <c r="A23" s="175"/>
      <c r="B23" s="182" t="s">
        <v>19</v>
      </c>
      <c r="C23" s="175"/>
    </row>
    <row r="24" spans="1:3" ht="18" x14ac:dyDescent="0.35">
      <c r="A24" s="175"/>
      <c r="B24" s="183" t="s">
        <v>20</v>
      </c>
      <c r="C24" s="175"/>
    </row>
    <row r="25" spans="1:3" ht="18" x14ac:dyDescent="0.35">
      <c r="A25" s="175"/>
      <c r="B25" s="182" t="s">
        <v>21</v>
      </c>
      <c r="C25" s="175"/>
    </row>
    <row r="26" spans="1:3" ht="18" x14ac:dyDescent="0.35">
      <c r="A26" s="175"/>
      <c r="B26" s="183" t="s">
        <v>22</v>
      </c>
      <c r="C26" s="175"/>
    </row>
    <row r="27" spans="1:3" ht="18" x14ac:dyDescent="0.35">
      <c r="A27" s="175"/>
      <c r="B27" s="182" t="s">
        <v>23</v>
      </c>
      <c r="C27" s="175"/>
    </row>
    <row r="28" spans="1:3" ht="18" x14ac:dyDescent="0.35">
      <c r="A28" s="175"/>
      <c r="B28" s="183" t="s">
        <v>24</v>
      </c>
      <c r="C28" s="175"/>
    </row>
    <row r="29" spans="1:3" ht="18" x14ac:dyDescent="0.35">
      <c r="A29" s="175"/>
      <c r="B29" s="182" t="s">
        <v>25</v>
      </c>
      <c r="C29" s="175"/>
    </row>
    <row r="30" spans="1:3" x14ac:dyDescent="0.35">
      <c r="A30" s="175"/>
      <c r="B30" s="175"/>
      <c r="C30" s="175"/>
    </row>
    <row r="31" spans="1:3" x14ac:dyDescent="0.35">
      <c r="A31" s="175"/>
      <c r="B31" s="175"/>
      <c r="C31" s="175"/>
    </row>
    <row r="32" spans="1:3" x14ac:dyDescent="0.35">
      <c r="A32" s="175"/>
      <c r="B32" s="175"/>
      <c r="C32" s="175"/>
    </row>
    <row r="33" spans="1:3" x14ac:dyDescent="0.35">
      <c r="A33" s="175"/>
      <c r="B33" s="175"/>
      <c r="C33" s="175"/>
    </row>
  </sheetData>
  <sheetProtection selectLockedCells="1" selectUnlockedCells="1"/>
  <hyperlinks>
    <hyperlink ref="B7" location="Instrucciones!A1" display="1.  INSTRUCCIONES" xr:uid="{00000000-0004-0000-0000-000000000000}"/>
    <hyperlink ref="B8" location="Variables!A1" display="2.  INGRESO DE VARIABLES" xr:uid="{00000000-0004-0000-0000-000001000000}"/>
    <hyperlink ref="B9" location="Balance!A1" display="3.  BALANCE GENERAL RESUMIDO" xr:uid="{00000000-0004-0000-0000-000002000000}"/>
    <hyperlink ref="B10" location="'Vertical Balance'!Área_de_impresión" display="4.  ANÁLISIS VERTICAL AL BALANCE GENERAL" xr:uid="{00000000-0004-0000-0000-000003000000}"/>
    <hyperlink ref="B11" location="'AnHoriz Balance'!Área_de_impresión" display="5.  ANÁLISIS HORIZONTAL AL BALANCE GENERAL" xr:uid="{00000000-0004-0000-0000-000004000000}"/>
    <hyperlink ref="B12" location="'Resumen balance'!Área_de_impresión" display="6.  DATOS RESUMEN DEL BALANCE GENERAL" xr:uid="{00000000-0004-0000-0000-000005000000}"/>
    <hyperlink ref="B13" location="'Estado Resultados'!Área_de_impresión" display="7.  ESTADO DE RESULTADOS RESUMIDO" xr:uid="{00000000-0004-0000-0000-000006000000}"/>
    <hyperlink ref="B14" location="'AnVert. Resultados'!Área_de_impresión" display="8.  ANÁLISIS VERTICAL AL ESTADO DE RESULTADOS" xr:uid="{00000000-0004-0000-0000-000007000000}"/>
    <hyperlink ref="B15" location="'AnHoriz Resultados'!Área_de_impresión" display="9.  ANÁLISIS HORIZONTAL AL ESTADO DE RESULTADOS" xr:uid="{00000000-0004-0000-0000-000008000000}"/>
    <hyperlink ref="B16" location="'Resumen resultados'!Área_de_impresión" display="10.  DATOS RESUMEN AL ESTADO DE RESULTADOS" xr:uid="{00000000-0004-0000-0000-000009000000}"/>
    <hyperlink ref="B17" location="'Estados y analisis'!Área_de_impresión" display="11.  ESTADO DE RESULTADOS Y BALANCE CON ANÁLISIS HORIZONTAL Y VERTICAL" xr:uid="{00000000-0004-0000-0000-00000A000000}"/>
    <hyperlink ref="B18" location="'Cambios Patrimonio'!Área_de_impresión" display="12.  ESTADO DE CAMBIOS EN EL PATRIMONIO" xr:uid="{00000000-0004-0000-0000-00000B000000}"/>
    <hyperlink ref="B19" location="'Fuentes y aplicaciones'!Área_de_impresión" display="13.  ESTADO DE FUENTES Y APLICACIÓN DE FONDOS" xr:uid="{00000000-0004-0000-0000-00000C000000}"/>
    <hyperlink ref="B20" location="Liquidez!A1" display="14.  INDICADORES DE LIQUIDEZ" xr:uid="{00000000-0004-0000-0000-00000D000000}"/>
    <hyperlink ref="B21" location="Actividad!A1" display="15.   INDICADORES DE ACTIVIDAD" xr:uid="{00000000-0004-0000-0000-00000E000000}"/>
    <hyperlink ref="B22" location="Endeudamiento!A1" display="16.  INDICADORES DE ENDEUDAMIENTO" xr:uid="{00000000-0004-0000-0000-00000F000000}"/>
    <hyperlink ref="B23" location="Rentabilidad!A1" display="17.  INDICADORES DE RENTABILIDAD" xr:uid="{00000000-0004-0000-0000-000010000000}"/>
    <hyperlink ref="B24" location="'Costo capital'!A1" display="18.  COSTO PROMEDIO PONDERADO DE CAPITAL" xr:uid="{00000000-0004-0000-0000-000011000000}"/>
    <hyperlink ref="B25" location="'Generacion de Valor'!A1" display="19.  INDICADORES DE GENERACIÓN DE VALOR" xr:uid="{00000000-0004-0000-0000-000012000000}"/>
    <hyperlink ref="B26" location="Flujo!A1" display="20.  FLUJO DE CAJA " xr:uid="{00000000-0004-0000-0000-000013000000}"/>
    <hyperlink ref="B27" location="'Analisis metas'!A1" display="21.  ANÁLISIS DE RESULTADOS vs METAS" xr:uid="{00000000-0004-0000-0000-000014000000}"/>
    <hyperlink ref="B28" location="'Tablero de control'!A1" display="22.  TABLERO DE CONTROL " xr:uid="{00000000-0004-0000-0000-000015000000}"/>
    <hyperlink ref="B29" location="'Crecimiento Sostenible'!A1" display="23.  CRECIMIENTO SOSTENIBLE" xr:uid="{9A81C990-4B93-44BE-9C39-A7E79FB37F9B}"/>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Q70"/>
  <sheetViews>
    <sheetView topLeftCell="D1" zoomScale="80" zoomScaleNormal="80" workbookViewId="0">
      <selection activeCell="O11" sqref="O11"/>
    </sheetView>
  </sheetViews>
  <sheetFormatPr baseColWidth="10" defaultColWidth="0" defaultRowHeight="0" customHeight="1" zeroHeight="1" x14ac:dyDescent="0.25"/>
  <cols>
    <col min="1" max="1" width="4.44140625" style="80" customWidth="1"/>
    <col min="2" max="2" width="24.33203125" style="80" customWidth="1"/>
    <col min="3" max="3" width="7.6640625" style="80" customWidth="1"/>
    <col min="4" max="4" width="25.5546875" style="80" customWidth="1"/>
    <col min="5" max="5" width="6" style="80" customWidth="1"/>
    <col min="6" max="6" width="25.109375" style="80" customWidth="1"/>
    <col min="7" max="7" width="8.33203125" style="80" customWidth="1"/>
    <col min="8" max="8" width="24.6640625" style="80" customWidth="1"/>
    <col min="9" max="9" width="3.44140625" style="80" customWidth="1"/>
    <col min="10" max="10" width="24.5546875" style="80" customWidth="1"/>
    <col min="11" max="11" width="3.88671875" style="80" customWidth="1"/>
    <col min="12" max="12" width="25.44140625" style="80" customWidth="1"/>
    <col min="13" max="13" width="3.88671875" style="80" customWidth="1"/>
    <col min="14" max="14" width="25.109375" style="80" customWidth="1"/>
    <col min="15" max="15" width="11.44140625" style="80" customWidth="1"/>
    <col min="16" max="17" width="0" style="80" hidden="1" customWidth="1"/>
    <col min="18" max="16384" width="11.44140625" style="80" hidden="1"/>
  </cols>
  <sheetData>
    <row r="1" spans="2:15" ht="13.8" x14ac:dyDescent="0.25"/>
    <row r="2" spans="2:15" ht="13.8" x14ac:dyDescent="0.25"/>
    <row r="3" spans="2:15" ht="24.6" x14ac:dyDescent="0.4">
      <c r="B3" s="488" t="str">
        <f>+Variables!D3</f>
        <v>K-LISTO</v>
      </c>
      <c r="C3" s="489"/>
      <c r="D3" s="489"/>
      <c r="E3" s="489"/>
      <c r="F3" s="489"/>
      <c r="G3" s="489"/>
      <c r="H3" s="489"/>
      <c r="I3" s="489"/>
      <c r="J3" s="489"/>
      <c r="K3" s="489"/>
      <c r="L3" s="489"/>
      <c r="M3" s="489"/>
      <c r="N3" s="490"/>
    </row>
    <row r="4" spans="2:15" ht="16.5" customHeight="1" x14ac:dyDescent="0.25">
      <c r="B4" s="486" t="s">
        <v>211</v>
      </c>
      <c r="C4" s="487"/>
      <c r="D4" s="487"/>
      <c r="E4" s="487"/>
      <c r="F4" s="487"/>
      <c r="G4" s="487"/>
      <c r="H4" s="487"/>
      <c r="I4" s="487"/>
      <c r="J4" s="487"/>
      <c r="K4" s="487"/>
      <c r="L4" s="487"/>
      <c r="M4" s="487"/>
      <c r="N4" s="491"/>
    </row>
    <row r="5" spans="2:15" ht="13.8" x14ac:dyDescent="0.25">
      <c r="B5" s="92"/>
      <c r="C5" s="93"/>
      <c r="D5" s="93"/>
      <c r="E5" s="93"/>
      <c r="F5" s="93"/>
      <c r="G5" s="93"/>
      <c r="H5" s="93"/>
      <c r="I5" s="93"/>
      <c r="J5" s="93"/>
      <c r="K5" s="93"/>
      <c r="L5" s="93"/>
      <c r="M5" s="93"/>
      <c r="N5" s="94"/>
    </row>
    <row r="6" spans="2:15" ht="13.8" x14ac:dyDescent="0.25"/>
    <row r="7" spans="2:15" ht="13.8" x14ac:dyDescent="0.25">
      <c r="B7" s="97">
        <f>+Balance!C7</f>
        <v>2018</v>
      </c>
      <c r="D7" s="97">
        <f>+Variables!E7</f>
        <v>2019</v>
      </c>
      <c r="F7" s="97">
        <f>+Variables!F7</f>
        <v>2020</v>
      </c>
      <c r="H7" s="97">
        <f>+Variables!G7</f>
        <v>2021</v>
      </c>
      <c r="J7" s="97">
        <f>+Variables!H7</f>
        <v>2022</v>
      </c>
      <c r="L7" s="97">
        <f>+Variables!I7</f>
        <v>2023</v>
      </c>
      <c r="N7" s="97" t="str">
        <f>+'AnVert. Resultados'!I6</f>
        <v>REFERENTE</v>
      </c>
    </row>
    <row r="8" spans="2:15" ht="13.8" x14ac:dyDescent="0.25"/>
    <row r="9" spans="2:15" ht="13.8" x14ac:dyDescent="0.25">
      <c r="B9" s="98" t="s">
        <v>212</v>
      </c>
      <c r="D9" s="98" t="str">
        <f>+B9</f>
        <v>TOTAL VENTAS</v>
      </c>
      <c r="F9" s="98" t="str">
        <f>+D9</f>
        <v>TOTAL VENTAS</v>
      </c>
      <c r="H9" s="98" t="str">
        <f>+D9</f>
        <v>TOTAL VENTAS</v>
      </c>
      <c r="J9" s="98" t="str">
        <f>+H9</f>
        <v>TOTAL VENTAS</v>
      </c>
      <c r="L9" s="98" t="str">
        <f>+H9</f>
        <v>TOTAL VENTAS</v>
      </c>
      <c r="N9" s="98" t="str">
        <f>+J9</f>
        <v>TOTAL VENTAS</v>
      </c>
    </row>
    <row r="10" spans="2:15" ht="7.2" customHeight="1" x14ac:dyDescent="0.25">
      <c r="B10" s="99"/>
      <c r="D10" s="99"/>
      <c r="F10" s="99"/>
      <c r="H10" s="99"/>
      <c r="J10" s="99"/>
      <c r="L10" s="99"/>
      <c r="N10" s="99"/>
    </row>
    <row r="11" spans="2:15" ht="15" x14ac:dyDescent="0.35">
      <c r="B11" s="100">
        <f>+'Estado Resultados'!C19+'Estado Resultados'!C20+'Estado Resultados'!C8</f>
        <v>8985574090</v>
      </c>
      <c r="D11" s="100">
        <f>+'Estado Resultados'!D19+'Estado Resultados'!D20+'Estado Resultados'!D8</f>
        <v>12000698614</v>
      </c>
      <c r="F11" s="100">
        <f>+'Estado Resultados'!E19+'Estado Resultados'!E20+'Estado Resultados'!E8</f>
        <v>19557454968</v>
      </c>
      <c r="G11" s="441">
        <f>(F11/B11)^(1/2)-1</f>
        <v>0.47530989316283456</v>
      </c>
      <c r="H11" s="100">
        <f>+'Estado Resultados'!F19+'Estado Resultados'!F20+'Estado Resultados'!F8</f>
        <v>23134865161</v>
      </c>
      <c r="J11" s="100">
        <f>+'Estado Resultados'!G19+'Estado Resultados'!G20+'Estado Resultados'!G8</f>
        <v>29475179743</v>
      </c>
      <c r="L11" s="100">
        <f>+'Estado Resultados'!H19+'Estado Resultados'!H20+'Estado Resultados'!H8</f>
        <v>34957732940</v>
      </c>
      <c r="N11" s="100">
        <f>+'Estado Resultados'!I19+'Estado Resultados'!I20+'Estado Resultados'!I8</f>
        <v>19078935.050000001</v>
      </c>
      <c r="O11" s="441">
        <f>(L11/F11)^(1/3)-1</f>
        <v>0.21360392893256996</v>
      </c>
    </row>
    <row r="12" spans="2:15" ht="10.199999999999999" customHeight="1" x14ac:dyDescent="0.25">
      <c r="B12" s="102"/>
      <c r="D12" s="102"/>
      <c r="F12" s="102"/>
      <c r="H12" s="102"/>
      <c r="J12" s="102"/>
      <c r="L12" s="102"/>
      <c r="N12" s="102"/>
    </row>
    <row r="13" spans="2:15" ht="13.8" x14ac:dyDescent="0.25"/>
    <row r="14" spans="2:15" ht="13.8" x14ac:dyDescent="0.25">
      <c r="B14" s="98" t="s">
        <v>213</v>
      </c>
      <c r="D14" s="98" t="str">
        <f>+B14</f>
        <v>TOTAL COSTOS Y GASTOS</v>
      </c>
      <c r="F14" s="98" t="str">
        <f>+D14</f>
        <v>TOTAL COSTOS Y GASTOS</v>
      </c>
      <c r="H14" s="98" t="str">
        <f>+D14</f>
        <v>TOTAL COSTOS Y GASTOS</v>
      </c>
      <c r="J14" s="98" t="str">
        <f>+H14</f>
        <v>TOTAL COSTOS Y GASTOS</v>
      </c>
      <c r="L14" s="98" t="str">
        <f>+H14</f>
        <v>TOTAL COSTOS Y GASTOS</v>
      </c>
      <c r="N14" s="98" t="str">
        <f>+J14</f>
        <v>TOTAL COSTOS Y GASTOS</v>
      </c>
    </row>
    <row r="15" spans="2:15" ht="7.2" customHeight="1" x14ac:dyDescent="0.25">
      <c r="B15" s="99"/>
      <c r="D15" s="99"/>
      <c r="F15" s="99"/>
      <c r="H15" s="99"/>
      <c r="J15" s="99"/>
      <c r="L15" s="99"/>
      <c r="N15" s="99"/>
    </row>
    <row r="16" spans="2:15" ht="15" x14ac:dyDescent="0.35">
      <c r="B16" s="100">
        <f>+'Estado Resultados'!C10+'Estado Resultados'!C14+'Estado Resultados'!C15+'Estado Resultados'!C21+'Estado Resultados'!C22+'Estado Resultados'!C26</f>
        <v>8398682567.786665</v>
      </c>
      <c r="D16" s="100">
        <f>+'Estado Resultados'!D10+'Estado Resultados'!D14+'Estado Resultados'!D15+'Estado Resultados'!D21+'Estado Resultados'!D22+'Estado Resultados'!D26</f>
        <v>11278889689.000002</v>
      </c>
      <c r="F16" s="100">
        <f>+'Estado Resultados'!E10+'Estado Resultados'!E14+'Estado Resultados'!E15+'Estado Resultados'!E21+'Estado Resultados'!E22+'Estado Resultados'!E26</f>
        <v>16948747360.999998</v>
      </c>
      <c r="G16" s="441">
        <f>(F16/B16)^(1/2)-1</f>
        <v>0.42057189906668091</v>
      </c>
      <c r="H16" s="100">
        <f>+'Estado Resultados'!F10+'Estado Resultados'!F14+'Estado Resultados'!F15+'Estado Resultados'!F21+'Estado Resultados'!F22+'Estado Resultados'!F26</f>
        <v>20928008938</v>
      </c>
      <c r="J16" s="100">
        <f>+'Estado Resultados'!G10+'Estado Resultados'!G14+'Estado Resultados'!G15+'Estado Resultados'!G21+'Estado Resultados'!G22+'Estado Resultados'!G26</f>
        <v>28209099423.269505</v>
      </c>
      <c r="L16" s="100">
        <f>+'Estado Resultados'!H10+'Estado Resultados'!H14+'Estado Resultados'!H15+'Estado Resultados'!H21+'Estado Resultados'!H22+'Estado Resultados'!H26</f>
        <v>33895688468.024796</v>
      </c>
      <c r="N16" s="100">
        <f>+'Estado Resultados'!I10+'Estado Resultados'!I14+'Estado Resultados'!I15+'Estado Resultados'!I21+'Estado Resultados'!I22+'Estado Resultados'!I26</f>
        <v>18339320.240000006</v>
      </c>
      <c r="O16" s="441">
        <f>(L16/F16)^(1/3)-1</f>
        <v>0.25989867087791696</v>
      </c>
    </row>
    <row r="17" spans="2:15" ht="10.199999999999999" customHeight="1" x14ac:dyDescent="0.25">
      <c r="B17" s="102"/>
      <c r="D17" s="102"/>
      <c r="F17" s="102"/>
      <c r="H17" s="102"/>
      <c r="J17" s="102"/>
      <c r="L17" s="102"/>
      <c r="N17" s="102"/>
    </row>
    <row r="18" spans="2:15" ht="13.8" x14ac:dyDescent="0.25"/>
    <row r="19" spans="2:15" ht="13.8" x14ac:dyDescent="0.25">
      <c r="B19" s="96" t="s">
        <v>214</v>
      </c>
      <c r="D19" s="96" t="str">
        <f>+B19</f>
        <v>UTILIDAD OPERATIVA</v>
      </c>
      <c r="F19" s="96" t="str">
        <f>+D19</f>
        <v>UTILIDAD OPERATIVA</v>
      </c>
      <c r="H19" s="96" t="str">
        <f>+D19</f>
        <v>UTILIDAD OPERATIVA</v>
      </c>
      <c r="J19" s="96" t="str">
        <f>+H19</f>
        <v>UTILIDAD OPERATIVA</v>
      </c>
      <c r="L19" s="96" t="str">
        <f>+H19</f>
        <v>UTILIDAD OPERATIVA</v>
      </c>
      <c r="N19" s="96" t="str">
        <f>+J19</f>
        <v>UTILIDAD OPERATIVA</v>
      </c>
    </row>
    <row r="20" spans="2:15" ht="7.2" customHeight="1" x14ac:dyDescent="0.25">
      <c r="B20" s="99"/>
      <c r="D20" s="99"/>
      <c r="F20" s="99"/>
      <c r="H20" s="99"/>
      <c r="J20" s="99"/>
      <c r="L20" s="99"/>
      <c r="N20" s="99"/>
    </row>
    <row r="21" spans="2:15" ht="15" x14ac:dyDescent="0.35">
      <c r="B21" s="100">
        <f>+'Estado Resultados'!C17</f>
        <v>942174148.19354105</v>
      </c>
      <c r="D21" s="100">
        <f>+'Estado Resultados'!D17</f>
        <v>1143461459.0406418</v>
      </c>
      <c r="F21" s="100">
        <f>+'Estado Resultados'!E17</f>
        <v>3546598517.8570542</v>
      </c>
      <c r="G21" s="441">
        <f>(F21/B21)^(1/2)-1</f>
        <v>0.94017284697384973</v>
      </c>
      <c r="H21" s="100">
        <f>+'Estado Resultados'!F17</f>
        <v>2877761171.1699476</v>
      </c>
      <c r="J21" s="100">
        <f>+'Estado Resultados'!G17</f>
        <v>2503468334.6848335</v>
      </c>
      <c r="L21" s="100">
        <f>+'Estado Resultados'!H17</f>
        <v>2584653589.8712711</v>
      </c>
      <c r="N21" s="100">
        <f>+'Estado Resultados'!I17</f>
        <v>1728156.9599999981</v>
      </c>
      <c r="O21" s="441">
        <f>(L21/F21)^(1/3)-1</f>
        <v>-0.1000947776102783</v>
      </c>
    </row>
    <row r="22" spans="2:15" ht="7.2" customHeight="1" x14ac:dyDescent="0.25">
      <c r="B22" s="101"/>
      <c r="D22" s="101"/>
      <c r="F22" s="101"/>
      <c r="H22" s="101"/>
      <c r="J22" s="101"/>
      <c r="L22" s="101"/>
      <c r="N22" s="101"/>
    </row>
    <row r="23" spans="2:15" ht="13.8" x14ac:dyDescent="0.25">
      <c r="B23" s="134">
        <f>+'AnVert. Resultados'!C17</f>
        <v>0.10752713137788725</v>
      </c>
      <c r="D23" s="134">
        <f>+'AnVert. Resultados'!D17</f>
        <v>9.7518993939027576E-2</v>
      </c>
      <c r="F23" s="134">
        <f>+'AnVert. Resultados'!E17</f>
        <v>0.18451489724338158</v>
      </c>
      <c r="H23" s="134">
        <f>+'AnVert. Resultados'!F17</f>
        <v>0.12694984445744356</v>
      </c>
      <c r="J23" s="134">
        <f>+'AnVert. Resultados'!G17</f>
        <v>8.6155371638774361E-2</v>
      </c>
      <c r="L23" s="134">
        <f>+'AnVert. Resultados'!H17</f>
        <v>7.4757331857483289E-2</v>
      </c>
      <c r="N23" s="134">
        <f>+'AnVert. Resultados'!I17</f>
        <v>9.1406583661744423E-2</v>
      </c>
    </row>
    <row r="24" spans="2:15" ht="13.8" x14ac:dyDescent="0.25"/>
    <row r="25" spans="2:15" ht="13.8" x14ac:dyDescent="0.25">
      <c r="B25" s="96" t="s">
        <v>194</v>
      </c>
      <c r="D25" s="96" t="str">
        <f>+B25</f>
        <v>UTILIDAD NETA</v>
      </c>
      <c r="F25" s="96" t="str">
        <f>+D25</f>
        <v>UTILIDAD NETA</v>
      </c>
      <c r="H25" s="96" t="str">
        <f>+D25</f>
        <v>UTILIDAD NETA</v>
      </c>
      <c r="J25" s="96" t="str">
        <f>+H25</f>
        <v>UTILIDAD NETA</v>
      </c>
      <c r="L25" s="96" t="str">
        <f>+H25</f>
        <v>UTILIDAD NETA</v>
      </c>
      <c r="N25" s="96" t="str">
        <f>+J25</f>
        <v>UTILIDAD NETA</v>
      </c>
    </row>
    <row r="26" spans="2:15" ht="7.2" customHeight="1" x14ac:dyDescent="0.25">
      <c r="B26" s="99"/>
      <c r="D26" s="99"/>
      <c r="F26" s="99"/>
      <c r="H26" s="99"/>
      <c r="J26" s="99"/>
      <c r="L26" s="99"/>
      <c r="N26" s="99"/>
    </row>
    <row r="27" spans="2:15" ht="15" x14ac:dyDescent="0.35">
      <c r="B27" s="100">
        <f>+'Estado Resultados'!C28</f>
        <v>586891522.21333396</v>
      </c>
      <c r="D27" s="100">
        <f>+'Estado Resultados'!D28</f>
        <v>721808924.99999905</v>
      </c>
      <c r="F27" s="100">
        <f>+'Estado Resultados'!E28</f>
        <v>2608707606.9999995</v>
      </c>
      <c r="G27" s="441">
        <f>(F27/B27)^(1/2)-1</f>
        <v>1.1083066774477306</v>
      </c>
      <c r="H27" s="100">
        <f>+'Estado Resultados'!F28</f>
        <v>2206856222.999999</v>
      </c>
      <c r="J27" s="100">
        <f>+'Estado Resultados'!G28</f>
        <v>1266080319.7304978</v>
      </c>
      <c r="L27" s="100">
        <f>+'Estado Resultados'!H28</f>
        <v>1062044471.9752088</v>
      </c>
      <c r="N27" s="100">
        <f>+'Estado Resultados'!I28</f>
        <v>739614.80999999808</v>
      </c>
      <c r="O27" s="441">
        <f>(L27/F27)^(1/3)-1</f>
        <v>-0.25885059199903859</v>
      </c>
    </row>
    <row r="28" spans="2:15" ht="7.2" customHeight="1" x14ac:dyDescent="0.25">
      <c r="B28" s="101"/>
      <c r="D28" s="101"/>
      <c r="F28" s="101"/>
      <c r="H28" s="101"/>
      <c r="J28" s="101"/>
      <c r="L28" s="101"/>
      <c r="N28" s="101"/>
    </row>
    <row r="29" spans="2:15" ht="13.8" x14ac:dyDescent="0.25">
      <c r="B29" s="134">
        <f>+'AnVert. Resultados'!C28</f>
        <v>6.6979933523540092E-2</v>
      </c>
      <c r="D29" s="134">
        <f>+'AnVert. Resultados'!D28</f>
        <v>6.1558769318965791E-2</v>
      </c>
      <c r="F29" s="134">
        <f>+'AnVert. Resultados'!E28</f>
        <v>0.13572030034413762</v>
      </c>
      <c r="H29" s="134">
        <f>+'AnVert. Resultados'!F28</f>
        <v>9.7353476395642929E-2</v>
      </c>
      <c r="J29" s="134">
        <f>+'AnVert. Resultados'!G28</f>
        <v>4.3571400109061721E-2</v>
      </c>
      <c r="L29" s="134">
        <f>+'AnVert. Resultados'!H28</f>
        <v>3.071808591680969E-2</v>
      </c>
      <c r="N29" s="134">
        <f>+'AnVert. Resultados'!I28</f>
        <v>3.9120094165364529E-2</v>
      </c>
    </row>
    <row r="30" spans="2:15" ht="13.8" x14ac:dyDescent="0.25"/>
    <row r="31" spans="2:15" ht="13.8" x14ac:dyDescent="0.25"/>
    <row r="32" spans="2:15" ht="13.8" x14ac:dyDescent="0.25">
      <c r="B32" s="80">
        <f>+B7</f>
        <v>2018</v>
      </c>
      <c r="D32" s="80">
        <f>+D7</f>
        <v>2019</v>
      </c>
      <c r="F32" s="80">
        <f>+F7</f>
        <v>2020</v>
      </c>
      <c r="H32" s="80">
        <f>+H7</f>
        <v>2021</v>
      </c>
      <c r="J32" s="80">
        <f t="shared" ref="J32" si="0">+J7</f>
        <v>2022</v>
      </c>
      <c r="L32" s="80">
        <f>+L7</f>
        <v>2023</v>
      </c>
      <c r="N32" s="364" t="str">
        <f>+N7</f>
        <v>REFERENTE</v>
      </c>
    </row>
    <row r="33" spans="1:14" ht="13.8" x14ac:dyDescent="0.25">
      <c r="A33" s="80" t="str">
        <f>+B9</f>
        <v>TOTAL VENTAS</v>
      </c>
      <c r="B33" s="86">
        <f>+B11</f>
        <v>8985574090</v>
      </c>
      <c r="D33" s="86">
        <f>+D11</f>
        <v>12000698614</v>
      </c>
      <c r="F33" s="86">
        <f>+F11</f>
        <v>19557454968</v>
      </c>
      <c r="H33" s="86">
        <f>+H11</f>
        <v>23134865161</v>
      </c>
      <c r="J33" s="86">
        <f>+J11</f>
        <v>29475179743</v>
      </c>
      <c r="L33" s="86">
        <f>+L11</f>
        <v>34957732940</v>
      </c>
      <c r="N33" s="86">
        <f>+N11</f>
        <v>19078935.050000001</v>
      </c>
    </row>
    <row r="34" spans="1:14" ht="13.8" x14ac:dyDescent="0.25">
      <c r="A34" s="80" t="str">
        <f>+B14</f>
        <v>TOTAL COSTOS Y GASTOS</v>
      </c>
      <c r="B34" s="86">
        <f>+B16</f>
        <v>8398682567.786665</v>
      </c>
      <c r="D34" s="86">
        <f>+D16</f>
        <v>11278889689.000002</v>
      </c>
      <c r="F34" s="86">
        <f>+F16</f>
        <v>16948747360.999998</v>
      </c>
      <c r="H34" s="86">
        <f>+H16</f>
        <v>20928008938</v>
      </c>
      <c r="J34" s="86">
        <f>+J16</f>
        <v>28209099423.269505</v>
      </c>
      <c r="L34" s="86">
        <f>+L16</f>
        <v>33895688468.024796</v>
      </c>
      <c r="N34" s="86">
        <f>+N16</f>
        <v>18339320.240000006</v>
      </c>
    </row>
    <row r="35" spans="1:14" ht="13.8" x14ac:dyDescent="0.25">
      <c r="A35" s="80" t="str">
        <f>+B19</f>
        <v>UTILIDAD OPERATIVA</v>
      </c>
      <c r="B35" s="86">
        <f>+B21</f>
        <v>942174148.19354105</v>
      </c>
      <c r="D35" s="86">
        <f>+D21</f>
        <v>1143461459.0406418</v>
      </c>
      <c r="F35" s="86">
        <f>+F21</f>
        <v>3546598517.8570542</v>
      </c>
      <c r="H35" s="86">
        <f>+H21</f>
        <v>2877761171.1699476</v>
      </c>
      <c r="J35" s="86">
        <f>+J21</f>
        <v>2503468334.6848335</v>
      </c>
      <c r="L35" s="86">
        <f>+L21</f>
        <v>2584653589.8712711</v>
      </c>
      <c r="N35" s="86">
        <f>+N21</f>
        <v>1728156.9599999981</v>
      </c>
    </row>
    <row r="36" spans="1:14" ht="13.8" x14ac:dyDescent="0.25"/>
    <row r="37" spans="1:14" ht="13.8" x14ac:dyDescent="0.25"/>
    <row r="38" spans="1:14" ht="13.8" x14ac:dyDescent="0.25"/>
    <row r="39" spans="1:14" ht="13.8" x14ac:dyDescent="0.25"/>
    <row r="40" spans="1:14" ht="13.8" x14ac:dyDescent="0.25"/>
    <row r="41" spans="1:14" ht="13.8" x14ac:dyDescent="0.25"/>
    <row r="42" spans="1:14" ht="13.8" x14ac:dyDescent="0.25"/>
    <row r="43" spans="1:14" ht="13.8" x14ac:dyDescent="0.25"/>
    <row r="44" spans="1:14" ht="13.8" x14ac:dyDescent="0.25"/>
    <row r="45" spans="1:14" ht="13.8" x14ac:dyDescent="0.25"/>
    <row r="46" spans="1:14" ht="13.8" x14ac:dyDescent="0.25"/>
    <row r="47" spans="1:14" ht="13.8" x14ac:dyDescent="0.25"/>
    <row r="48" spans="1:14" ht="13.8" x14ac:dyDescent="0.25"/>
    <row r="49" spans="1:15" ht="13.8" x14ac:dyDescent="0.25"/>
    <row r="50" spans="1:15" ht="13.8" x14ac:dyDescent="0.25"/>
    <row r="51" spans="1:15" ht="13.8" x14ac:dyDescent="0.25">
      <c r="A51" s="104"/>
      <c r="B51" s="104"/>
      <c r="C51" s="104"/>
      <c r="D51" s="104"/>
      <c r="E51" s="104"/>
      <c r="F51" s="104"/>
      <c r="G51" s="104"/>
      <c r="H51" s="104"/>
      <c r="I51" s="104"/>
      <c r="J51" s="104"/>
      <c r="K51" s="104"/>
      <c r="L51" s="104"/>
      <c r="M51" s="104"/>
      <c r="N51" s="104"/>
      <c r="O51" s="104"/>
    </row>
    <row r="52" spans="1:15" ht="13.8" x14ac:dyDescent="0.25">
      <c r="B52" s="322">
        <f>+B7</f>
        <v>2018</v>
      </c>
      <c r="C52" s="322">
        <f>+D7</f>
        <v>2019</v>
      </c>
      <c r="D52" s="322">
        <f>+F7</f>
        <v>2020</v>
      </c>
      <c r="E52" s="80">
        <f>+H7</f>
        <v>2021</v>
      </c>
      <c r="F52" s="80">
        <f>+J7</f>
        <v>2022</v>
      </c>
      <c r="G52" s="80">
        <f>+L7</f>
        <v>2023</v>
      </c>
      <c r="H52" s="80" t="str">
        <f>+N7</f>
        <v>REFERENTE</v>
      </c>
    </row>
    <row r="53" spans="1:15" ht="13.8" x14ac:dyDescent="0.25">
      <c r="A53" s="80" t="str">
        <f>+'Estado Resultados'!B10</f>
        <v>Costo de ventas</v>
      </c>
      <c r="B53" s="320">
        <f>+'Estado Resultados'!C10</f>
        <v>4499655119</v>
      </c>
      <c r="C53" s="320">
        <f>+'Estado Resultados'!D10</f>
        <v>6551066239</v>
      </c>
      <c r="D53" s="320">
        <f>+'Estado Resultados'!E10</f>
        <v>10619635810</v>
      </c>
      <c r="E53" s="320">
        <f>+'Estado Resultados'!F10</f>
        <v>13922233454</v>
      </c>
      <c r="F53" s="320">
        <f>+'Estado Resultados'!G10</f>
        <v>18723224652</v>
      </c>
      <c r="G53" s="320">
        <f>+'Estado Resultados'!H10</f>
        <v>23385605589</v>
      </c>
      <c r="H53" s="320">
        <f>+'Estado Resultados'!I10</f>
        <v>11508292.74</v>
      </c>
      <c r="I53" s="320"/>
      <c r="J53" s="320"/>
      <c r="K53" s="320"/>
      <c r="L53" s="320"/>
    </row>
    <row r="54" spans="1:15" ht="13.8" x14ac:dyDescent="0.25">
      <c r="A54" s="80" t="str">
        <f>+'Estado Resultados'!B14</f>
        <v>Gastos de administración</v>
      </c>
      <c r="B54" s="320">
        <f>+'Estado Resultados'!C14</f>
        <v>988722886.32150304</v>
      </c>
      <c r="C54" s="320">
        <f>+'Estado Resultados'!D14</f>
        <v>1198087100.4407773</v>
      </c>
      <c r="D54" s="320">
        <f>+'Estado Resultados'!E14</f>
        <v>1502430504.2454386</v>
      </c>
      <c r="E54" s="320">
        <f>+'Estado Resultados'!F14</f>
        <v>1744225070.5946362</v>
      </c>
      <c r="F54" s="320">
        <f>+'Estado Resultados'!G14</f>
        <v>2327490371.9545426</v>
      </c>
      <c r="G54" s="320">
        <f>+'Estado Resultados'!H14</f>
        <v>2557165389.3303685</v>
      </c>
      <c r="H54" s="320">
        <f>+'Estado Resultados'!I14</f>
        <v>5669813.8400000008</v>
      </c>
      <c r="I54" s="320"/>
      <c r="J54" s="320"/>
      <c r="K54" s="320"/>
      <c r="L54" s="320"/>
    </row>
    <row r="55" spans="1:15" ht="13.8" x14ac:dyDescent="0.25">
      <c r="A55" s="80" t="str">
        <f>+'Estado Resultados'!B15</f>
        <v>Gastos de ventas</v>
      </c>
      <c r="B55" s="320">
        <f>+'Estado Resultados'!C15</f>
        <v>2331647080.4849558</v>
      </c>
      <c r="C55" s="320">
        <f>+'Estado Resultados'!D15</f>
        <v>2832910792.5185809</v>
      </c>
      <c r="D55" s="320">
        <f>+'Estado Resultados'!E15</f>
        <v>3552539367.8975072</v>
      </c>
      <c r="E55" s="320">
        <f>+'Estado Resultados'!F15</f>
        <v>4124269450.2354164</v>
      </c>
      <c r="F55" s="320">
        <f>+'Estado Resultados'!G15</f>
        <v>5503416731.3606243</v>
      </c>
      <c r="G55" s="320">
        <f>+'Estado Resultados'!H15</f>
        <v>6046489797.7983608</v>
      </c>
      <c r="H55" s="320">
        <f>+'Estado Resultados'!I15</f>
        <v>0</v>
      </c>
      <c r="I55" s="320"/>
      <c r="J55" s="320"/>
      <c r="K55" s="320"/>
      <c r="L55" s="320"/>
    </row>
    <row r="56" spans="1:15" ht="13.8" x14ac:dyDescent="0.25">
      <c r="A56" s="80" t="str">
        <f>+'Estado Resultados'!B21</f>
        <v>Gastos financieros</v>
      </c>
      <c r="B56" s="320">
        <f>+'Estado Resultados'!C21</f>
        <v>170429359.62826386</v>
      </c>
      <c r="C56" s="320">
        <f>+'Estado Resultados'!D21</f>
        <v>207403497.59821624</v>
      </c>
      <c r="D56" s="320">
        <f>+'Estado Resultados'!E21</f>
        <v>260089054.76414385</v>
      </c>
      <c r="E56" s="320">
        <f>+'Estado Resultados'!F21</f>
        <v>301946644.86975276</v>
      </c>
      <c r="F56" s="320">
        <f>+'Estado Resultados'!G21</f>
        <v>402916986.24578196</v>
      </c>
      <c r="G56" s="320">
        <f>+'Estado Resultados'!H21</f>
        <v>629826349.00000024</v>
      </c>
      <c r="H56" s="320">
        <f>+'Estado Resultados'!I21</f>
        <v>896035.67</v>
      </c>
      <c r="I56" s="320"/>
      <c r="J56" s="320"/>
      <c r="K56" s="320"/>
      <c r="L56" s="320"/>
    </row>
    <row r="57" spans="1:15" ht="13.8" x14ac:dyDescent="0.25">
      <c r="A57" s="80" t="str">
        <f>+'Estado Resultados'!B22</f>
        <v>Otros egresos no operativos</v>
      </c>
      <c r="B57" s="320">
        <f>+'Estado Resultados'!C22</f>
        <v>124808707.56527698</v>
      </c>
      <c r="C57" s="320">
        <f>+'Estado Resultados'!D22</f>
        <v>146754059.44242641</v>
      </c>
      <c r="D57" s="320">
        <f>+'Estado Resultados'!E22</f>
        <v>184033177.09291098</v>
      </c>
      <c r="E57" s="320">
        <f>+'Estado Resultados'!F22</f>
        <v>213650668.3001956</v>
      </c>
      <c r="F57" s="320">
        <f>+'Estado Resultados'!G22</f>
        <v>285095015.43905175</v>
      </c>
      <c r="G57" s="320">
        <f>+'Estado Resultados'!H22</f>
        <v>126078164.8712714</v>
      </c>
      <c r="H57" s="320">
        <f>+'Estado Resultados'!I22</f>
        <v>2696.01</v>
      </c>
      <c r="I57" s="320"/>
      <c r="J57" s="320"/>
      <c r="K57" s="320"/>
      <c r="L57" s="320"/>
    </row>
    <row r="58" spans="1:15" ht="13.8" x14ac:dyDescent="0.25">
      <c r="A58" s="80" t="str">
        <f>+'Estado Resultados'!B26</f>
        <v>Provisión impuesto de renta</v>
      </c>
      <c r="B58" s="320">
        <f>+'Estado Resultados'!C26</f>
        <v>283419414.78666627</v>
      </c>
      <c r="C58" s="320">
        <f>+'Estado Resultados'!D26</f>
        <v>342668000</v>
      </c>
      <c r="D58" s="320">
        <f>+'Estado Resultados'!E26</f>
        <v>830019447</v>
      </c>
      <c r="E58" s="320">
        <f>+'Estado Resultados'!F26</f>
        <v>621683650</v>
      </c>
      <c r="F58" s="320">
        <f>+'Estado Resultados'!G26</f>
        <v>966955666.26950216</v>
      </c>
      <c r="G58" s="320">
        <f>+'Estado Resultados'!H26</f>
        <v>1150523178.0247908</v>
      </c>
      <c r="H58" s="320">
        <f>+'Estado Resultados'!I26</f>
        <v>262481.98</v>
      </c>
      <c r="I58" s="320"/>
      <c r="J58" s="320"/>
      <c r="K58" s="320"/>
      <c r="L58" s="320"/>
    </row>
    <row r="59" spans="1:15" ht="13.8" x14ac:dyDescent="0.25"/>
    <row r="60" spans="1:15" ht="13.8" x14ac:dyDescent="0.25"/>
    <row r="61" spans="1:15" ht="13.8" x14ac:dyDescent="0.25"/>
    <row r="62" spans="1:15" ht="13.8" x14ac:dyDescent="0.25"/>
    <row r="63" spans="1:15" ht="13.8" x14ac:dyDescent="0.25"/>
    <row r="64" spans="1:15" ht="13.8" x14ac:dyDescent="0.25"/>
    <row r="65" ht="13.8" x14ac:dyDescent="0.25"/>
    <row r="66" ht="13.8" x14ac:dyDescent="0.25"/>
    <row r="67" ht="13.8" x14ac:dyDescent="0.25"/>
    <row r="68" ht="13.8" x14ac:dyDescent="0.25"/>
    <row r="69" ht="13.8" x14ac:dyDescent="0.25"/>
    <row r="70" ht="14.25" customHeight="1" x14ac:dyDescent="0.25"/>
  </sheetData>
  <sheetProtection selectLockedCells="1" selectUnlockedCells="1"/>
  <mergeCells count="2">
    <mergeCell ref="B3:N3"/>
    <mergeCell ref="B4:N4"/>
  </mergeCells>
  <printOptions horizontalCentered="1"/>
  <pageMargins left="0.32" right="0.17" top="0.43" bottom="0.43" header="0.31496062992125984" footer="0.31496062992125984"/>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1"/>
  <dimension ref="A1:U59"/>
  <sheetViews>
    <sheetView workbookViewId="0">
      <selection activeCell="C21" sqref="C21"/>
    </sheetView>
  </sheetViews>
  <sheetFormatPr baseColWidth="10" defaultColWidth="0" defaultRowHeight="14.4" zeroHeight="1" x14ac:dyDescent="0.35"/>
  <cols>
    <col min="1" max="1" width="1.33203125" customWidth="1"/>
    <col min="2" max="2" width="36.44140625" customWidth="1"/>
    <col min="3" max="4" width="22.5546875" customWidth="1"/>
    <col min="5" max="5" width="20.5546875" customWidth="1"/>
    <col min="6" max="7" width="7.5546875" customWidth="1"/>
    <col min="8" max="8" width="10.5546875" customWidth="1"/>
    <col min="9" max="9" width="11" bestFit="1" customWidth="1"/>
    <col min="10" max="10" width="11" customWidth="1"/>
    <col min="11" max="13" width="10.5546875" customWidth="1"/>
    <col min="14" max="14" width="12.6640625" bestFit="1" customWidth="1"/>
    <col min="15" max="15" width="3.5546875" customWidth="1"/>
    <col min="16" max="16" width="18.6640625" hidden="1" customWidth="1"/>
    <col min="17" max="17" width="11.44140625" hidden="1" customWidth="1"/>
    <col min="18" max="18" width="15.5546875" hidden="1" customWidth="1"/>
    <col min="19" max="19" width="15.33203125" hidden="1" customWidth="1"/>
    <col min="20" max="21" width="15.5546875" hidden="1" customWidth="1"/>
    <col min="22" max="16384" width="11.44140625" hidden="1"/>
  </cols>
  <sheetData>
    <row r="1" spans="1:15" x14ac:dyDescent="0.35"/>
    <row r="2" spans="1:15" x14ac:dyDescent="0.35"/>
    <row r="3" spans="1:15" ht="22.2" x14ac:dyDescent="0.45">
      <c r="A3" s="2"/>
      <c r="B3" s="495" t="str">
        <f>+'Fuentes y aplicaciones'!B3:G3</f>
        <v>K-LISTO</v>
      </c>
      <c r="C3" s="496"/>
      <c r="D3" s="496"/>
      <c r="E3" s="496"/>
      <c r="F3" s="496"/>
      <c r="G3" s="496"/>
      <c r="H3" s="496"/>
      <c r="I3" s="496"/>
      <c r="J3" s="496"/>
      <c r="K3" s="496"/>
      <c r="L3" s="496"/>
      <c r="M3" s="496"/>
      <c r="N3" s="496"/>
    </row>
    <row r="4" spans="1:15" ht="22.2" x14ac:dyDescent="0.45">
      <c r="A4" s="2"/>
      <c r="B4" s="495" t="s">
        <v>215</v>
      </c>
      <c r="C4" s="496"/>
      <c r="D4" s="496"/>
      <c r="E4" s="496"/>
      <c r="F4" s="496"/>
      <c r="G4" s="496"/>
      <c r="H4" s="496"/>
      <c r="I4" s="496"/>
      <c r="J4" s="496"/>
      <c r="K4" s="496"/>
      <c r="L4" s="496"/>
      <c r="M4" s="496"/>
      <c r="N4" s="496"/>
    </row>
    <row r="5" spans="1:15" x14ac:dyDescent="0.35">
      <c r="A5" s="2"/>
      <c r="B5" s="497"/>
      <c r="C5" s="498"/>
      <c r="D5" s="498"/>
      <c r="E5" s="498"/>
      <c r="F5" s="498"/>
      <c r="G5" s="498"/>
      <c r="H5" s="498"/>
      <c r="I5" s="498"/>
      <c r="J5" s="498"/>
      <c r="K5" s="498"/>
      <c r="L5" s="498"/>
      <c r="M5" s="498"/>
      <c r="N5" s="498"/>
    </row>
    <row r="6" spans="1:15" ht="15" customHeight="1" x14ac:dyDescent="0.35">
      <c r="A6" s="2"/>
      <c r="B6" s="212"/>
      <c r="C6" s="212"/>
      <c r="D6" s="212"/>
      <c r="E6" s="212"/>
      <c r="F6" s="212"/>
      <c r="G6" s="212"/>
      <c r="H6" s="212"/>
      <c r="I6" s="212"/>
      <c r="J6" s="212"/>
      <c r="K6" s="212"/>
      <c r="L6" s="389"/>
      <c r="M6" s="389"/>
      <c r="N6" s="389"/>
    </row>
    <row r="7" spans="1:15" x14ac:dyDescent="0.35">
      <c r="A7" s="2"/>
      <c r="B7" s="387"/>
      <c r="C7" s="387"/>
      <c r="D7" s="387"/>
      <c r="E7" s="387"/>
      <c r="F7" s="387"/>
      <c r="G7" s="387"/>
      <c r="H7" s="387"/>
      <c r="I7" s="387"/>
      <c r="J7" s="387"/>
      <c r="K7" s="387"/>
      <c r="L7" s="357"/>
      <c r="M7" s="357"/>
      <c r="N7" s="357"/>
    </row>
    <row r="8" spans="1:15" ht="15" x14ac:dyDescent="0.35">
      <c r="B8" s="388" t="s">
        <v>216</v>
      </c>
      <c r="C8" s="522" t="s">
        <v>217</v>
      </c>
      <c r="D8" s="524"/>
      <c r="E8" s="522" t="s">
        <v>218</v>
      </c>
      <c r="F8" s="523"/>
      <c r="G8" s="524"/>
      <c r="H8" s="388">
        <f>+Liquidez!E7</f>
        <v>2018</v>
      </c>
      <c r="I8" s="388">
        <f>+Liquidez!F7</f>
        <v>2019</v>
      </c>
      <c r="J8" s="388">
        <v>2020</v>
      </c>
      <c r="K8" s="388">
        <f>+Liquidez!H7</f>
        <v>2021</v>
      </c>
      <c r="L8" s="388">
        <f>+Liquidez!I7</f>
        <v>2022</v>
      </c>
      <c r="M8" s="388">
        <f>+Liquidez!J7</f>
        <v>2023</v>
      </c>
      <c r="N8" s="388" t="str">
        <f>+Liquidez!K7</f>
        <v>REFERENTE</v>
      </c>
    </row>
    <row r="9" spans="1:15" ht="49.95" customHeight="1" x14ac:dyDescent="0.35">
      <c r="B9" s="185" t="s">
        <v>219</v>
      </c>
      <c r="C9" s="500" t="s">
        <v>220</v>
      </c>
      <c r="D9" s="501"/>
      <c r="E9" s="502" t="s">
        <v>221</v>
      </c>
      <c r="F9" s="503"/>
      <c r="G9" s="504"/>
      <c r="H9" s="369">
        <f>+(((Variables!D70+Balance!C13)/2)/'Estado Resultados'!C8)*365</f>
        <v>175.08437493148196</v>
      </c>
      <c r="I9" s="369">
        <f>(((Balance!C13+Balance!D13)/2)/'Estado Resultados'!D8)*365</f>
        <v>128.11221379922702</v>
      </c>
      <c r="J9" s="369">
        <f>(((Balance!D13+Balance!E13)/2)/'Estado Resultados'!E8)*365</f>
        <v>74.372822234259388</v>
      </c>
      <c r="K9" s="369">
        <f>(((Balance!E13+Balance!F13)/2)/'Estado Resultados'!F8)*365</f>
        <v>74.376342014946573</v>
      </c>
      <c r="L9" s="369">
        <f>(((Balance!F13+Balance!G13)/2)/'Estado Resultados'!G8)*365</f>
        <v>53.989484920328813</v>
      </c>
      <c r="M9" s="369">
        <f>(((Balance!G13+Balance!H13)/2)/'Estado Resultados'!H8)*365</f>
        <v>65.228889822070087</v>
      </c>
      <c r="N9" s="369">
        <f>365*Balance!I13/'Estado Resultados'!I8</f>
        <v>32.893716015554922</v>
      </c>
      <c r="O9" t="s">
        <v>222</v>
      </c>
    </row>
    <row r="10" spans="1:15" ht="49.95" customHeight="1" x14ac:dyDescent="0.35">
      <c r="B10" s="200" t="s">
        <v>223</v>
      </c>
      <c r="C10" s="517" t="s">
        <v>224</v>
      </c>
      <c r="D10" s="518"/>
      <c r="E10" s="519" t="s">
        <v>225</v>
      </c>
      <c r="F10" s="520"/>
      <c r="G10" s="521"/>
      <c r="H10" s="370">
        <f>+(((Variables!D71+Balance!C14)/2)/'Estado Resultados'!C10)*365</f>
        <v>46.702795644858845</v>
      </c>
      <c r="I10" s="370">
        <f>+(((Balance!C14+Balance!D14)/2)/'Estado Resultados'!D10)*365</f>
        <v>42.441053514281222</v>
      </c>
      <c r="J10" s="370">
        <f>+(((Balance!D14+Balance!E14)/2)/'Estado Resultados'!E10)*365</f>
        <v>40.358694202009552</v>
      </c>
      <c r="K10" s="370">
        <f>+(((Balance!E14+Balance!F14)/2)/'Estado Resultados'!F10)*365</f>
        <v>33.344337940377137</v>
      </c>
      <c r="L10" s="370">
        <f>+(((Balance!F14+Balance!G14)/2)/'Estado Resultados'!G10)*365</f>
        <v>28.074990388680192</v>
      </c>
      <c r="M10" s="370">
        <f>+(((Balance!G14+Balance!H14)/2)/'Estado Resultados'!H10)*365</f>
        <v>29.237537586437913</v>
      </c>
      <c r="N10" s="370">
        <f>365*Balance!I14/'Estado Resultados'!I10</f>
        <v>70.816086300738291</v>
      </c>
      <c r="O10" t="s">
        <v>222</v>
      </c>
    </row>
    <row r="11" spans="1:15" ht="49.95" customHeight="1" x14ac:dyDescent="0.35">
      <c r="B11" s="185" t="s">
        <v>226</v>
      </c>
      <c r="C11" s="500" t="s">
        <v>227</v>
      </c>
      <c r="D11" s="501"/>
      <c r="E11" s="502" t="s">
        <v>228</v>
      </c>
      <c r="F11" s="503"/>
      <c r="G11" s="504"/>
      <c r="H11" s="369">
        <f>+H9+H10</f>
        <v>221.7871705763408</v>
      </c>
      <c r="I11" s="369">
        <f>+I9+I10</f>
        <v>170.55326731350823</v>
      </c>
      <c r="J11" s="369">
        <f>+J9+J10</f>
        <v>114.73151643626895</v>
      </c>
      <c r="K11" s="369">
        <f>+K9+K10</f>
        <v>107.7206799553237</v>
      </c>
      <c r="L11" s="369">
        <f t="shared" ref="L11:N11" si="0">+L9+L10</f>
        <v>82.064475309008998</v>
      </c>
      <c r="M11" s="369">
        <f t="shared" si="0"/>
        <v>94.466427408507997</v>
      </c>
      <c r="N11" s="369">
        <f t="shared" si="0"/>
        <v>103.70980231629321</v>
      </c>
    </row>
    <row r="12" spans="1:15" ht="49.95" customHeight="1" x14ac:dyDescent="0.35">
      <c r="B12" s="200" t="s">
        <v>161</v>
      </c>
      <c r="C12" s="517" t="s">
        <v>229</v>
      </c>
      <c r="D12" s="518"/>
      <c r="E12" s="519" t="s">
        <v>230</v>
      </c>
      <c r="F12" s="520"/>
      <c r="G12" s="521"/>
      <c r="H12" s="370">
        <f>+(((Variables!D72+Balance!C42)/2)/Variables!D69)*365</f>
        <v>33.96675442928759</v>
      </c>
      <c r="I12" s="370">
        <f>+(((Balance!C42+Balance!D42)/2)/Variables!E69)*365</f>
        <v>19.337903402093232</v>
      </c>
      <c r="J12" s="370">
        <f>+(((Balance!D42+Balance!E42)/2)/Variables!F69)*365</f>
        <v>11.433204165255749</v>
      </c>
      <c r="K12" s="370">
        <f>+(((Balance!E42+Balance!F42)/2)/Variables!G69)*365</f>
        <v>12.559008501210798</v>
      </c>
      <c r="L12" s="370">
        <f>+(((Balance!F42+Balance!G42)/2)/Variables!H69)*365</f>
        <v>15.59605914461169</v>
      </c>
      <c r="M12" s="370">
        <f>+(((Balance!G42+Balance!H42)/2)/Variables!I69)*365</f>
        <v>23.218711967181971</v>
      </c>
      <c r="N12" s="370">
        <f>365*Balance!I42/'Estado Resultados'!I10</f>
        <v>61.048503098818458</v>
      </c>
      <c r="O12" t="s">
        <v>222</v>
      </c>
    </row>
    <row r="13" spans="1:15" ht="49.95" customHeight="1" x14ac:dyDescent="0.35">
      <c r="B13" s="185" t="s">
        <v>231</v>
      </c>
      <c r="C13" s="500" t="s">
        <v>232</v>
      </c>
      <c r="D13" s="501"/>
      <c r="E13" s="502" t="s">
        <v>233</v>
      </c>
      <c r="F13" s="503"/>
      <c r="G13" s="504"/>
      <c r="H13" s="369">
        <f>+H11-H12</f>
        <v>187.82041614705321</v>
      </c>
      <c r="I13" s="369">
        <f>+I11-I12</f>
        <v>151.21536391141501</v>
      </c>
      <c r="J13" s="369">
        <f>+J11-J12</f>
        <v>103.2983122710132</v>
      </c>
      <c r="K13" s="369">
        <f>+K11-K12</f>
        <v>95.161671454112906</v>
      </c>
      <c r="L13" s="369">
        <f t="shared" ref="L13:N13" si="1">+L11-L12</f>
        <v>66.468416164397311</v>
      </c>
      <c r="M13" s="369">
        <f t="shared" si="1"/>
        <v>71.247715441326022</v>
      </c>
      <c r="N13" s="369">
        <f t="shared" si="1"/>
        <v>42.661299217474749</v>
      </c>
    </row>
    <row r="14" spans="1:15" ht="49.95" customHeight="1" x14ac:dyDescent="0.35">
      <c r="B14" s="200" t="s">
        <v>234</v>
      </c>
      <c r="C14" s="517" t="s">
        <v>235</v>
      </c>
      <c r="D14" s="518"/>
      <c r="E14" s="519" t="s">
        <v>236</v>
      </c>
      <c r="F14" s="520"/>
      <c r="G14" s="521"/>
      <c r="H14" s="370">
        <f>+((Variables!D73+Balance!C18)/2)*365/'Estado Resultados'!C8</f>
        <v>207.64466559920041</v>
      </c>
      <c r="I14" s="370">
        <f>+((Balance!C18+Balance!D18)/2)*365/'Estado Resultados'!D8</f>
        <v>176.12300258997405</v>
      </c>
      <c r="J14" s="370">
        <f>+((Balance!D18+Balance!E18)/2)*365/'Estado Resultados'!E8</f>
        <v>134.26489785080688</v>
      </c>
      <c r="K14" s="370">
        <f>+((Balance!E18+Balance!F18)/2)*365/'Estado Resultados'!F8</f>
        <v>138.09567568301668</v>
      </c>
      <c r="L14" s="370">
        <f>+((Balance!F18+Balance!G18)/2)*365/'Estado Resultados'!G8</f>
        <v>114.79597365494269</v>
      </c>
      <c r="M14" s="370">
        <f>+((Balance!G18+Balance!H18)/2)*365/'Estado Resultados'!H8</f>
        <v>128.53138248832673</v>
      </c>
      <c r="N14" s="370">
        <f>+Balance!I18*365/'Estado Resultados'!I8</f>
        <v>111.62207180890701</v>
      </c>
    </row>
    <row r="15" spans="1:15" ht="49.95" customHeight="1" x14ac:dyDescent="0.35">
      <c r="B15" s="185" t="s">
        <v>237</v>
      </c>
      <c r="C15" s="500" t="s">
        <v>238</v>
      </c>
      <c r="D15" s="501"/>
      <c r="E15" s="502" t="s">
        <v>239</v>
      </c>
      <c r="F15" s="503"/>
      <c r="G15" s="504"/>
      <c r="H15" s="371">
        <f>+'Estado Resultados'!C8/(Balance!C13+Balance!C14+Balance!C28+Balance!C31-Balance!C42)</f>
        <v>1.1256300362108156</v>
      </c>
      <c r="I15" s="371">
        <f>+'Estado Resultados'!D8/(Balance!D13+Balance!D14+Balance!D28+Balance!D31-Balance!D42)</f>
        <v>1.8145060935642274</v>
      </c>
      <c r="J15" s="371">
        <f>+'Estado Resultados'!E8/(Balance!E13+Balance!E14+Balance!E28+Balance!E31-Balance!E42)</f>
        <v>2.2645991479713365</v>
      </c>
      <c r="K15" s="371">
        <f>+'Estado Resultados'!F8/(Balance!F13+Balance!F14+Balance!F28+Balance!F31-Balance!F42)</f>
        <v>2.4694470406533249</v>
      </c>
      <c r="L15" s="371">
        <f>+'Estado Resultados'!G8/(Balance!G13+Balance!G14+Balance!G28+Balance!G31-Balance!G42)</f>
        <v>3.4363370435407452</v>
      </c>
      <c r="M15" s="371">
        <f>+'Estado Resultados'!H8/(Balance!H13+Balance!H14+Balance!H28+Balance!H31-Balance!H42)</f>
        <v>2.8501930776717233</v>
      </c>
      <c r="N15" s="371">
        <f>+'Estado Resultados'!I8/(Balance!I13+Balance!I14+Balance!I28+Balance!I31-Balance!I42)</f>
        <v>3.1617151387581859</v>
      </c>
    </row>
    <row r="16" spans="1:15" ht="49.95" customHeight="1" x14ac:dyDescent="0.35">
      <c r="B16" s="200" t="s">
        <v>240</v>
      </c>
      <c r="C16" s="517" t="s">
        <v>241</v>
      </c>
      <c r="D16" s="518"/>
      <c r="E16" s="519" t="s">
        <v>242</v>
      </c>
      <c r="F16" s="520"/>
      <c r="G16" s="521"/>
      <c r="H16" s="372">
        <f>+'Estado Resultados'!C8/(Balance!C56+Balance!C71)</f>
        <v>1.4345999117471575</v>
      </c>
      <c r="I16" s="372">
        <f>+'Estado Resultados'!D8/(Balance!D56+Balance!D71)</f>
        <v>1.5690473550305397</v>
      </c>
      <c r="J16" s="372">
        <f>+'Estado Resultados'!E8/(Balance!E56+Balance!E71)</f>
        <v>1.8789248313126201</v>
      </c>
      <c r="K16" s="372">
        <f>+'Estado Resultados'!F8/(Balance!F56+Balance!F71)</f>
        <v>1.8968609832045684</v>
      </c>
      <c r="L16" s="372">
        <f>+'Estado Resultados'!G8/(Balance!G56+Balance!G71)</f>
        <v>2.258168087660648</v>
      </c>
      <c r="M16" s="372">
        <f>+'Estado Resultados'!H8/(Balance!H56+Balance!H71)</f>
        <v>2.3000976921033072</v>
      </c>
      <c r="N16" s="372">
        <f>+'Estado Resultados'!I8/(Balance!I56+Balance!I71)</f>
        <v>1.5774202265382491</v>
      </c>
    </row>
    <row r="17" spans="2:15" ht="49.95" customHeight="1" x14ac:dyDescent="0.35">
      <c r="B17" s="185" t="s">
        <v>243</v>
      </c>
      <c r="C17" s="500" t="s">
        <v>244</v>
      </c>
      <c r="D17" s="501"/>
      <c r="E17" s="502" t="s">
        <v>245</v>
      </c>
      <c r="F17" s="503"/>
      <c r="G17" s="504"/>
      <c r="H17" s="371">
        <f>+'Estado Resultados'!C8/Balance!C71</f>
        <v>1.9065887211922896</v>
      </c>
      <c r="I17" s="371">
        <f>+'Estado Resultados'!D8/Balance!D71</f>
        <v>2.3942715635285947</v>
      </c>
      <c r="J17" s="371">
        <f>+'Estado Resultados'!E8/Balance!E71</f>
        <v>2.4489664681770615</v>
      </c>
      <c r="K17" s="371">
        <f>+'Estado Resultados'!F8/Balance!F71</f>
        <v>2.6830415594526436</v>
      </c>
      <c r="L17" s="371">
        <f>+'Estado Resultados'!G8/Balance!G71</f>
        <v>3.2718690455616328</v>
      </c>
      <c r="M17" s="371">
        <f>+'Estado Resultados'!H8/Balance!H71</f>
        <v>3.4551657335545123</v>
      </c>
      <c r="N17" s="371">
        <f>+'Estado Resultados'!I8/Balance!I71</f>
        <v>2.9338180453752409</v>
      </c>
    </row>
    <row r="18" spans="2:15" ht="49.95" customHeight="1" x14ac:dyDescent="0.35">
      <c r="B18" s="200" t="s">
        <v>246</v>
      </c>
      <c r="C18" s="517" t="s">
        <v>247</v>
      </c>
      <c r="D18" s="518"/>
      <c r="E18" s="519" t="s">
        <v>248</v>
      </c>
      <c r="F18" s="520"/>
      <c r="G18" s="521"/>
      <c r="H18" s="307">
        <f>365/H13</f>
        <v>1.943345710160842</v>
      </c>
      <c r="I18" s="307">
        <f t="shared" ref="I18:N18" si="2">365/I13</f>
        <v>2.4137758925992752</v>
      </c>
      <c r="J18" s="307">
        <f t="shared" si="2"/>
        <v>3.533455600343081</v>
      </c>
      <c r="K18" s="307">
        <f t="shared" si="2"/>
        <v>3.835577858423846</v>
      </c>
      <c r="L18" s="307">
        <f t="shared" si="2"/>
        <v>5.4913298836132958</v>
      </c>
      <c r="M18" s="307">
        <f t="shared" si="2"/>
        <v>5.1229712803996517</v>
      </c>
      <c r="N18" s="307">
        <f t="shared" si="2"/>
        <v>8.5557638115833612</v>
      </c>
      <c r="O18" t="s">
        <v>222</v>
      </c>
    </row>
    <row r="19" spans="2:15" x14ac:dyDescent="0.35">
      <c r="E19" s="262"/>
      <c r="F19" s="262"/>
      <c r="G19" s="262"/>
      <c r="H19" s="261"/>
      <c r="I19" s="262"/>
      <c r="J19" s="262"/>
      <c r="K19" s="263"/>
      <c r="L19" s="263"/>
      <c r="M19" s="263"/>
      <c r="N19" s="263"/>
      <c r="O19" t="s">
        <v>222</v>
      </c>
    </row>
    <row r="20" spans="2:15" ht="22.2" x14ac:dyDescent="0.45">
      <c r="B20" s="511" t="s">
        <v>249</v>
      </c>
      <c r="C20" s="512"/>
      <c r="D20" s="512"/>
      <c r="E20" s="512"/>
      <c r="F20" s="512"/>
      <c r="G20" s="512"/>
      <c r="H20" s="512"/>
      <c r="I20" s="512"/>
      <c r="J20" s="512"/>
      <c r="K20" s="513"/>
      <c r="L20" s="367"/>
      <c r="M20" s="367"/>
      <c r="N20" s="367"/>
      <c r="O20" t="s">
        <v>222</v>
      </c>
    </row>
    <row r="21" spans="2:15" ht="30" customHeight="1" x14ac:dyDescent="0.35">
      <c r="B21" s="209" t="s">
        <v>250</v>
      </c>
      <c r="C21" s="209" t="s">
        <v>251</v>
      </c>
      <c r="D21" s="209" t="s">
        <v>252</v>
      </c>
      <c r="E21" s="209" t="s">
        <v>253</v>
      </c>
      <c r="F21" s="514" t="s">
        <v>254</v>
      </c>
      <c r="G21" s="515"/>
      <c r="H21" s="516"/>
      <c r="I21" s="514" t="s">
        <v>255</v>
      </c>
      <c r="J21" s="515"/>
      <c r="K21" s="516"/>
      <c r="L21" s="367"/>
      <c r="M21" s="367"/>
      <c r="N21" s="367"/>
      <c r="O21" t="s">
        <v>222</v>
      </c>
    </row>
    <row r="22" spans="2:15" ht="25.2" customHeight="1" x14ac:dyDescent="0.35">
      <c r="B22" s="12" t="s">
        <v>256</v>
      </c>
      <c r="C22" s="52">
        <f>+Balance!H13</f>
        <v>8490046187</v>
      </c>
      <c r="D22" s="163">
        <f>+Actividad!M9</f>
        <v>65.228889822070087</v>
      </c>
      <c r="E22" s="40">
        <f>+Variables!G87</f>
        <v>60</v>
      </c>
      <c r="F22" s="505">
        <f>+(E22*'Estado Resultados'!H8)/365</f>
        <v>5683383183.452055</v>
      </c>
      <c r="G22" s="506"/>
      <c r="H22" s="507"/>
      <c r="I22" s="505">
        <f>+F22-C22</f>
        <v>-2806663003.547945</v>
      </c>
      <c r="J22" s="506"/>
      <c r="K22" s="507"/>
      <c r="L22" s="367"/>
      <c r="M22" s="367"/>
      <c r="N22" s="367"/>
      <c r="O22" t="s">
        <v>222</v>
      </c>
    </row>
    <row r="23" spans="2:15" ht="25.2" customHeight="1" x14ac:dyDescent="0.35">
      <c r="B23" s="12" t="s">
        <v>257</v>
      </c>
      <c r="C23" s="52">
        <f>+Balance!H14</f>
        <v>2056290139</v>
      </c>
      <c r="D23" s="163">
        <f>+Actividad!M10</f>
        <v>29.237537586437913</v>
      </c>
      <c r="E23" s="40">
        <f>+Variables!G88</f>
        <v>25</v>
      </c>
      <c r="F23" s="505">
        <f>+(E23*'Estado Resultados'!H10)/365</f>
        <v>1601753807.4657533</v>
      </c>
      <c r="G23" s="506"/>
      <c r="H23" s="507"/>
      <c r="I23" s="505">
        <f>+F23-C23</f>
        <v>-454536331.53424668</v>
      </c>
      <c r="J23" s="506"/>
      <c r="K23" s="507"/>
      <c r="L23" s="367"/>
      <c r="M23" s="367"/>
      <c r="N23" s="367"/>
      <c r="O23" t="s">
        <v>222</v>
      </c>
    </row>
    <row r="24" spans="2:15" ht="25.2" customHeight="1" x14ac:dyDescent="0.35">
      <c r="B24" s="12" t="s">
        <v>91</v>
      </c>
      <c r="C24" s="52">
        <f>+Balance!H42</f>
        <v>2093105985</v>
      </c>
      <c r="D24" s="163">
        <f>+Actividad!M12</f>
        <v>23.218711967181971</v>
      </c>
      <c r="E24" s="40">
        <f>+Variables!G89</f>
        <v>30</v>
      </c>
      <c r="F24" s="505">
        <f>+(E24*Variables!I69)/365</f>
        <v>1952192785.8904109</v>
      </c>
      <c r="G24" s="506"/>
      <c r="H24" s="507"/>
      <c r="I24" s="505">
        <f>-F24+C24</f>
        <v>140913199.1095891</v>
      </c>
      <c r="J24" s="506"/>
      <c r="K24" s="507"/>
      <c r="L24" s="367"/>
      <c r="M24" s="367"/>
      <c r="N24" s="367"/>
      <c r="O24" t="s">
        <v>222</v>
      </c>
    </row>
    <row r="25" spans="2:15" ht="25.2" customHeight="1" x14ac:dyDescent="0.35">
      <c r="B25" s="19" t="s">
        <v>258</v>
      </c>
      <c r="C25" s="53">
        <f>+C22+C23-C24</f>
        <v>8453230341</v>
      </c>
      <c r="D25" s="164">
        <f>+D22+D23-D24</f>
        <v>71.247715441326022</v>
      </c>
      <c r="E25" s="45">
        <f>+E22+E23-E24</f>
        <v>55</v>
      </c>
      <c r="F25" s="508">
        <f>+F22+F23-F24</f>
        <v>5332944205.0273972</v>
      </c>
      <c r="G25" s="509"/>
      <c r="H25" s="510"/>
      <c r="I25" s="508">
        <f>SUM(I22:K24)</f>
        <v>-3120286135.9726024</v>
      </c>
      <c r="J25" s="509"/>
      <c r="K25" s="510"/>
      <c r="L25" s="368"/>
      <c r="M25" s="368"/>
      <c r="N25" s="368"/>
      <c r="O25" t="s">
        <v>222</v>
      </c>
    </row>
    <row r="26" spans="2:15" x14ac:dyDescent="0.35">
      <c r="O26" t="s">
        <v>222</v>
      </c>
    </row>
    <row r="27" spans="2:15" x14ac:dyDescent="0.35"/>
    <row r="28" spans="2:15" x14ac:dyDescent="0.35">
      <c r="C28" s="15" t="s">
        <v>259</v>
      </c>
      <c r="E28" s="17" t="s">
        <v>260</v>
      </c>
      <c r="G28" s="166" t="s">
        <v>261</v>
      </c>
      <c r="H28" s="167"/>
      <c r="I28" s="168">
        <f>+D22+D23</f>
        <v>94.466427408507997</v>
      </c>
    </row>
    <row r="29" spans="2:15" x14ac:dyDescent="0.35">
      <c r="F29" s="32"/>
      <c r="G29" s="169" t="s">
        <v>262</v>
      </c>
      <c r="H29" s="170"/>
      <c r="I29" s="171">
        <f>+D24</f>
        <v>23.218711967181971</v>
      </c>
    </row>
    <row r="30" spans="2:15" x14ac:dyDescent="0.35">
      <c r="C30" s="257">
        <f>+D24</f>
        <v>23.218711967181971</v>
      </c>
      <c r="E30" s="258">
        <f>+D23</f>
        <v>29.237537586437913</v>
      </c>
      <c r="G30" s="172" t="s">
        <v>263</v>
      </c>
      <c r="H30" s="173"/>
      <c r="I30" s="174">
        <f>+I28-I29</f>
        <v>71.247715441326022</v>
      </c>
    </row>
    <row r="31" spans="2:15" x14ac:dyDescent="0.35">
      <c r="C31" t="s">
        <v>264</v>
      </c>
      <c r="E31" s="259" t="s">
        <v>265</v>
      </c>
    </row>
    <row r="32" spans="2:15" x14ac:dyDescent="0.35"/>
    <row r="33" spans="3:14" x14ac:dyDescent="0.35">
      <c r="C33" s="16" t="s">
        <v>266</v>
      </c>
      <c r="E33" s="18" t="s">
        <v>267</v>
      </c>
    </row>
    <row r="34" spans="3:14" x14ac:dyDescent="0.35">
      <c r="D34" s="32">
        <f>+D22</f>
        <v>65.228889822070087</v>
      </c>
    </row>
    <row r="35" spans="3:14" x14ac:dyDescent="0.35">
      <c r="D35" s="165" t="s">
        <v>264</v>
      </c>
    </row>
    <row r="36" spans="3:14" x14ac:dyDescent="0.35"/>
    <row r="37" spans="3:14" x14ac:dyDescent="0.35">
      <c r="D37" s="162"/>
      <c r="E37" s="499"/>
      <c r="F37" s="499"/>
      <c r="G37" s="499"/>
      <c r="H37" s="237">
        <f t="shared" ref="H37:M39" si="3">+H8</f>
        <v>2018</v>
      </c>
      <c r="I37" s="237">
        <f t="shared" si="3"/>
        <v>2019</v>
      </c>
      <c r="J37" s="237">
        <v>2020</v>
      </c>
      <c r="K37" s="237">
        <f t="shared" si="3"/>
        <v>2021</v>
      </c>
      <c r="L37" s="237">
        <f t="shared" si="3"/>
        <v>2022</v>
      </c>
      <c r="M37" s="237">
        <f t="shared" si="3"/>
        <v>2023</v>
      </c>
      <c r="N37" s="237"/>
    </row>
    <row r="38" spans="3:14" x14ac:dyDescent="0.35">
      <c r="D38" s="162"/>
      <c r="E38" s="499" t="s">
        <v>268</v>
      </c>
      <c r="F38" s="499"/>
      <c r="G38" s="499"/>
      <c r="H38" s="260">
        <f t="shared" si="3"/>
        <v>175.08437493148196</v>
      </c>
      <c r="I38" s="260">
        <f t="shared" si="3"/>
        <v>128.11221379922702</v>
      </c>
      <c r="J38" s="260">
        <f t="shared" ref="J38" si="4">+J9</f>
        <v>74.372822234259388</v>
      </c>
      <c r="K38" s="260">
        <f t="shared" si="3"/>
        <v>74.376342014946573</v>
      </c>
      <c r="L38" s="260">
        <f t="shared" ref="L38:M38" si="5">+L9</f>
        <v>53.989484920328813</v>
      </c>
      <c r="M38" s="260">
        <f t="shared" si="5"/>
        <v>65.228889822070087</v>
      </c>
      <c r="N38" s="260"/>
    </row>
    <row r="39" spans="3:14" x14ac:dyDescent="0.35">
      <c r="D39" s="162"/>
      <c r="E39" s="499" t="s">
        <v>269</v>
      </c>
      <c r="F39" s="499"/>
      <c r="G39" s="499"/>
      <c r="H39" s="260">
        <f t="shared" si="3"/>
        <v>46.702795644858845</v>
      </c>
      <c r="I39" s="260">
        <f t="shared" si="3"/>
        <v>42.441053514281222</v>
      </c>
      <c r="J39" s="260">
        <f t="shared" ref="J39" si="6">+J10</f>
        <v>40.358694202009552</v>
      </c>
      <c r="K39" s="260">
        <f t="shared" si="3"/>
        <v>33.344337940377137</v>
      </c>
      <c r="L39" s="260">
        <f t="shared" ref="L39:M39" si="7">+L10</f>
        <v>28.074990388680192</v>
      </c>
      <c r="M39" s="260">
        <f t="shared" si="7"/>
        <v>29.237537586437913</v>
      </c>
      <c r="N39" s="260"/>
    </row>
    <row r="40" spans="3:14" x14ac:dyDescent="0.35">
      <c r="D40" s="162"/>
      <c r="E40" s="499" t="s">
        <v>270</v>
      </c>
      <c r="F40" s="499"/>
      <c r="G40" s="499"/>
      <c r="H40" s="260">
        <f>+H12</f>
        <v>33.96675442928759</v>
      </c>
      <c r="I40" s="260">
        <f>+I12</f>
        <v>19.337903402093232</v>
      </c>
      <c r="J40" s="260">
        <f>+J12</f>
        <v>11.433204165255749</v>
      </c>
      <c r="K40" s="260">
        <f>+K12</f>
        <v>12.559008501210798</v>
      </c>
      <c r="L40" s="260">
        <f t="shared" ref="L40:M40" si="8">+L12</f>
        <v>15.59605914461169</v>
      </c>
      <c r="M40" s="260">
        <f t="shared" si="8"/>
        <v>23.218711967181971</v>
      </c>
      <c r="N40" s="260"/>
    </row>
    <row r="41" spans="3:14" x14ac:dyDescent="0.35">
      <c r="D41" s="162"/>
      <c r="E41" s="499" t="s">
        <v>271</v>
      </c>
      <c r="F41" s="499"/>
      <c r="G41" s="499"/>
      <c r="H41" s="260">
        <f>+H38+H39-H40</f>
        <v>187.82041614705321</v>
      </c>
      <c r="I41" s="260">
        <f t="shared" ref="I41:M41" si="9">+I38+I39-I40</f>
        <v>151.21536391141501</v>
      </c>
      <c r="J41" s="260">
        <f t="shared" si="9"/>
        <v>103.2983122710132</v>
      </c>
      <c r="K41" s="260">
        <f t="shared" si="9"/>
        <v>95.161671454112906</v>
      </c>
      <c r="L41" s="260">
        <f t="shared" si="9"/>
        <v>66.468416164397311</v>
      </c>
      <c r="M41" s="260">
        <f t="shared" si="9"/>
        <v>71.247715441326022</v>
      </c>
      <c r="N41" s="237"/>
    </row>
    <row r="42" spans="3:14" x14ac:dyDescent="0.35"/>
    <row r="43" spans="3:14" x14ac:dyDescent="0.35"/>
    <row r="44" spans="3:14" x14ac:dyDescent="0.35"/>
    <row r="45" spans="3:14" x14ac:dyDescent="0.35"/>
    <row r="46" spans="3:14" x14ac:dyDescent="0.35"/>
    <row r="47" spans="3:14" x14ac:dyDescent="0.35"/>
    <row r="48" spans="3:14"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sheetData>
  <sheetProtection selectLockedCells="1" selectUnlockedCells="1"/>
  <mergeCells count="41">
    <mergeCell ref="E41:G41"/>
    <mergeCell ref="B3:N3"/>
    <mergeCell ref="F22:H22"/>
    <mergeCell ref="I22:K22"/>
    <mergeCell ref="I23:K23"/>
    <mergeCell ref="C11:D11"/>
    <mergeCell ref="E11:G11"/>
    <mergeCell ref="C14:D14"/>
    <mergeCell ref="C12:D12"/>
    <mergeCell ref="C13:D13"/>
    <mergeCell ref="E12:G12"/>
    <mergeCell ref="C8:D8"/>
    <mergeCell ref="C9:D9"/>
    <mergeCell ref="C10:D10"/>
    <mergeCell ref="E10:G10"/>
    <mergeCell ref="E9:G9"/>
    <mergeCell ref="I21:K21"/>
    <mergeCell ref="I24:K24"/>
    <mergeCell ref="E8:G8"/>
    <mergeCell ref="E13:G13"/>
    <mergeCell ref="C16:D16"/>
    <mergeCell ref="E16:G16"/>
    <mergeCell ref="C15:D15"/>
    <mergeCell ref="E15:G15"/>
    <mergeCell ref="E14:G14"/>
    <mergeCell ref="B4:N4"/>
    <mergeCell ref="B5:N5"/>
    <mergeCell ref="E40:G40"/>
    <mergeCell ref="E37:G37"/>
    <mergeCell ref="C17:D17"/>
    <mergeCell ref="E17:G17"/>
    <mergeCell ref="F24:H24"/>
    <mergeCell ref="F25:H25"/>
    <mergeCell ref="B20:K20"/>
    <mergeCell ref="F23:H23"/>
    <mergeCell ref="F21:H21"/>
    <mergeCell ref="I25:K25"/>
    <mergeCell ref="E39:G39"/>
    <mergeCell ref="E38:G38"/>
    <mergeCell ref="C18:D18"/>
    <mergeCell ref="E18:G18"/>
  </mergeCells>
  <printOptions horizontalCentered="1"/>
  <pageMargins left="0.70866141732283472" right="0.31496062992125984" top="0.48" bottom="0.43307086614173229" header="0" footer="0"/>
  <pageSetup scale="7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2"/>
  <dimension ref="A1:R52"/>
  <sheetViews>
    <sheetView workbookViewId="0">
      <selection activeCell="B8" sqref="B8"/>
    </sheetView>
  </sheetViews>
  <sheetFormatPr baseColWidth="10" defaultColWidth="0" defaultRowHeight="14.4" zeroHeight="1" x14ac:dyDescent="0.35"/>
  <cols>
    <col min="1" max="1" width="1.33203125" customWidth="1"/>
    <col min="2" max="2" width="38.5546875" customWidth="1"/>
    <col min="3" max="3" width="45.44140625" customWidth="1"/>
    <col min="4" max="4" width="33.5546875" customWidth="1"/>
    <col min="5" max="5" width="14" bestFit="1" customWidth="1"/>
    <col min="6" max="6" width="13" bestFit="1" customWidth="1"/>
    <col min="7" max="10" width="13" customWidth="1"/>
    <col min="11" max="11" width="15.6640625" bestFit="1" customWidth="1"/>
    <col min="12" max="12" width="3.5546875" customWidth="1"/>
    <col min="13" max="13" width="18.6640625" hidden="1" customWidth="1"/>
    <col min="14" max="14" width="11.44140625" hidden="1" customWidth="1"/>
    <col min="15" max="15" width="15.5546875" hidden="1" customWidth="1"/>
    <col min="16" max="16" width="15.33203125" hidden="1" customWidth="1"/>
    <col min="17" max="18" width="15.5546875" hidden="1" customWidth="1"/>
    <col min="19" max="16384" width="11.44140625" hidden="1"/>
  </cols>
  <sheetData>
    <row r="1" spans="1:16" x14ac:dyDescent="0.35">
      <c r="K1" s="311"/>
    </row>
    <row r="2" spans="1:16" x14ac:dyDescent="0.35"/>
    <row r="3" spans="1:16" ht="25.2" customHeight="1" x14ac:dyDescent="0.45">
      <c r="A3" s="2"/>
      <c r="B3" s="472" t="str">
        <f>+Actividad!B3</f>
        <v>K-LISTO</v>
      </c>
      <c r="C3" s="473"/>
      <c r="D3" s="473"/>
      <c r="E3" s="473"/>
      <c r="F3" s="473"/>
      <c r="G3" s="473"/>
      <c r="H3" s="473"/>
      <c r="I3" s="473"/>
      <c r="J3" s="473"/>
      <c r="K3" s="474"/>
    </row>
    <row r="4" spans="1:16" ht="22.2" x14ac:dyDescent="0.45">
      <c r="A4" s="2"/>
      <c r="B4" s="495" t="s">
        <v>272</v>
      </c>
      <c r="C4" s="496"/>
      <c r="D4" s="496"/>
      <c r="E4" s="496"/>
      <c r="F4" s="496"/>
      <c r="G4" s="496"/>
      <c r="H4" s="496"/>
      <c r="I4" s="496"/>
      <c r="J4" s="496"/>
      <c r="K4" s="525"/>
    </row>
    <row r="5" spans="1:16" x14ac:dyDescent="0.35">
      <c r="A5" s="2"/>
      <c r="B5" s="160"/>
      <c r="C5" s="14"/>
      <c r="D5" s="14"/>
      <c r="E5" s="14"/>
      <c r="F5" s="14"/>
      <c r="G5" s="14"/>
      <c r="H5" s="14"/>
      <c r="I5" s="14"/>
      <c r="J5" s="14"/>
      <c r="K5" s="161"/>
    </row>
    <row r="6" spans="1:16" x14ac:dyDescent="0.35">
      <c r="B6" s="245" t="s">
        <v>273</v>
      </c>
      <c r="C6" s="245" t="s">
        <v>274</v>
      </c>
      <c r="D6" s="245"/>
      <c r="E6" s="245">
        <f>+Actividad!H8</f>
        <v>2018</v>
      </c>
      <c r="F6" s="245">
        <f>+Actividad!I8</f>
        <v>2019</v>
      </c>
      <c r="G6" s="245">
        <f>+Actividad!J8</f>
        <v>2020</v>
      </c>
      <c r="H6" s="245">
        <f>+Actividad!K8</f>
        <v>2021</v>
      </c>
      <c r="I6" s="245">
        <f>+Actividad!L8</f>
        <v>2022</v>
      </c>
      <c r="J6" s="245">
        <f>+Actividad!M8</f>
        <v>2023</v>
      </c>
      <c r="K6" s="245" t="str">
        <f>+Actividad!N8</f>
        <v>REFERENTE</v>
      </c>
      <c r="L6" t="s">
        <v>222</v>
      </c>
    </row>
    <row r="7" spans="1:16" ht="43.2" x14ac:dyDescent="0.35">
      <c r="B7" s="214" t="s">
        <v>275</v>
      </c>
      <c r="C7" s="215" t="s">
        <v>276</v>
      </c>
      <c r="D7" s="216" t="s">
        <v>277</v>
      </c>
      <c r="E7" s="217">
        <f>+Balance!C71/Balance!C36</f>
        <v>0.51307309135017998</v>
      </c>
      <c r="F7" s="217">
        <f>+Balance!D71/Balance!D36</f>
        <v>0.46514536606392048</v>
      </c>
      <c r="G7" s="217">
        <f>+Balance!E71/Balance!E36</f>
        <v>0.5512112012404331</v>
      </c>
      <c r="H7" s="217">
        <f>+Balance!F71/Balance!F36</f>
        <v>0.45851781037145128</v>
      </c>
      <c r="I7" s="217">
        <f>+Balance!G71/Balance!G36</f>
        <v>0.44616307481529582</v>
      </c>
      <c r="J7" s="217">
        <f>+Balance!H71/Balance!H36</f>
        <v>0.3772220472248996</v>
      </c>
      <c r="K7" s="217">
        <f>+Balance!I71/Balance!I36</f>
        <v>0.41075416290251293</v>
      </c>
    </row>
    <row r="8" spans="1:16" ht="55.2" customHeight="1" x14ac:dyDescent="0.35">
      <c r="B8" s="219" t="s">
        <v>163</v>
      </c>
      <c r="C8" s="220" t="s">
        <v>278</v>
      </c>
      <c r="D8" s="221" t="s">
        <v>279</v>
      </c>
      <c r="E8" s="222">
        <f>+Balance!C58/Balance!C36</f>
        <v>0.48692690864982002</v>
      </c>
      <c r="F8" s="222">
        <f>+Balance!D58/Balance!D36</f>
        <v>0.53485463393607946</v>
      </c>
      <c r="G8" s="222">
        <f>+Balance!E58/Balance!E36</f>
        <v>0.44878879875956684</v>
      </c>
      <c r="H8" s="222">
        <f>+Balance!F58/Balance!F36</f>
        <v>0.54148218962854866</v>
      </c>
      <c r="I8" s="222">
        <f>+Balance!G58/Balance!G36</f>
        <v>0.55383692518470418</v>
      </c>
      <c r="J8" s="222">
        <f>+Balance!H58/Balance!H36</f>
        <v>0.62277795277510029</v>
      </c>
      <c r="K8" s="222">
        <f>+Balance!I58/Balance!I36</f>
        <v>0.58924583709748679</v>
      </c>
      <c r="L8" t="s">
        <v>222</v>
      </c>
      <c r="N8" s="55"/>
      <c r="O8" s="55"/>
      <c r="P8" s="55"/>
    </row>
    <row r="9" spans="1:16" ht="43.2" x14ac:dyDescent="0.35">
      <c r="B9" s="214" t="s">
        <v>164</v>
      </c>
      <c r="C9" s="215" t="s">
        <v>280</v>
      </c>
      <c r="D9" s="216" t="s">
        <v>281</v>
      </c>
      <c r="E9" s="217">
        <f>+Balance!C48/Balance!C58</f>
        <v>0.65332991649421979</v>
      </c>
      <c r="F9" s="217">
        <f>+Balance!D48/Balance!D58</f>
        <v>0.54260770485682486</v>
      </c>
      <c r="G9" s="217">
        <f>+Balance!E48/Balance!E58</f>
        <v>0.62737396274628665</v>
      </c>
      <c r="H9" s="217">
        <f>+Balance!F48/Balance!F58</f>
        <v>0.6490390156087148</v>
      </c>
      <c r="I9" s="217">
        <f>+Balance!G48/Balance!G58</f>
        <v>0.63836928650087355</v>
      </c>
      <c r="J9" s="217">
        <f>+Balance!H48/Balance!H58</f>
        <v>0.6958238743632793</v>
      </c>
      <c r="K9" s="217">
        <f>+Balance!I48/Balance!I58</f>
        <v>0.40058842103161107</v>
      </c>
      <c r="L9" t="s">
        <v>222</v>
      </c>
      <c r="N9" s="55"/>
      <c r="O9" s="55"/>
      <c r="P9" s="55"/>
    </row>
    <row r="10" spans="1:16" ht="28.8" x14ac:dyDescent="0.35">
      <c r="B10" s="219" t="s">
        <v>282</v>
      </c>
      <c r="C10" s="220" t="s">
        <v>283</v>
      </c>
      <c r="D10" s="221" t="s">
        <v>284</v>
      </c>
      <c r="E10" s="222">
        <f>+Balance!C56/Balance!C58</f>
        <v>0.34667008350578027</v>
      </c>
      <c r="F10" s="222">
        <f>+Balance!D56/Balance!D58</f>
        <v>0.45739229514317514</v>
      </c>
      <c r="G10" s="222">
        <f>+Balance!E56/Balance!E58</f>
        <v>0.37262603725371324</v>
      </c>
      <c r="H10" s="222">
        <f>+Balance!F56/Balance!F58</f>
        <v>0.35096098439128515</v>
      </c>
      <c r="I10" s="222">
        <f>+Balance!G56/Balance!G58</f>
        <v>0.3616307134991264</v>
      </c>
      <c r="J10" s="222">
        <f>+Balance!H56/Balance!H58</f>
        <v>0.30417612563672081</v>
      </c>
      <c r="K10" s="222">
        <f>+Balance!I56/Balance!I58</f>
        <v>0.59941157896838904</v>
      </c>
      <c r="N10" s="55"/>
      <c r="O10" s="55"/>
      <c r="P10" s="55"/>
    </row>
    <row r="11" spans="1:16" ht="43.2" x14ac:dyDescent="0.35">
      <c r="B11" s="214" t="s">
        <v>285</v>
      </c>
      <c r="C11" s="215" t="s">
        <v>286</v>
      </c>
      <c r="D11" s="216" t="s">
        <v>287</v>
      </c>
      <c r="E11" s="217">
        <f>+Balance!C42/Balance!C58</f>
        <v>6.6155442273575699E-2</v>
      </c>
      <c r="F11" s="217">
        <f>+Balance!D42/Balance!D58</f>
        <v>8.0801733211377499E-2</v>
      </c>
      <c r="G11" s="217">
        <f>+Balance!E42/Balance!E58</f>
        <v>3.6423561968660964E-2</v>
      </c>
      <c r="H11" s="217">
        <f>+Balance!F42/Balance!F58</f>
        <v>7.1567435896576326E-2</v>
      </c>
      <c r="I11" s="217">
        <f>+Balance!G42/Balance!G58</f>
        <v>8.4242853098126833E-2</v>
      </c>
      <c r="J11" s="217">
        <f>+Balance!H42/Balance!H58</f>
        <v>0.12669964256121918</v>
      </c>
      <c r="K11" s="217">
        <f>+Balance!I42/Balance!I58</f>
        <v>0.20821210483859212</v>
      </c>
      <c r="N11" s="55"/>
      <c r="O11" s="55"/>
      <c r="P11" s="55"/>
    </row>
    <row r="12" spans="1:16" ht="43.2" x14ac:dyDescent="0.35">
      <c r="B12" s="219" t="s">
        <v>288</v>
      </c>
      <c r="C12" s="220" t="s">
        <v>289</v>
      </c>
      <c r="D12" s="221" t="s">
        <v>290</v>
      </c>
      <c r="E12" s="222">
        <f>+(Balance!C41+Balance!C50)/Balance!C58</f>
        <v>0.49524297643682902</v>
      </c>
      <c r="F12" s="222">
        <f>+(Balance!D41+Balance!D50)/Balance!D58</f>
        <v>0.56961102162162913</v>
      </c>
      <c r="G12" s="222">
        <f>+(Balance!E41+Balance!E50)/Balance!E58</f>
        <v>0.5323229103624475</v>
      </c>
      <c r="H12" s="222">
        <f>+(Balance!F41+Balance!F50)/Balance!F58</f>
        <v>0.50137283484469319</v>
      </c>
      <c r="I12" s="222">
        <f>+(Balance!G41+Balance!G50)/Balance!G58</f>
        <v>0.51661530499875197</v>
      </c>
      <c r="J12" s="222">
        <f>+(Balance!H41+Balance!H50)/Balance!H58</f>
        <v>0.4345373223381726</v>
      </c>
      <c r="K12" s="222">
        <f>+(Balance!I41+Balance!I50)/Balance!I58</f>
        <v>0.44393128958677958</v>
      </c>
      <c r="N12" s="55"/>
      <c r="O12" s="55"/>
      <c r="P12" s="55"/>
    </row>
    <row r="13" spans="1:16" ht="43.2" x14ac:dyDescent="0.35">
      <c r="B13" s="214" t="s">
        <v>291</v>
      </c>
      <c r="C13" s="215" t="s">
        <v>292</v>
      </c>
      <c r="D13" s="216" t="s">
        <v>293</v>
      </c>
      <c r="E13" s="217">
        <f>+(Balance!C45+Balance!C52)/Balance!C58</f>
        <v>8.5870426715212833E-2</v>
      </c>
      <c r="F13" s="217">
        <f>+(Balance!D45+Balance!D52)/Balance!D58</f>
        <v>6.8544613300035043E-2</v>
      </c>
      <c r="G13" s="217">
        <f>+(Balance!E45+Balance!E52)/Balance!E58</f>
        <v>9.6535323589947E-2</v>
      </c>
      <c r="H13" s="217">
        <f>+(Balance!F45+Balance!F52)/Balance!F58</f>
        <v>6.2612438473433937E-2</v>
      </c>
      <c r="I13" s="217">
        <f>+(Balance!G45+Balance!G52)/Balance!G58</f>
        <v>6.7170328322052955E-2</v>
      </c>
      <c r="J13" s="217">
        <f>+(Balance!H45+Balance!H52)/Balance!H58</f>
        <v>5.1136466376085647E-2</v>
      </c>
      <c r="K13" s="217">
        <f>+(Balance!I45+Balance!I52)/Balance!I58</f>
        <v>0</v>
      </c>
      <c r="N13" s="55"/>
      <c r="O13" s="55"/>
      <c r="P13" s="55"/>
    </row>
    <row r="14" spans="1:16" ht="43.2" x14ac:dyDescent="0.35">
      <c r="B14" s="219" t="s">
        <v>294</v>
      </c>
      <c r="C14" s="220" t="s">
        <v>295</v>
      </c>
      <c r="D14" s="221" t="s">
        <v>296</v>
      </c>
      <c r="E14" s="222">
        <f>+Balance!C44/Balance!C58</f>
        <v>0.11392662534035267</v>
      </c>
      <c r="F14" s="222">
        <f>+Balance!D44/Balance!D58</f>
        <v>0.11247306083599508</v>
      </c>
      <c r="G14" s="222">
        <f>+Balance!E44/Balance!E58</f>
        <v>0.18861199493761668</v>
      </c>
      <c r="H14" s="222">
        <f>+Balance!F44/Balance!F58</f>
        <v>0.16758428420926658</v>
      </c>
      <c r="I14" s="222">
        <f>+Balance!G44/Balance!G58</f>
        <v>0.14894540718612664</v>
      </c>
      <c r="J14" s="222">
        <f>+Balance!H44/Balance!H58</f>
        <v>0.21362370907305764</v>
      </c>
      <c r="K14" s="222">
        <f>+Balance!I44/Balance!I58</f>
        <v>4.0918875755384825E-2</v>
      </c>
      <c r="N14" s="55"/>
      <c r="O14" s="55"/>
      <c r="P14" s="55"/>
    </row>
    <row r="15" spans="1:16" ht="43.2" x14ac:dyDescent="0.35">
      <c r="B15" s="214" t="s">
        <v>297</v>
      </c>
      <c r="C15" s="215" t="s">
        <v>298</v>
      </c>
      <c r="D15" s="216" t="s">
        <v>299</v>
      </c>
      <c r="E15" s="217">
        <f>+Balance!C58/(Balance!C36-Balance!C31)</f>
        <v>0.58977400522740442</v>
      </c>
      <c r="F15" s="217">
        <f>+Balance!D58/(Balance!D36-Balance!D31)</f>
        <v>0.62802807154688733</v>
      </c>
      <c r="G15" s="217">
        <f>+Balance!E58/(Balance!E36-Balance!E31)</f>
        <v>0.50408672093271623</v>
      </c>
      <c r="H15" s="217">
        <f>+Balance!F58/(Balance!F36-Balance!F31)</f>
        <v>0.59163536509254999</v>
      </c>
      <c r="I15" s="217">
        <f>+Balance!G58/(Balance!G36-Balance!G31)</f>
        <v>0.60099828318399084</v>
      </c>
      <c r="J15" s="217">
        <f>+Balance!H58/(Balance!H36-Balance!H31)</f>
        <v>0.66174441327967937</v>
      </c>
      <c r="K15" s="217">
        <f>+Balance!I58/(Balance!I36-Balance!I31)</f>
        <v>0.58924583709748679</v>
      </c>
      <c r="N15" s="55"/>
      <c r="O15" s="55"/>
      <c r="P15" s="55"/>
    </row>
    <row r="16" spans="1:16" ht="55.2" customHeight="1" x14ac:dyDescent="0.35">
      <c r="B16" s="219" t="s">
        <v>300</v>
      </c>
      <c r="C16" s="220" t="s">
        <v>301</v>
      </c>
      <c r="D16" s="221" t="s">
        <v>302</v>
      </c>
      <c r="E16" s="222">
        <f>+'Estado Resultados'!C21/'Estado Resultados'!C8</f>
        <v>1.9450523216471279E-2</v>
      </c>
      <c r="F16" s="222">
        <f>+'Estado Resultados'!D21/'Estado Resultados'!D8</f>
        <v>1.7688204762216379E-2</v>
      </c>
      <c r="G16" s="222">
        <f>+'Estado Resultados'!E21/'Estado Resultados'!E8</f>
        <v>1.3531361097768466E-2</v>
      </c>
      <c r="H16" s="222">
        <f>+'Estado Resultados'!F21/'Estado Resultados'!F8</f>
        <v>1.332010452593543E-2</v>
      </c>
      <c r="I16" s="222">
        <f>+'Estado Resultados'!G21/'Estado Resultados'!G8</f>
        <v>1.3866148098873569E-2</v>
      </c>
      <c r="J16" s="222">
        <f>+'Estado Resultados'!H21/'Estado Resultados'!H8</f>
        <v>1.8216807687224786E-2</v>
      </c>
      <c r="K16" s="222">
        <f>+'Estado Resultados'!I21/'Estado Resultados'!I8</f>
        <v>4.739358827323318E-2</v>
      </c>
      <c r="L16" t="s">
        <v>222</v>
      </c>
    </row>
    <row r="17" spans="2:12" ht="43.2" x14ac:dyDescent="0.35">
      <c r="B17" s="214" t="s">
        <v>303</v>
      </c>
      <c r="C17" s="215" t="s">
        <v>304</v>
      </c>
      <c r="D17" s="216" t="s">
        <v>305</v>
      </c>
      <c r="E17" s="218">
        <f>+'Estado Resultados'!C17/'Estado Resultados'!C21</f>
        <v>5.5282385044958628</v>
      </c>
      <c r="F17" s="218">
        <f>+'Estado Resultados'!D17/'Estado Resultados'!D21</f>
        <v>5.5132216779476151</v>
      </c>
      <c r="G17" s="218">
        <f>+'Estado Resultados'!E17/'Estado Resultados'!E21</f>
        <v>13.636092918532118</v>
      </c>
      <c r="H17" s="218">
        <f>+'Estado Resultados'!F17/'Estado Resultados'!F21</f>
        <v>9.5306943132661548</v>
      </c>
      <c r="I17" s="218">
        <f>+'Estado Resultados'!G17/'Estado Resultados'!G21</f>
        <v>6.2133601216745467</v>
      </c>
      <c r="J17" s="218">
        <f>+'Estado Resultados'!H17/'Estado Resultados'!H21</f>
        <v>4.1037558907705689</v>
      </c>
      <c r="K17" s="218">
        <f>+'Estado Resultados'!I17/'Estado Resultados'!I21</f>
        <v>1.9286698262804627</v>
      </c>
      <c r="L17" t="s">
        <v>222</v>
      </c>
    </row>
    <row r="18" spans="2:12" ht="43.2" x14ac:dyDescent="0.35">
      <c r="B18" s="219" t="s">
        <v>306</v>
      </c>
      <c r="C18" s="220" t="s">
        <v>307</v>
      </c>
      <c r="D18" s="221" t="s">
        <v>308</v>
      </c>
      <c r="E18" s="222">
        <f>+'Estado Resultados'!C21/Rentabilidad!E25</f>
        <v>0.14568222791074822</v>
      </c>
      <c r="F18" s="222">
        <f>+'Estado Resultados'!D21/Rentabilidad!F25</f>
        <v>0.14964091039799393</v>
      </c>
      <c r="G18" s="222">
        <f>+'Estado Resultados'!E21/Rentabilidad!G25</f>
        <v>6.6731910379712336E-2</v>
      </c>
      <c r="H18" s="222">
        <f>+'Estado Resultados'!F21/Rentabilidad!H25</f>
        <v>0.10015003469536005</v>
      </c>
      <c r="I18" s="222">
        <f>+'Estado Resultados'!G21/Rentabilidad!I25</f>
        <v>0.14005526898176152</v>
      </c>
      <c r="J18" s="222">
        <f>+'Estado Resultados'!H21/Rentabilidad!J25</f>
        <v>0.2198073616869535</v>
      </c>
      <c r="K18" s="222">
        <f>+'Estado Resultados'!I21/Rentabilidad!K25</f>
        <v>0.51849206451710328</v>
      </c>
      <c r="L18" t="s">
        <v>222</v>
      </c>
    </row>
    <row r="19" spans="2:12" ht="43.2" x14ac:dyDescent="0.35">
      <c r="B19" s="214" t="s">
        <v>309</v>
      </c>
      <c r="C19" s="215" t="s">
        <v>310</v>
      </c>
      <c r="D19" s="216" t="s">
        <v>311</v>
      </c>
      <c r="E19" s="217">
        <f>+(Balance!C41+Balance!C50)/Rentabilidad!E25</f>
        <v>1.846380176660243</v>
      </c>
      <c r="F19" s="217">
        <f>+(Balance!D41+Balance!D50)/Rentabilidad!F25</f>
        <v>2.3142945110956021</v>
      </c>
      <c r="G19" s="217">
        <f>+(Balance!E41+Balance!E50)/Rentabilidad!G25</f>
        <v>0.87278719895519052</v>
      </c>
      <c r="H19" s="217">
        <f>+(Balance!F41+Balance!F50)/Rentabilidad!H25</f>
        <v>1.6592232992891403</v>
      </c>
      <c r="I19" s="217">
        <f>+(Balance!G41+Balance!G50)/Rentabilidad!I25</f>
        <v>1.9797176532454543</v>
      </c>
      <c r="J19" s="217">
        <f>+(Balance!H41+Balance!H50)/Rentabilidad!J25</f>
        <v>2.5053264396005388</v>
      </c>
      <c r="K19" s="217">
        <f>+(Balance!I41+Balance!I50)/Rentabilidad!K25</f>
        <v>2.3747596051691997</v>
      </c>
      <c r="L19" t="s">
        <v>222</v>
      </c>
    </row>
    <row r="20" spans="2:12" ht="57.6" x14ac:dyDescent="0.35">
      <c r="B20" s="219" t="s">
        <v>312</v>
      </c>
      <c r="C20" s="220" t="s">
        <v>313</v>
      </c>
      <c r="D20" s="221" t="s">
        <v>314</v>
      </c>
      <c r="E20" s="222">
        <f>+(Balance!C41+Balance!C50)/Balance!C71</f>
        <v>0.47000541562670706</v>
      </c>
      <c r="F20" s="222">
        <f>+(Balance!D41+Balance!D50)/Balance!D71</f>
        <v>0.65497609281466262</v>
      </c>
      <c r="G20" s="222">
        <f>+(Balance!E41+Balance!E50)/Balance!E71</f>
        <v>0.4334102045752028</v>
      </c>
      <c r="H20" s="222">
        <f>+(Balance!F41+Balance!F50)/Balance!F71</f>
        <v>0.59209141780565522</v>
      </c>
      <c r="I20" s="222">
        <f>+(Balance!G41+Balance!G50)/Balance!G71</f>
        <v>0.64129159980869366</v>
      </c>
      <c r="J20" s="222">
        <f>+(Balance!H41+Balance!H50)/Balance!H71</f>
        <v>0.71740309454605478</v>
      </c>
      <c r="K20" s="222">
        <f>+(Balance!I41+Balance!I50)/Balance!I71</f>
        <v>0.63683995920550751</v>
      </c>
      <c r="L20" t="s">
        <v>222</v>
      </c>
    </row>
    <row r="21" spans="2:12" ht="43.2" x14ac:dyDescent="0.35">
      <c r="B21" s="214" t="s">
        <v>315</v>
      </c>
      <c r="C21" s="215" t="s">
        <v>316</v>
      </c>
      <c r="D21" s="216" t="s">
        <v>317</v>
      </c>
      <c r="E21" s="217">
        <f>+Balance!C58/Balance!C71</f>
        <v>0.94904004294679556</v>
      </c>
      <c r="F21" s="217">
        <f>+Balance!D58/Balance!D71</f>
        <v>1.1498655537773959</v>
      </c>
      <c r="G21" s="217">
        <f>+Balance!E58/Balance!E71</f>
        <v>0.81418664524527584</v>
      </c>
      <c r="H21" s="217">
        <f>+Balance!F58/Balance!F71</f>
        <v>1.1809403634504119</v>
      </c>
      <c r="I21" s="217">
        <f>+Balance!G58/Balance!G71</f>
        <v>1.2413329485278082</v>
      </c>
      <c r="J21" s="217">
        <f>+Balance!H58/Balance!H71</f>
        <v>1.6509585199398493</v>
      </c>
      <c r="K21" s="217">
        <f>+Balance!I58/Balance!I71</f>
        <v>1.4345462330404586</v>
      </c>
      <c r="L21" t="s">
        <v>222</v>
      </c>
    </row>
    <row r="22" spans="2:12" ht="43.2" x14ac:dyDescent="0.35">
      <c r="B22" s="219" t="s">
        <v>318</v>
      </c>
      <c r="C22" s="220" t="s">
        <v>319</v>
      </c>
      <c r="D22" s="221" t="s">
        <v>320</v>
      </c>
      <c r="E22" s="223">
        <f>+'Estado Resultados'!C24/Variables!D80</f>
        <v>8703109370.0000019</v>
      </c>
      <c r="F22" s="223">
        <f>+'Estado Resultados'!D24/Variables!E80</f>
        <v>10644769249.99999</v>
      </c>
      <c r="G22" s="223">
        <f>+'Estado Resultados'!E24/Variables!F80</f>
        <v>34387270539.999992</v>
      </c>
      <c r="H22" s="223">
        <f>+'Estado Resultados'!F24/Variables!G80</f>
        <v>28285398729.999989</v>
      </c>
      <c r="I22" s="223">
        <f>+'Estado Resultados'!G24/Variables!H80</f>
        <v>22330359860</v>
      </c>
      <c r="J22" s="223">
        <f>+'Estado Resultados'!H24/Variables!I80</f>
        <v>22125676499.999992</v>
      </c>
      <c r="K22" s="223" t="e">
        <f>+'Estado Resultados'!I24/Variables!J80</f>
        <v>#DIV/0!</v>
      </c>
    </row>
    <row r="23" spans="2:12" ht="43.2" x14ac:dyDescent="0.35">
      <c r="B23" s="214" t="s">
        <v>321</v>
      </c>
      <c r="C23" s="215" t="s">
        <v>322</v>
      </c>
      <c r="D23" s="216" t="s">
        <v>323</v>
      </c>
      <c r="E23" s="217">
        <f>+Balance!C48/Balance!C36</f>
        <v>0.31812391656697547</v>
      </c>
      <c r="F23" s="217">
        <f>+Balance!D48/Balance!D36</f>
        <v>0.29021624535209328</v>
      </c>
      <c r="G23" s="217">
        <f>+Balance!E48/Balance!E36</f>
        <v>0.28155840711393526</v>
      </c>
      <c r="H23" s="217">
        <f>+Balance!F48/Balance!F36</f>
        <v>0.3514430673261647</v>
      </c>
      <c r="I23" s="217">
        <f>+Balance!G48/Balance!G36</f>
        <v>0.35355248276799728</v>
      </c>
      <c r="J23" s="217">
        <f>+Balance!H48/Balance!H36</f>
        <v>0.43334376796800161</v>
      </c>
      <c r="K23" s="217">
        <f>+Balance!I48/Balance!I36</f>
        <v>0.23604505948233215</v>
      </c>
    </row>
    <row r="24" spans="2:12" ht="43.2" x14ac:dyDescent="0.35">
      <c r="B24" s="219" t="s">
        <v>324</v>
      </c>
      <c r="C24" s="220" t="s">
        <v>325</v>
      </c>
      <c r="D24" s="221" t="s">
        <v>326</v>
      </c>
      <c r="E24" s="222">
        <f>+(Balance!C56+Balance!C71)/Balance!C36</f>
        <v>0.68187608343302453</v>
      </c>
      <c r="F24" s="222">
        <f>+(Balance!D56+Balance!D71)/Balance!D36</f>
        <v>0.70978375464790666</v>
      </c>
      <c r="G24" s="222">
        <f>+(Balance!E56+Balance!E71)/Balance!E36</f>
        <v>0.71844159288606468</v>
      </c>
      <c r="H24" s="222">
        <f>+(Balance!F56+Balance!F71)/Balance!F36</f>
        <v>0.64855693267383518</v>
      </c>
      <c r="I24" s="222">
        <f>+(Balance!G56+Balance!G71)/Balance!G36</f>
        <v>0.64644751723200267</v>
      </c>
      <c r="J24" s="222">
        <f>+(Balance!H56+Balance!H71)/Balance!H36</f>
        <v>0.56665623203199822</v>
      </c>
      <c r="K24" s="222">
        <f>+(Balance!I56+Balance!I71)/Balance!I36</f>
        <v>0.76395494051766766</v>
      </c>
    </row>
    <row r="25" spans="2:12" x14ac:dyDescent="0.35">
      <c r="L25" t="s">
        <v>222</v>
      </c>
    </row>
    <row r="26" spans="2:12" x14ac:dyDescent="0.35">
      <c r="D26" s="237"/>
      <c r="E26" s="237">
        <f>+E6</f>
        <v>2018</v>
      </c>
      <c r="F26" s="237">
        <f>+F6</f>
        <v>2019</v>
      </c>
      <c r="G26" s="237">
        <f>+G6</f>
        <v>2020</v>
      </c>
      <c r="H26" s="237">
        <f t="shared" ref="H26:J26" si="0">+H6</f>
        <v>2021</v>
      </c>
      <c r="I26" s="237">
        <f t="shared" si="0"/>
        <v>2022</v>
      </c>
      <c r="J26" s="237">
        <f t="shared" si="0"/>
        <v>2023</v>
      </c>
      <c r="K26" s="237" t="str">
        <f>+K6</f>
        <v>REFERENTE</v>
      </c>
      <c r="L26" t="s">
        <v>222</v>
      </c>
    </row>
    <row r="27" spans="2:12" x14ac:dyDescent="0.35">
      <c r="D27" s="237" t="s">
        <v>327</v>
      </c>
      <c r="E27" s="238">
        <f t="shared" ref="E27:K28" si="1">+E8</f>
        <v>0.48692690864982002</v>
      </c>
      <c r="F27" s="238">
        <f t="shared" si="1"/>
        <v>0.53485463393607946</v>
      </c>
      <c r="G27" s="238">
        <f t="shared" ref="G27:H27" si="2">+G8</f>
        <v>0.44878879875956684</v>
      </c>
      <c r="H27" s="238">
        <f t="shared" si="2"/>
        <v>0.54148218962854866</v>
      </c>
      <c r="I27" s="238">
        <f t="shared" ref="I27:J27" si="3">+I8</f>
        <v>0.55383692518470418</v>
      </c>
      <c r="J27" s="238">
        <f t="shared" si="3"/>
        <v>0.62277795277510029</v>
      </c>
      <c r="K27" s="238">
        <f t="shared" si="1"/>
        <v>0.58924583709748679</v>
      </c>
    </row>
    <row r="28" spans="2:12" x14ac:dyDescent="0.35">
      <c r="D28" s="237" t="s">
        <v>328</v>
      </c>
      <c r="E28" s="238">
        <f t="shared" si="1"/>
        <v>0.65332991649421979</v>
      </c>
      <c r="F28" s="238">
        <f t="shared" si="1"/>
        <v>0.54260770485682486</v>
      </c>
      <c r="G28" s="238">
        <f t="shared" ref="G28:H28" si="4">+G9</f>
        <v>0.62737396274628665</v>
      </c>
      <c r="H28" s="238">
        <f t="shared" si="4"/>
        <v>0.6490390156087148</v>
      </c>
      <c r="I28" s="238">
        <f t="shared" ref="I28:J28" si="5">+I9</f>
        <v>0.63836928650087355</v>
      </c>
      <c r="J28" s="238">
        <f t="shared" si="5"/>
        <v>0.6958238743632793</v>
      </c>
      <c r="K28" s="238">
        <f t="shared" si="1"/>
        <v>0.40058842103161107</v>
      </c>
    </row>
    <row r="29" spans="2:12" x14ac:dyDescent="0.35">
      <c r="D29" s="237" t="s">
        <v>321</v>
      </c>
      <c r="E29" s="238">
        <f t="shared" ref="E29:K30" si="6">+E23</f>
        <v>0.31812391656697547</v>
      </c>
      <c r="F29" s="238">
        <f t="shared" si="6"/>
        <v>0.29021624535209328</v>
      </c>
      <c r="G29" s="238">
        <f t="shared" ref="G29:H29" si="7">+G23</f>
        <v>0.28155840711393526</v>
      </c>
      <c r="H29" s="238">
        <f t="shared" si="7"/>
        <v>0.3514430673261647</v>
      </c>
      <c r="I29" s="238">
        <f t="shared" ref="I29:J29" si="8">+I23</f>
        <v>0.35355248276799728</v>
      </c>
      <c r="J29" s="238">
        <f t="shared" si="8"/>
        <v>0.43334376796800161</v>
      </c>
      <c r="K29" s="238">
        <f t="shared" si="6"/>
        <v>0.23604505948233215</v>
      </c>
    </row>
    <row r="30" spans="2:12" x14ac:dyDescent="0.35">
      <c r="D30" s="237" t="s">
        <v>324</v>
      </c>
      <c r="E30" s="238">
        <f t="shared" si="6"/>
        <v>0.68187608343302453</v>
      </c>
      <c r="F30" s="238">
        <f t="shared" si="6"/>
        <v>0.70978375464790666</v>
      </c>
      <c r="G30" s="238">
        <f t="shared" ref="G30:H30" si="9">+G24</f>
        <v>0.71844159288606468</v>
      </c>
      <c r="H30" s="238">
        <f t="shared" si="9"/>
        <v>0.64855693267383518</v>
      </c>
      <c r="I30" s="238">
        <f t="shared" ref="I30:J30" si="10">+I24</f>
        <v>0.64644751723200267</v>
      </c>
      <c r="J30" s="238">
        <f t="shared" si="10"/>
        <v>0.56665623203199822</v>
      </c>
      <c r="K30" s="238">
        <f t="shared" si="6"/>
        <v>0.76395494051766766</v>
      </c>
    </row>
    <row r="31" spans="2:12" x14ac:dyDescent="0.35"/>
    <row r="32" spans="2:1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sheetData>
  <sheetProtection selectLockedCells="1" selectUnlockedCells="1"/>
  <mergeCells count="2">
    <mergeCell ref="B4:K4"/>
    <mergeCell ref="B3:K3"/>
  </mergeCells>
  <printOptions horizontalCentered="1"/>
  <pageMargins left="0.70866141732283472" right="0.31496062992125984" top="0.48" bottom="0.43307086614173229" header="0" footer="0"/>
  <pageSetup scale="7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1:R51"/>
  <sheetViews>
    <sheetView showGridLines="0" topLeftCell="C19" workbookViewId="0">
      <selection activeCell="C26" sqref="C26"/>
    </sheetView>
  </sheetViews>
  <sheetFormatPr baseColWidth="10" defaultColWidth="0" defaultRowHeight="14.4" x14ac:dyDescent="0.35"/>
  <cols>
    <col min="1" max="1" width="1.33203125" customWidth="1"/>
    <col min="2" max="2" width="35.5546875" customWidth="1"/>
    <col min="3" max="3" width="43.6640625" customWidth="1"/>
    <col min="4" max="4" width="36.44140625" customWidth="1"/>
    <col min="5" max="5" width="15.6640625" style="165" bestFit="1" customWidth="1"/>
    <col min="6" max="6" width="13" style="165" bestFit="1" customWidth="1"/>
    <col min="7" max="10" width="13" style="165" customWidth="1"/>
    <col min="11" max="11" width="13.6640625" style="165" bestFit="1" customWidth="1"/>
    <col min="12" max="12" width="12.33203125" customWidth="1"/>
    <col min="13" max="13" width="18.6640625" hidden="1" customWidth="1"/>
    <col min="14" max="14" width="11.44140625" hidden="1" customWidth="1"/>
    <col min="15" max="15" width="15.5546875" hidden="1" customWidth="1"/>
    <col min="16" max="16" width="15.33203125" hidden="1" customWidth="1"/>
    <col min="17" max="18" width="15.5546875" hidden="1" customWidth="1"/>
    <col min="19" max="16384" width="11.44140625" hidden="1"/>
  </cols>
  <sheetData>
    <row r="1" spans="1:16" x14ac:dyDescent="0.35">
      <c r="D1" s="256"/>
      <c r="E1" s="367"/>
    </row>
    <row r="3" spans="1:16" ht="31.95" customHeight="1" x14ac:dyDescent="0.45">
      <c r="A3" s="2"/>
      <c r="B3" s="472" t="str">
        <f>+Endeudamiento!B3</f>
        <v>K-LISTO</v>
      </c>
      <c r="C3" s="473"/>
      <c r="D3" s="473"/>
      <c r="E3" s="473"/>
      <c r="F3" s="473"/>
      <c r="G3" s="473"/>
      <c r="H3" s="473"/>
      <c r="I3" s="473"/>
      <c r="J3" s="473"/>
      <c r="K3" s="474"/>
    </row>
    <row r="4" spans="1:16" ht="22.2" x14ac:dyDescent="0.45">
      <c r="A4" s="2"/>
      <c r="B4" s="495" t="s">
        <v>329</v>
      </c>
      <c r="C4" s="496"/>
      <c r="D4" s="496"/>
      <c r="E4" s="496"/>
      <c r="F4" s="496"/>
      <c r="G4" s="496"/>
      <c r="H4" s="496"/>
      <c r="I4" s="496"/>
      <c r="J4" s="496"/>
      <c r="K4" s="525"/>
    </row>
    <row r="5" spans="1:16" x14ac:dyDescent="0.35">
      <c r="A5" s="2"/>
      <c r="B5" s="160"/>
      <c r="C5" s="14"/>
      <c r="D5" s="14"/>
      <c r="E5" s="14"/>
      <c r="F5" s="14"/>
      <c r="G5" s="14"/>
      <c r="H5" s="14"/>
      <c r="I5" s="14"/>
      <c r="J5" s="14"/>
      <c r="K5" s="161"/>
    </row>
    <row r="6" spans="1:16" x14ac:dyDescent="0.35">
      <c r="B6" s="231"/>
      <c r="C6" s="232"/>
      <c r="D6" s="232"/>
      <c r="E6" s="358"/>
      <c r="F6" s="358"/>
      <c r="G6" s="358"/>
      <c r="H6" s="358"/>
      <c r="I6" s="358"/>
      <c r="J6" s="358"/>
      <c r="K6" s="359"/>
      <c r="L6" t="s">
        <v>222</v>
      </c>
    </row>
    <row r="7" spans="1:16" x14ac:dyDescent="0.35">
      <c r="B7" s="233"/>
      <c r="C7" s="175"/>
      <c r="D7" s="175"/>
      <c r="E7" s="360"/>
      <c r="F7" s="360"/>
      <c r="G7" s="360"/>
      <c r="H7" s="360"/>
      <c r="I7" s="360"/>
      <c r="J7" s="360"/>
      <c r="K7" s="361"/>
      <c r="L7" t="s">
        <v>222</v>
      </c>
    </row>
    <row r="8" spans="1:16" x14ac:dyDescent="0.35">
      <c r="B8" s="233"/>
      <c r="C8" s="175"/>
      <c r="D8" s="175"/>
      <c r="E8" s="360"/>
      <c r="F8" s="360"/>
      <c r="G8" s="360"/>
      <c r="H8" s="360"/>
      <c r="I8" s="360"/>
      <c r="J8" s="360"/>
      <c r="K8" s="361"/>
      <c r="L8" t="s">
        <v>222</v>
      </c>
    </row>
    <row r="9" spans="1:16" x14ac:dyDescent="0.35">
      <c r="B9" s="234"/>
      <c r="C9" s="235"/>
      <c r="D9" s="235"/>
      <c r="E9" s="362"/>
      <c r="F9" s="362"/>
      <c r="G9" s="362"/>
      <c r="H9" s="362"/>
      <c r="I9" s="362"/>
      <c r="J9" s="362"/>
      <c r="K9" s="363"/>
      <c r="L9" t="s">
        <v>222</v>
      </c>
    </row>
    <row r="10" spans="1:16" x14ac:dyDescent="0.35">
      <c r="B10" s="245" t="s">
        <v>273</v>
      </c>
      <c r="C10" s="245" t="s">
        <v>274</v>
      </c>
      <c r="D10" s="245"/>
      <c r="E10" s="245">
        <f>+Endeudamiento!E6</f>
        <v>2018</v>
      </c>
      <c r="F10" s="245">
        <f>+Endeudamiento!F6</f>
        <v>2019</v>
      </c>
      <c r="G10" s="245">
        <f>+Endeudamiento!G6</f>
        <v>2020</v>
      </c>
      <c r="H10" s="245">
        <f>+Endeudamiento!H6</f>
        <v>2021</v>
      </c>
      <c r="I10" s="245">
        <f>+Endeudamiento!I6</f>
        <v>2022</v>
      </c>
      <c r="J10" s="245">
        <f>+Endeudamiento!J6</f>
        <v>2023</v>
      </c>
      <c r="K10" s="245" t="str">
        <f>+Endeudamiento!K6</f>
        <v>REFERENTE</v>
      </c>
      <c r="L10" t="s">
        <v>222</v>
      </c>
    </row>
    <row r="11" spans="1:16" ht="55.2" customHeight="1" x14ac:dyDescent="0.35">
      <c r="B11" s="239" t="s">
        <v>330</v>
      </c>
      <c r="C11" s="240" t="s">
        <v>331</v>
      </c>
      <c r="D11" s="241" t="s">
        <v>332</v>
      </c>
      <c r="E11" s="391">
        <f>+'Estado Resultados'!C12/'Estado Resultados'!C8</f>
        <v>0.48646966374149897</v>
      </c>
      <c r="F11" s="391">
        <f>+'Estado Resultados'!D12/'Estado Resultados'!D8</f>
        <v>0.44129871295250839</v>
      </c>
      <c r="G11" s="391">
        <f>+'Estado Resultados'!E12/'Estado Resultados'!E8</f>
        <v>0.44750413660347044</v>
      </c>
      <c r="H11" s="391">
        <f>+'Estado Resultados'!F12/'Estado Resultados'!F8</f>
        <v>0.38583319936623711</v>
      </c>
      <c r="I11" s="391">
        <f>+'Estado Resultados'!G12/'Estado Resultados'!G8</f>
        <v>0.35565137540579317</v>
      </c>
      <c r="J11" s="391">
        <f>+'Estado Resultados'!H12/'Estado Resultados'!H8</f>
        <v>0.32360549802259553</v>
      </c>
      <c r="K11" s="391">
        <f>+'Estado Resultados'!I12/'Estado Resultados'!I8</f>
        <v>0.39129734885733003</v>
      </c>
      <c r="L11" t="s">
        <v>222</v>
      </c>
      <c r="N11" s="55"/>
      <c r="O11" s="55"/>
      <c r="P11" s="55"/>
    </row>
    <row r="12" spans="1:16" ht="55.2" customHeight="1" x14ac:dyDescent="0.35">
      <c r="B12" s="239" t="s">
        <v>333</v>
      </c>
      <c r="C12" s="240" t="s">
        <v>334</v>
      </c>
      <c r="D12" s="241" t="s">
        <v>335</v>
      </c>
      <c r="E12" s="391">
        <f>+'Estado Resultados'!C17/'Estado Resultados'!C8</f>
        <v>0.10752713137788725</v>
      </c>
      <c r="F12" s="391">
        <f>+'Estado Resultados'!D17/'Estado Resultados'!D8</f>
        <v>9.7518993939027576E-2</v>
      </c>
      <c r="G12" s="391">
        <f>+'Estado Resultados'!E17/'Estado Resultados'!E8</f>
        <v>0.18451489724338158</v>
      </c>
      <c r="H12" s="391">
        <f>+'Estado Resultados'!F17/'Estado Resultados'!F8</f>
        <v>0.12694984445744356</v>
      </c>
      <c r="I12" s="391">
        <f>+'Estado Resultados'!G17/'Estado Resultados'!G8</f>
        <v>8.6155371638774361E-2</v>
      </c>
      <c r="J12" s="391">
        <f>+'Estado Resultados'!H17/'Estado Resultados'!H8</f>
        <v>7.4757331857483289E-2</v>
      </c>
      <c r="K12" s="391">
        <f>+'Estado Resultados'!I17/'Estado Resultados'!I8</f>
        <v>9.1406583661744423E-2</v>
      </c>
      <c r="L12" t="s">
        <v>222</v>
      </c>
      <c r="N12" s="55"/>
      <c r="O12" s="55"/>
      <c r="P12" s="55"/>
    </row>
    <row r="13" spans="1:16" ht="43.2" x14ac:dyDescent="0.35">
      <c r="B13" s="242" t="s">
        <v>336</v>
      </c>
      <c r="C13" s="240" t="s">
        <v>337</v>
      </c>
      <c r="D13" s="241" t="s">
        <v>338</v>
      </c>
      <c r="E13" s="391">
        <f>+'Estado Resultados'!C24/'Estado Resultados'!C8</f>
        <v>9.9325627477509171E-2</v>
      </c>
      <c r="F13" s="391">
        <f>+'Estado Resultados'!D24/'Estado Resultados'!D8</f>
        <v>9.0782875082123821E-2</v>
      </c>
      <c r="G13" s="391">
        <f>+'Estado Resultados'!E24/'Estado Resultados'!E8</f>
        <v>0.17890278976381715</v>
      </c>
      <c r="H13" s="391">
        <f>+'Estado Resultados'!F24/'Estado Resultados'!F8</f>
        <v>0.12477849118140778</v>
      </c>
      <c r="I13" s="391">
        <f>+'Estado Resultados'!G24/'Estado Resultados'!G8</f>
        <v>7.6848603431929188E-2</v>
      </c>
      <c r="J13" s="391">
        <f>+'Estado Resultados'!H24/'Estado Resultados'!H8</f>
        <v>6.3995289239677164E-2</v>
      </c>
      <c r="K13" s="391">
        <f>+'Estado Resultados'!I24/'Estado Resultados'!I8</f>
        <v>5.3003428619296508E-2</v>
      </c>
      <c r="L13" t="s">
        <v>222</v>
      </c>
    </row>
    <row r="14" spans="1:16" ht="43.2" x14ac:dyDescent="0.35">
      <c r="B14" s="239" t="s">
        <v>339</v>
      </c>
      <c r="C14" s="240" t="s">
        <v>340</v>
      </c>
      <c r="D14" s="241" t="s">
        <v>341</v>
      </c>
      <c r="E14" s="391">
        <f>+'Estado Resultados'!C28/'Estado Resultados'!C8</f>
        <v>6.6979933523540092E-2</v>
      </c>
      <c r="F14" s="391">
        <f>+'Estado Resultados'!D28/'Estado Resultados'!D8</f>
        <v>6.1558769318965791E-2</v>
      </c>
      <c r="G14" s="391">
        <f>+'Estado Resultados'!E28/'Estado Resultados'!E8</f>
        <v>0.13572030034413762</v>
      </c>
      <c r="H14" s="391">
        <f>+'Estado Resultados'!F28/'Estado Resultados'!F8</f>
        <v>9.7353476395642929E-2</v>
      </c>
      <c r="I14" s="391">
        <f>+'Estado Resultados'!G28/'Estado Resultados'!G8</f>
        <v>4.3571400109061721E-2</v>
      </c>
      <c r="J14" s="391">
        <f>+'Estado Resultados'!H28/'Estado Resultados'!H8</f>
        <v>3.071808591680969E-2</v>
      </c>
      <c r="K14" s="391">
        <f>+'Estado Resultados'!I28/'Estado Resultados'!I8</f>
        <v>3.9120094165364529E-2</v>
      </c>
      <c r="L14" t="s">
        <v>222</v>
      </c>
    </row>
    <row r="15" spans="1:16" ht="28.8" x14ac:dyDescent="0.35">
      <c r="B15" s="185" t="s">
        <v>342</v>
      </c>
      <c r="C15" s="186" t="s">
        <v>343</v>
      </c>
      <c r="D15" s="243" t="s">
        <v>344</v>
      </c>
      <c r="E15" s="392">
        <f>+'Estado Resultados'!C10/'Estado Resultados'!C8</f>
        <v>0.51353033625850097</v>
      </c>
      <c r="F15" s="392">
        <f>+'Estado Resultados'!D10/'Estado Resultados'!D8</f>
        <v>0.55870128704749167</v>
      </c>
      <c r="G15" s="392">
        <f>+'Estado Resultados'!E10/'Estado Resultados'!E8</f>
        <v>0.55249586339652956</v>
      </c>
      <c r="H15" s="392">
        <f>+'Estado Resultados'!F10/'Estado Resultados'!F8</f>
        <v>0.61416680063376294</v>
      </c>
      <c r="I15" s="392">
        <f>+'Estado Resultados'!G10/'Estado Resultados'!G8</f>
        <v>0.64434862459420683</v>
      </c>
      <c r="J15" s="392">
        <f>+'Estado Resultados'!H10/'Estado Resultados'!H8</f>
        <v>0.67639450197740447</v>
      </c>
      <c r="K15" s="392">
        <f>+'Estado Resultados'!I10/'Estado Resultados'!I8</f>
        <v>0.60870265114266997</v>
      </c>
    </row>
    <row r="16" spans="1:16" ht="28.8" x14ac:dyDescent="0.35">
      <c r="B16" s="185" t="s">
        <v>345</v>
      </c>
      <c r="C16" s="186" t="s">
        <v>346</v>
      </c>
      <c r="D16" s="243" t="s">
        <v>347</v>
      </c>
      <c r="E16" s="392">
        <f>+'Estado Resultados'!C14/'Estado Resultados'!C8</f>
        <v>0.11283958055700871</v>
      </c>
      <c r="F16" s="392">
        <f>+'Estado Resultados'!D14/'Estado Resultados'!D8</f>
        <v>0.10217768842365382</v>
      </c>
      <c r="G16" s="392">
        <f>+'Estado Resultados'!E14/'Estado Resultados'!E8</f>
        <v>7.816526418492753E-2</v>
      </c>
      <c r="H16" s="392">
        <f>+'Estado Resultados'!F14/'Estado Resultados'!F8</f>
        <v>7.6944919414817542E-2</v>
      </c>
      <c r="I16" s="392">
        <f>+'Estado Resultados'!G14/'Estado Resultados'!G8</f>
        <v>8.0099194866252374E-2</v>
      </c>
      <c r="J16" s="392">
        <f>+'Estado Resultados'!H14/'Estado Resultados'!H8</f>
        <v>7.3962275785731849E-2</v>
      </c>
      <c r="K16" s="392">
        <f>+'Estado Resultados'!I14/'Estado Resultados'!I8</f>
        <v>0.29989076519558561</v>
      </c>
      <c r="L16" t="s">
        <v>222</v>
      </c>
    </row>
    <row r="17" spans="2:12" ht="43.2" x14ac:dyDescent="0.35">
      <c r="B17" s="185" t="s">
        <v>348</v>
      </c>
      <c r="C17" s="186" t="s">
        <v>349</v>
      </c>
      <c r="D17" s="243" t="s">
        <v>350</v>
      </c>
      <c r="E17" s="392">
        <f>+'Estado Resultados'!C15/'Estado Resultados'!C8</f>
        <v>0.26610295180660298</v>
      </c>
      <c r="F17" s="392">
        <f>+'Estado Resultados'!D15/'Estado Resultados'!D8</f>
        <v>0.24160203058982696</v>
      </c>
      <c r="G17" s="392">
        <f>+'Estado Resultados'!E15/'Estado Resultados'!E8</f>
        <v>0.18482397517516136</v>
      </c>
      <c r="H17" s="392">
        <f>+'Estado Resultados'!F15/'Estado Resultados'!F8</f>
        <v>0.18193843549397601</v>
      </c>
      <c r="I17" s="392">
        <f>+'Estado Resultados'!G15/'Estado Resultados'!G8</f>
        <v>0.18939680890076646</v>
      </c>
      <c r="J17" s="392">
        <f>+'Estado Resultados'!H15/'Estado Resultados'!H8</f>
        <v>0.17488589037938038</v>
      </c>
      <c r="K17" s="392">
        <f>+'Estado Resultados'!I15/'Estado Resultados'!I8</f>
        <v>0</v>
      </c>
      <c r="L17" t="s">
        <v>222</v>
      </c>
    </row>
    <row r="18" spans="2:12" ht="28.8" x14ac:dyDescent="0.35">
      <c r="B18" s="185" t="s">
        <v>351</v>
      </c>
      <c r="C18" s="186" t="s">
        <v>352</v>
      </c>
      <c r="D18" s="243" t="s">
        <v>353</v>
      </c>
      <c r="E18" s="392">
        <f>+('Estado Resultados'!C14+'Estado Resultados'!C15)/'Estado Resultados'!C8</f>
        <v>0.37894253236361175</v>
      </c>
      <c r="F18" s="392">
        <f>+('Estado Resultados'!D14+'Estado Resultados'!D15)/'Estado Resultados'!D8</f>
        <v>0.34377971901348081</v>
      </c>
      <c r="G18" s="392">
        <f>+('Estado Resultados'!E14+'Estado Resultados'!E15)/'Estado Resultados'!E8</f>
        <v>0.26298923936008889</v>
      </c>
      <c r="H18" s="392">
        <f>+('Estado Resultados'!F14+'Estado Resultados'!F15)/'Estado Resultados'!F8</f>
        <v>0.25888335490879355</v>
      </c>
      <c r="I18" s="392">
        <f>+('Estado Resultados'!G14+'Estado Resultados'!G15)/'Estado Resultados'!G8</f>
        <v>0.26949600376701882</v>
      </c>
      <c r="J18" s="392">
        <f>+('Estado Resultados'!H14+'Estado Resultados'!H15)/'Estado Resultados'!H8</f>
        <v>0.24884816616511224</v>
      </c>
      <c r="K18" s="392">
        <f>+('Estado Resultados'!I14+'Estado Resultados'!I15)/'Estado Resultados'!I8</f>
        <v>0.29989076519558561</v>
      </c>
      <c r="L18" t="s">
        <v>222</v>
      </c>
    </row>
    <row r="19" spans="2:12" ht="28.8" x14ac:dyDescent="0.35">
      <c r="B19" s="185" t="s">
        <v>354</v>
      </c>
      <c r="C19" s="186" t="s">
        <v>355</v>
      </c>
      <c r="D19" s="243" t="s">
        <v>356</v>
      </c>
      <c r="E19" s="392">
        <f>+'Estado Resultados'!C21/'Estado Resultados'!C8</f>
        <v>1.9450523216471279E-2</v>
      </c>
      <c r="F19" s="392">
        <f>+'Estado Resultados'!D21/'Estado Resultados'!D8</f>
        <v>1.7688204762216379E-2</v>
      </c>
      <c r="G19" s="392">
        <f>+'Estado Resultados'!E21/'Estado Resultados'!E8</f>
        <v>1.3531361097768466E-2</v>
      </c>
      <c r="H19" s="392">
        <f>+'Estado Resultados'!F21/'Estado Resultados'!F8</f>
        <v>1.332010452593543E-2</v>
      </c>
      <c r="I19" s="392">
        <f>+'Estado Resultados'!G21/'Estado Resultados'!G8</f>
        <v>1.3866148098873569E-2</v>
      </c>
      <c r="J19" s="392">
        <f>+'Estado Resultados'!H21/'Estado Resultados'!H8</f>
        <v>1.8216807687224786E-2</v>
      </c>
      <c r="K19" s="392">
        <f>+'Estado Resultados'!I21/'Estado Resultados'!I8</f>
        <v>4.739358827323318E-2</v>
      </c>
    </row>
    <row r="20" spans="2:12" ht="28.8" x14ac:dyDescent="0.35">
      <c r="B20" s="185" t="s">
        <v>357</v>
      </c>
      <c r="C20" s="186" t="s">
        <v>358</v>
      </c>
      <c r="D20" s="243" t="s">
        <v>359</v>
      </c>
      <c r="E20" s="392">
        <f>(Variables!D61+Variables!D62)/'Estado Resultados'!C8</f>
        <v>2.5493012659794079E-2</v>
      </c>
      <c r="F20" s="392">
        <f>(Variables!E61+Variables!E62)/'Estado Resultados'!D8</f>
        <v>2.3467862558861394E-2</v>
      </c>
      <c r="G20" s="392">
        <f>(Variables!F61+Variables!F62)/'Estado Resultados'!E8</f>
        <v>1.7493741000889008E-2</v>
      </c>
      <c r="H20" s="392">
        <f>(Variables!G61+Variables!G62)/'Estado Resultados'!F8</f>
        <v>2.05737582243012E-2</v>
      </c>
      <c r="I20" s="392">
        <f>(Variables!H61+Variables!H62)/'Estado Resultados'!G8</f>
        <v>1.4370755041938497E-2</v>
      </c>
      <c r="J20" s="392">
        <f>(Variables!I61+Variables!I62)/'Estado Resultados'!H8</f>
        <v>1.110139193198926E-2</v>
      </c>
      <c r="K20" s="392">
        <f>(Variables!J61+Variables!J62)/'Estado Resultados'!I8</f>
        <v>0</v>
      </c>
    </row>
    <row r="21" spans="2:12" ht="55.2" customHeight="1" x14ac:dyDescent="0.35">
      <c r="B21" s="242" t="s">
        <v>360</v>
      </c>
      <c r="C21" s="240" t="s">
        <v>361</v>
      </c>
      <c r="D21" s="241" t="s">
        <v>362</v>
      </c>
      <c r="E21" s="391">
        <f>+'Estado Resultados'!C28/Balance!C36</f>
        <v>6.5521068314796482E-2</v>
      </c>
      <c r="F21" s="391">
        <f>+'Estado Resultados'!D28/Balance!D36</f>
        <v>6.8557036325945703E-2</v>
      </c>
      <c r="G21" s="391">
        <f>+'Estado Resultados'!E28/Balance!E36</f>
        <v>0.18320852789034622</v>
      </c>
      <c r="H21" s="391">
        <f>+'Estado Resultados'!F28/Balance!F36</f>
        <v>0.11976642163358307</v>
      </c>
      <c r="I21" s="391">
        <f>+'Estado Resultados'!G28/Balance!G36</f>
        <v>6.3604970150578699E-2</v>
      </c>
      <c r="J21" s="391">
        <f>+'Estado Resultados'!H28/Balance!H36</f>
        <v>4.0036868574824969E-2</v>
      </c>
      <c r="K21" s="391">
        <f>+'Estado Resultados'!I28/Balance!I36</f>
        <v>4.7142763871766559E-2</v>
      </c>
    </row>
    <row r="22" spans="2:12" ht="55.2" customHeight="1" x14ac:dyDescent="0.35">
      <c r="B22" s="239" t="s">
        <v>363</v>
      </c>
      <c r="C22" s="240" t="s">
        <v>364</v>
      </c>
      <c r="D22" s="241" t="s">
        <v>365</v>
      </c>
      <c r="E22" s="391">
        <f>+E25/Balance!C36</f>
        <v>0.13060535126796635</v>
      </c>
      <c r="F22" s="391">
        <f>+F25/Balance!D36</f>
        <v>0.13164231820744587</v>
      </c>
      <c r="G22" s="391">
        <f>+G25/Balance!E36</f>
        <v>0.27372142920948672</v>
      </c>
      <c r="H22" s="391">
        <f>+H25/Balance!F36</f>
        <v>0.16362141283110537</v>
      </c>
      <c r="I22" s="391">
        <f>+I25/Balance!G36</f>
        <v>0.14452597902272299</v>
      </c>
      <c r="J22" s="391">
        <f>+J25/Balance!H36</f>
        <v>0.10801796513722578</v>
      </c>
      <c r="K22" s="391">
        <f>+K25/Balance!I36</f>
        <v>0.11015206077151167</v>
      </c>
    </row>
    <row r="23" spans="2:12" ht="55.2" customHeight="1" x14ac:dyDescent="0.35">
      <c r="B23" s="239" t="s">
        <v>366</v>
      </c>
      <c r="C23" s="240" t="s">
        <v>367</v>
      </c>
      <c r="D23" s="241" t="s">
        <v>368</v>
      </c>
      <c r="E23" s="391">
        <f>+'Estado Resultados'!C17/Liquidez!E12</f>
        <v>0.17331522785552009</v>
      </c>
      <c r="F23" s="391">
        <f>+'Estado Resultados'!D17/Liquidez!F12</f>
        <v>0.26478657642630543</v>
      </c>
      <c r="G23" s="391">
        <f>+'Estado Resultados'!E17/Liquidez!G12</f>
        <v>0.6049009189912109</v>
      </c>
      <c r="H23" s="391">
        <f>+'Estado Resultados'!F17/Liquidez!H12</f>
        <v>0.48619379926048495</v>
      </c>
      <c r="I23" s="391">
        <f>+'Estado Resultados'!G17/Liquidez!I12</f>
        <v>0.45046421912508167</v>
      </c>
      <c r="J23" s="391">
        <f>+'Estado Resultados'!H17/Liquidez!J12</f>
        <v>0.24507596856164127</v>
      </c>
      <c r="K23" s="391">
        <f>+'Estado Resultados'!I17/Liquidez!K12</f>
        <v>0.43899413518746211</v>
      </c>
    </row>
    <row r="24" spans="2:12" ht="55.2" customHeight="1" x14ac:dyDescent="0.35">
      <c r="B24" s="239" t="s">
        <v>369</v>
      </c>
      <c r="C24" s="240" t="s">
        <v>370</v>
      </c>
      <c r="D24" s="241" t="s">
        <v>371</v>
      </c>
      <c r="E24" s="391">
        <f>+'Estado Resultados'!C24/Balance!C71</f>
        <v>0.18937312107396595</v>
      </c>
      <c r="F24" s="391">
        <f>+'Estado Resultados'!D24/Balance!D71</f>
        <v>0.21735885626449769</v>
      </c>
      <c r="G24" s="391">
        <f>+'Estado Resultados'!E24/Balance!E71</f>
        <v>0.43812693319491869</v>
      </c>
      <c r="H24" s="391">
        <f>+'Estado Resultados'!F24/Balance!F71</f>
        <v>0.33478587756551226</v>
      </c>
      <c r="I24" s="391">
        <f>+'Estado Resultados'!G24/Balance!G71</f>
        <v>0.25143856676357057</v>
      </c>
      <c r="J24" s="391">
        <f>+'Estado Resultados'!H24/Balance!H71</f>
        <v>0.22111433048984236</v>
      </c>
      <c r="K24" s="391">
        <f>+'Estado Resultados'!I24/Balance!I71</f>
        <v>0.1555024153500506</v>
      </c>
    </row>
    <row r="25" spans="2:12" ht="43.2" x14ac:dyDescent="0.35">
      <c r="B25" s="185" t="s">
        <v>372</v>
      </c>
      <c r="C25" s="186" t="s">
        <v>373</v>
      </c>
      <c r="D25" s="243" t="s">
        <v>374</v>
      </c>
      <c r="E25" s="393">
        <f>+'Estado Resultados'!C17+Variables!D76</f>
        <v>1169870629.193541</v>
      </c>
      <c r="F25" s="393">
        <f>+'Estado Resultados'!D17+Variables!E76</f>
        <v>1386007991.0406418</v>
      </c>
      <c r="G25" s="393">
        <f>+'Estado Resultados'!E17+Variables!F76</f>
        <v>3897521489.8570542</v>
      </c>
      <c r="H25" s="393">
        <f>+'Estado Resultados'!F17+Variables!G76</f>
        <v>3014942988.1699476</v>
      </c>
      <c r="I25" s="393">
        <f>+'Estado Resultados'!G17+Variables!H76</f>
        <v>2876842757.6848335</v>
      </c>
      <c r="J25" s="393">
        <f>+'Estado Resultados'!H17+Variables!I76</f>
        <v>2865356028.8712711</v>
      </c>
      <c r="K25" s="393">
        <f>+'Estado Resultados'!I17+Variables!J76</f>
        <v>1728156.9599999981</v>
      </c>
      <c r="L25" s="587">
        <f>(J25/F25)^(1/4)-1</f>
        <v>0.19909395742275593</v>
      </c>
    </row>
    <row r="26" spans="2:12" ht="43.2" x14ac:dyDescent="0.35">
      <c r="B26" s="185" t="s">
        <v>375</v>
      </c>
      <c r="C26" s="186" t="s">
        <v>376</v>
      </c>
      <c r="D26" s="243" t="s">
        <v>377</v>
      </c>
      <c r="E26" s="392">
        <f>+E25/'Estado Resultados'!C8</f>
        <v>0.13351335640190501</v>
      </c>
      <c r="F26" s="392">
        <f>+F25/'Estado Resultados'!D8</f>
        <v>0.11820433807286906</v>
      </c>
      <c r="G26" s="392">
        <f>+G25/'Estado Resultados'!E8</f>
        <v>0.20277197252069432</v>
      </c>
      <c r="H26" s="392">
        <f>+H25/'Estado Resultados'!F8</f>
        <v>0.13300149686870302</v>
      </c>
      <c r="I26" s="392">
        <f>+I25/'Estado Resultados'!G8</f>
        <v>9.9004830019492285E-2</v>
      </c>
      <c r="J26" s="392">
        <f>+J25/'Estado Resultados'!H8</f>
        <v>8.287624011960483E-2</v>
      </c>
      <c r="K26" s="392">
        <f>+K25/'Estado Resultados'!I8</f>
        <v>9.1406583661744423E-2</v>
      </c>
      <c r="L26" s="587">
        <f>(J26/F26)^(1/4)-1</f>
        <v>-8.4940875013993278E-2</v>
      </c>
    </row>
    <row r="27" spans="2:12" ht="43.2" x14ac:dyDescent="0.35">
      <c r="B27" s="242" t="s">
        <v>378</v>
      </c>
      <c r="C27" s="240" t="s">
        <v>379</v>
      </c>
      <c r="D27" s="241" t="s">
        <v>380</v>
      </c>
      <c r="E27" s="394">
        <f>IF(Variables!D77&gt;0,'Estado Resultados'!C28/Variables!D77,"N.A.")</f>
        <v>586.89152221333393</v>
      </c>
      <c r="F27" s="394">
        <f>IF(Variables!E77&gt;0,'Estado Resultados'!D28/Variables!E77,"N.A.")</f>
        <v>721.80892499999902</v>
      </c>
      <c r="G27" s="394">
        <f>IF(Variables!F77&gt;0,'Estado Resultados'!E28/Variables!F77,"N.A.")</f>
        <v>2608.7076069999994</v>
      </c>
      <c r="H27" s="394">
        <f>IF(Variables!G77&gt;0,'Estado Resultados'!F28/Variables!G77,"N.A.")</f>
        <v>2206.8562229999989</v>
      </c>
      <c r="I27" s="394">
        <f>IF(Variables!H77&gt;0,'Estado Resultados'!G28/Variables!H77,"N.A.")</f>
        <v>1266.0803197304979</v>
      </c>
      <c r="J27" s="394">
        <f>IF(Variables!I77&gt;0,'Estado Resultados'!H28/Variables!I77,"N.A.")</f>
        <v>1062.0444719752088</v>
      </c>
      <c r="K27" s="394" t="str">
        <f>IF(Variables!J77&gt;0,'Estado Resultados'!I28/Variables!J77,"N.A.")</f>
        <v>N.A.</v>
      </c>
    </row>
    <row r="28" spans="2:12" ht="28.8" x14ac:dyDescent="0.35">
      <c r="B28" s="242" t="s">
        <v>381</v>
      </c>
      <c r="C28" s="240" t="s">
        <v>382</v>
      </c>
      <c r="D28" s="241" t="s">
        <v>383</v>
      </c>
      <c r="E28" s="394">
        <f>IF(Variables!D77&gt;0,Variables!D79/Variables!D77,"N.A.")</f>
        <v>0</v>
      </c>
      <c r="F28" s="394">
        <f>IF(Variables!E77&gt;0,Variables!E79/Variables!E77,"N.A.")</f>
        <v>0</v>
      </c>
      <c r="G28" s="394">
        <f>IF(Variables!F77&gt;0,Variables!F79/Variables!F77,"N.A.")</f>
        <v>0</v>
      </c>
      <c r="H28" s="394">
        <f>IF(Variables!G77&gt;0,Variables!G79/Variables!G77,"N.A.")</f>
        <v>0</v>
      </c>
      <c r="I28" s="394">
        <f>IF(Variables!H77&gt;0,Variables!H79/Variables!H77,"N.A.")</f>
        <v>0</v>
      </c>
      <c r="J28" s="394">
        <f>IF(Variables!I77&gt;0,Variables!I79/Variables!I77,"N.A.")</f>
        <v>0</v>
      </c>
      <c r="K28" s="394" t="str">
        <f>IF(Variables!J77&gt;0,Variables!J79/Variables!J77,"N.A.")</f>
        <v>N.A.</v>
      </c>
    </row>
    <row r="29" spans="2:12" ht="43.2" x14ac:dyDescent="0.35">
      <c r="B29" s="242" t="s">
        <v>384</v>
      </c>
      <c r="C29" s="240" t="s">
        <v>385</v>
      </c>
      <c r="D29" s="241" t="s">
        <v>386</v>
      </c>
      <c r="E29" s="394">
        <f>+IF(Variables!D77&gt;0,Balance!C71/Variables!D77,"N.A.")</f>
        <v>4595.7469152133344</v>
      </c>
      <c r="F29" s="394">
        <f>+IF(Variables!E77&gt;0,Balance!D71/Variables!E77,"N.A.")</f>
        <v>4897.3248354999987</v>
      </c>
      <c r="G29" s="394">
        <f>+IF(Variables!F77&gt;0,Balance!E71/Variables!F77,"N.A.")</f>
        <v>7848.7004415000001</v>
      </c>
      <c r="H29" s="394">
        <f>+IF(Variables!G77&gt;0,Balance!F71/Variables!G77,"N.A.")</f>
        <v>8448.8028394999983</v>
      </c>
      <c r="I29" s="394">
        <f>+IF(Variables!H77&gt;0,Balance!G71/Variables!H77,"N.A.")</f>
        <v>8881.040067730497</v>
      </c>
      <c r="J29" s="394">
        <f>+IF(Variables!I77&gt;0,Balance!H71/Variables!I77,"N.A.")</f>
        <v>10006.441667975208</v>
      </c>
      <c r="K29" s="394" t="str">
        <f>+IF(Variables!J77&gt;0,Balance!I71/Variables!J77,"N.A.")</f>
        <v>N.A.</v>
      </c>
    </row>
    <row r="30" spans="2:12" ht="43.2" x14ac:dyDescent="0.35">
      <c r="B30" s="242" t="s">
        <v>387</v>
      </c>
      <c r="C30" s="244" t="s">
        <v>388</v>
      </c>
      <c r="D30" s="241" t="s">
        <v>389</v>
      </c>
      <c r="E30" s="394">
        <f>IF(Variables!D78&gt;0,Variables!D78,"N.A.")</f>
        <v>1000</v>
      </c>
      <c r="F30" s="394">
        <f>IF(Variables!E78&gt;0,Variables!E78,"N.A.")</f>
        <v>1000</v>
      </c>
      <c r="G30" s="394">
        <f>IF(Variables!F78&gt;0,Variables!F78,"N.A.")</f>
        <v>1000</v>
      </c>
      <c r="H30" s="394">
        <f>IF(Variables!G78&gt;0,Variables!G78,"N.A.")</f>
        <v>1000</v>
      </c>
      <c r="I30" s="394">
        <f>IF(Variables!H78&gt;0,Variables!H78,"N.A.")</f>
        <v>1000</v>
      </c>
      <c r="J30" s="394">
        <f>IF(Variables!I78&gt;0,Variables!I78,"N.A.")</f>
        <v>1000</v>
      </c>
      <c r="K30" s="394" t="str">
        <f>IF(Variables!J78&gt;0,Variables!J78,"N.A.")</f>
        <v>N.A.</v>
      </c>
    </row>
    <row r="31" spans="2:12" ht="43.2" x14ac:dyDescent="0.35">
      <c r="B31" s="242" t="s">
        <v>390</v>
      </c>
      <c r="C31" s="240" t="s">
        <v>391</v>
      </c>
      <c r="D31" s="241" t="s">
        <v>392</v>
      </c>
      <c r="E31" s="390">
        <f>IF(E30&lt;&gt;"N.A.",E30/E29,"N.A.")</f>
        <v>0.21759248680332957</v>
      </c>
      <c r="F31" s="390">
        <f t="shared" ref="F31:K31" si="0">IF(F30&lt;&gt;"N.A.",F30/F29,"N.A.")</f>
        <v>0.20419311227859438</v>
      </c>
      <c r="G31" s="390">
        <f t="shared" si="0"/>
        <v>0.12740962754961324</v>
      </c>
      <c r="H31" s="390">
        <f t="shared" si="0"/>
        <v>0.11835996400872105</v>
      </c>
      <c r="I31" s="390">
        <f t="shared" si="0"/>
        <v>0.11259942443380336</v>
      </c>
      <c r="J31" s="390">
        <f t="shared" si="0"/>
        <v>9.9935624788621669E-2</v>
      </c>
      <c r="K31" s="390" t="str">
        <f t="shared" si="0"/>
        <v>N.A.</v>
      </c>
    </row>
    <row r="32" spans="2:12" ht="43.2" x14ac:dyDescent="0.35">
      <c r="B32" s="242" t="s">
        <v>393</v>
      </c>
      <c r="C32" s="240" t="s">
        <v>394</v>
      </c>
      <c r="D32" s="241" t="s">
        <v>395</v>
      </c>
      <c r="E32" s="395">
        <f>IF(E30&lt;&gt;"N.A.",E30/E27,"N.A.")</f>
        <v>1.703892392632828</v>
      </c>
      <c r="F32" s="395">
        <f t="shared" ref="F32:K32" si="1">IF(F30&lt;&gt;"N.A.",F30/F27,"N.A.")</f>
        <v>1.3854081951120254</v>
      </c>
      <c r="G32" s="395">
        <f t="shared" si="1"/>
        <v>0.38333157664610601</v>
      </c>
      <c r="H32" s="395">
        <f t="shared" si="1"/>
        <v>0.45313328053632812</v>
      </c>
      <c r="I32" s="395">
        <f t="shared" si="1"/>
        <v>0.78983930514997924</v>
      </c>
      <c r="J32" s="395">
        <f t="shared" si="1"/>
        <v>0.94158015637535641</v>
      </c>
      <c r="K32" s="395" t="str">
        <f t="shared" si="1"/>
        <v>N.A.</v>
      </c>
    </row>
    <row r="33" spans="2:12" x14ac:dyDescent="0.35">
      <c r="B33" s="526" t="s">
        <v>396</v>
      </c>
      <c r="C33" s="186" t="s">
        <v>397</v>
      </c>
      <c r="D33" s="529" t="s">
        <v>398</v>
      </c>
      <c r="E33" s="392">
        <f>+'Estado Resultados'!C28/'Estado Resultados'!C8</f>
        <v>6.6979933523540092E-2</v>
      </c>
      <c r="F33" s="392">
        <f>+'Estado Resultados'!D28/'Estado Resultados'!D8</f>
        <v>6.1558769318965791E-2</v>
      </c>
      <c r="G33" s="392">
        <f>+'Estado Resultados'!E28/'Estado Resultados'!E8</f>
        <v>0.13572030034413762</v>
      </c>
      <c r="H33" s="392">
        <f>+'Estado Resultados'!F28/'Estado Resultados'!F8</f>
        <v>9.7353476395642929E-2</v>
      </c>
      <c r="I33" s="392">
        <f>+'Estado Resultados'!G28/'Estado Resultados'!G8</f>
        <v>4.3571400109061721E-2</v>
      </c>
      <c r="J33" s="392">
        <f>+'Estado Resultados'!H28/'Estado Resultados'!H8</f>
        <v>3.071808591680969E-2</v>
      </c>
      <c r="K33" s="392">
        <f>+'Estado Resultados'!I28/'Estado Resultados'!I8</f>
        <v>3.9120094165364529E-2</v>
      </c>
      <c r="L33" t="s">
        <v>222</v>
      </c>
    </row>
    <row r="34" spans="2:12" x14ac:dyDescent="0.35">
      <c r="B34" s="527"/>
      <c r="C34" s="186" t="s">
        <v>399</v>
      </c>
      <c r="D34" s="530"/>
      <c r="E34" s="399">
        <f>+'Estado Resultados'!C8/Balance!C36</f>
        <v>0.97821936911551444</v>
      </c>
      <c r="F34" s="399">
        <f>+'Estado Resultados'!D8/Balance!D36</f>
        <v>1.1136843228739435</v>
      </c>
      <c r="G34" s="399">
        <f>+'Estado Resultados'!E8/Balance!E36</f>
        <v>1.3498977487214192</v>
      </c>
      <c r="H34" s="399">
        <f>+'Estado Resultados'!F8/Balance!F36</f>
        <v>1.2302223409758302</v>
      </c>
      <c r="I34" s="399">
        <f>+'Estado Resultados'!G8/Balance!G36</f>
        <v>1.4597871537607652</v>
      </c>
      <c r="J34" s="399">
        <f>+'Estado Resultados'!H8/Balance!H36</f>
        <v>1.3033646915127552</v>
      </c>
      <c r="K34" s="399">
        <f>+'Estado Resultados'!I8/Balance!I36</f>
        <v>1.2050779753363938</v>
      </c>
      <c r="L34" t="s">
        <v>222</v>
      </c>
    </row>
    <row r="35" spans="2:12" x14ac:dyDescent="0.35">
      <c r="B35" s="528"/>
      <c r="C35" s="186" t="s">
        <v>400</v>
      </c>
      <c r="D35" s="531"/>
      <c r="E35" s="392">
        <f>+E34*E33</f>
        <v>6.5521068314796482E-2</v>
      </c>
      <c r="F35" s="392">
        <f t="shared" ref="F35:K35" si="2">+F34*F33</f>
        <v>6.8557036325945703E-2</v>
      </c>
      <c r="G35" s="392">
        <f t="shared" si="2"/>
        <v>0.18320852789034622</v>
      </c>
      <c r="H35" s="392">
        <f t="shared" si="2"/>
        <v>0.11976642163358307</v>
      </c>
      <c r="I35" s="392">
        <f t="shared" si="2"/>
        <v>6.3604970150578699E-2</v>
      </c>
      <c r="J35" s="392">
        <f t="shared" si="2"/>
        <v>4.0036868574824976E-2</v>
      </c>
      <c r="K35" s="392">
        <f t="shared" si="2"/>
        <v>4.7142763871766559E-2</v>
      </c>
      <c r="L35" t="s">
        <v>222</v>
      </c>
    </row>
    <row r="36" spans="2:12" ht="43.2" x14ac:dyDescent="0.35">
      <c r="B36" s="242" t="s">
        <v>401</v>
      </c>
      <c r="C36" s="240" t="s">
        <v>402</v>
      </c>
      <c r="D36" s="241" t="s">
        <v>403</v>
      </c>
      <c r="E36" s="390">
        <f>1-(Variables!D79/'Estados y analisis'!C83)</f>
        <v>1</v>
      </c>
      <c r="F36" s="390">
        <f>1-(Variables!E79/'Estados y analisis'!D83)</f>
        <v>1</v>
      </c>
      <c r="G36" s="390">
        <f>1-(Variables!F79/'Estados y analisis'!E83)</f>
        <v>1</v>
      </c>
      <c r="H36" s="390">
        <f>1-(Variables!G79/'Estados y analisis'!F83)</f>
        <v>1</v>
      </c>
      <c r="I36" s="390">
        <f>1-(Variables!H79/'Estados y analisis'!G83)</f>
        <v>1</v>
      </c>
      <c r="J36" s="390">
        <f>1-(Variables!I79/'Estados y analisis'!H83)</f>
        <v>1</v>
      </c>
      <c r="K36" s="390">
        <f>1-(618635/'Estados y analisis'!I83)</f>
        <v>0.16357137305024816</v>
      </c>
    </row>
    <row r="37" spans="2:12" s="266" customFormat="1" ht="86.4" x14ac:dyDescent="0.35">
      <c r="B37" s="242" t="s">
        <v>404</v>
      </c>
      <c r="C37" s="240" t="s">
        <v>405</v>
      </c>
      <c r="D37" s="241" t="s">
        <v>406</v>
      </c>
      <c r="E37" s="390">
        <f>(E24*E36)/(1-(E24*E36))</f>
        <v>0.23361317764944897</v>
      </c>
      <c r="F37" s="390">
        <f t="shared" ref="F37:K37" si="3">(F24*F36)/(1-(F24*F36))</f>
        <v>0.27772480146782991</v>
      </c>
      <c r="G37" s="390">
        <f t="shared" si="3"/>
        <v>0.77976140712028252</v>
      </c>
      <c r="H37" s="390">
        <f t="shared" si="3"/>
        <v>0.50327536093234848</v>
      </c>
      <c r="I37" s="390">
        <f t="shared" si="3"/>
        <v>0.33589570020521609</v>
      </c>
      <c r="J37" s="390">
        <f>(J24*J36)/(1-(J24*J36))</f>
        <v>0.28388547786339619</v>
      </c>
      <c r="K37" s="390">
        <f t="shared" si="3"/>
        <v>2.6099606489953648E-2</v>
      </c>
      <c r="L37" s="266" t="s">
        <v>222</v>
      </c>
    </row>
    <row r="38" spans="2:12" s="2" customFormat="1" ht="16.2" x14ac:dyDescent="0.35">
      <c r="C38" s="442"/>
      <c r="E38" s="396"/>
      <c r="F38" s="396"/>
      <c r="G38" s="396"/>
      <c r="H38" s="396"/>
      <c r="I38" s="396"/>
      <c r="J38" s="396"/>
      <c r="K38" s="396"/>
    </row>
    <row r="39" spans="2:12" s="2" customFormat="1" x14ac:dyDescent="0.35">
      <c r="E39" s="396"/>
      <c r="F39" s="396"/>
      <c r="G39" s="396"/>
      <c r="H39" s="396"/>
      <c r="I39" s="396"/>
      <c r="J39" s="396"/>
      <c r="K39" s="396"/>
      <c r="L39" s="2" t="s">
        <v>222</v>
      </c>
    </row>
    <row r="40" spans="2:12" s="2" customFormat="1" x14ac:dyDescent="0.35">
      <c r="E40" s="396">
        <f t="shared" ref="E40:K40" si="4">+E10</f>
        <v>2018</v>
      </c>
      <c r="F40" s="396">
        <f t="shared" si="4"/>
        <v>2019</v>
      </c>
      <c r="G40" s="396">
        <f t="shared" si="4"/>
        <v>2020</v>
      </c>
      <c r="H40" s="396">
        <f t="shared" si="4"/>
        <v>2021</v>
      </c>
      <c r="I40" s="396">
        <f t="shared" si="4"/>
        <v>2022</v>
      </c>
      <c r="J40" s="396">
        <f t="shared" si="4"/>
        <v>2023</v>
      </c>
      <c r="K40" s="396" t="str">
        <f t="shared" si="4"/>
        <v>REFERENTE</v>
      </c>
      <c r="L40" s="2" t="s">
        <v>222</v>
      </c>
    </row>
    <row r="41" spans="2:12" s="2" customFormat="1" x14ac:dyDescent="0.35">
      <c r="D41" s="2" t="s">
        <v>407</v>
      </c>
      <c r="E41" s="397">
        <f t="shared" ref="E41:K41" si="5">+E12</f>
        <v>0.10752713137788725</v>
      </c>
      <c r="F41" s="397">
        <f t="shared" si="5"/>
        <v>9.7518993939027576E-2</v>
      </c>
      <c r="G41" s="397">
        <f t="shared" si="5"/>
        <v>0.18451489724338158</v>
      </c>
      <c r="H41" s="397">
        <f t="shared" si="5"/>
        <v>0.12694984445744356</v>
      </c>
      <c r="I41" s="397">
        <f t="shared" si="5"/>
        <v>8.6155371638774361E-2</v>
      </c>
      <c r="J41" s="397">
        <f t="shared" si="5"/>
        <v>7.4757331857483289E-2</v>
      </c>
      <c r="K41" s="397">
        <f t="shared" si="5"/>
        <v>9.1406583661744423E-2</v>
      </c>
      <c r="L41" s="2" t="s">
        <v>222</v>
      </c>
    </row>
    <row r="42" spans="2:12" s="2" customFormat="1" x14ac:dyDescent="0.35">
      <c r="D42" s="2" t="s">
        <v>408</v>
      </c>
      <c r="E42" s="397">
        <f t="shared" ref="E42:K42" si="6">+E14</f>
        <v>6.6979933523540092E-2</v>
      </c>
      <c r="F42" s="397">
        <f t="shared" si="6"/>
        <v>6.1558769318965791E-2</v>
      </c>
      <c r="G42" s="397">
        <f t="shared" si="6"/>
        <v>0.13572030034413762</v>
      </c>
      <c r="H42" s="397">
        <f t="shared" si="6"/>
        <v>9.7353476395642929E-2</v>
      </c>
      <c r="I42" s="397">
        <f t="shared" si="6"/>
        <v>4.3571400109061721E-2</v>
      </c>
      <c r="J42" s="397">
        <f t="shared" si="6"/>
        <v>3.071808591680969E-2</v>
      </c>
      <c r="K42" s="397">
        <f t="shared" si="6"/>
        <v>3.9120094165364529E-2</v>
      </c>
      <c r="L42" s="2" t="s">
        <v>222</v>
      </c>
    </row>
    <row r="43" spans="2:12" s="2" customFormat="1" x14ac:dyDescent="0.35">
      <c r="D43" s="2" t="s">
        <v>375</v>
      </c>
      <c r="E43" s="397">
        <f t="shared" ref="E43:K43" si="7">+E26</f>
        <v>0.13351335640190501</v>
      </c>
      <c r="F43" s="397">
        <f t="shared" si="7"/>
        <v>0.11820433807286906</v>
      </c>
      <c r="G43" s="397">
        <f t="shared" si="7"/>
        <v>0.20277197252069432</v>
      </c>
      <c r="H43" s="397">
        <f t="shared" si="7"/>
        <v>0.13300149686870302</v>
      </c>
      <c r="I43" s="397">
        <f t="shared" si="7"/>
        <v>9.9004830019492285E-2</v>
      </c>
      <c r="J43" s="397">
        <f t="shared" si="7"/>
        <v>8.287624011960483E-2</v>
      </c>
      <c r="K43" s="397">
        <f t="shared" si="7"/>
        <v>9.1406583661744423E-2</v>
      </c>
      <c r="L43" s="2" t="s">
        <v>222</v>
      </c>
    </row>
    <row r="44" spans="2:12" s="2" customFormat="1" x14ac:dyDescent="0.35">
      <c r="E44" s="396"/>
      <c r="F44" s="396"/>
      <c r="G44" s="396"/>
      <c r="H44" s="396"/>
      <c r="I44" s="396"/>
      <c r="J44" s="396"/>
      <c r="K44" s="396"/>
      <c r="L44" s="2" t="s">
        <v>222</v>
      </c>
    </row>
    <row r="45" spans="2:12" s="2" customFormat="1" x14ac:dyDescent="0.35">
      <c r="E45" s="396">
        <f>+E40</f>
        <v>2018</v>
      </c>
      <c r="F45" s="396">
        <f>+F40</f>
        <v>2019</v>
      </c>
      <c r="G45" s="396">
        <f t="shared" ref="G45:K45" si="8">+G40</f>
        <v>2020</v>
      </c>
      <c r="H45" s="396">
        <f t="shared" si="8"/>
        <v>2021</v>
      </c>
      <c r="I45" s="396">
        <f t="shared" si="8"/>
        <v>2022</v>
      </c>
      <c r="J45" s="396">
        <f t="shared" si="8"/>
        <v>2023</v>
      </c>
      <c r="K45" s="396" t="str">
        <f t="shared" si="8"/>
        <v>REFERENTE</v>
      </c>
      <c r="L45" s="2" t="s">
        <v>222</v>
      </c>
    </row>
    <row r="46" spans="2:12" s="2" customFormat="1" x14ac:dyDescent="0.35">
      <c r="D46" s="2" t="s">
        <v>409</v>
      </c>
      <c r="E46" s="398">
        <f>+Variables!D80</f>
        <v>0.1</v>
      </c>
      <c r="F46" s="398">
        <f>+Variables!E80</f>
        <v>0.1</v>
      </c>
      <c r="G46" s="398">
        <f>+Variables!F80</f>
        <v>0.1</v>
      </c>
      <c r="H46" s="398">
        <f>+Variables!G80</f>
        <v>0.1</v>
      </c>
      <c r="I46" s="398">
        <f>+Variables!H80</f>
        <v>0.1</v>
      </c>
      <c r="J46" s="398">
        <f>+Variables!I80</f>
        <v>0.1</v>
      </c>
      <c r="K46" s="398">
        <f>+Variables!J80</f>
        <v>0</v>
      </c>
    </row>
    <row r="47" spans="2:12" s="2" customFormat="1" x14ac:dyDescent="0.35">
      <c r="D47" s="2" t="s">
        <v>410</v>
      </c>
      <c r="E47" s="397">
        <f>+E24</f>
        <v>0.18937312107396595</v>
      </c>
      <c r="F47" s="397">
        <f t="shared" ref="F47:K47" si="9">+F24</f>
        <v>0.21735885626449769</v>
      </c>
      <c r="G47" s="397">
        <f t="shared" si="9"/>
        <v>0.43812693319491869</v>
      </c>
      <c r="H47" s="397">
        <f t="shared" si="9"/>
        <v>0.33478587756551226</v>
      </c>
      <c r="I47" s="397">
        <f t="shared" si="9"/>
        <v>0.25143856676357057</v>
      </c>
      <c r="J47" s="397">
        <f t="shared" si="9"/>
        <v>0.22111433048984236</v>
      </c>
      <c r="K47" s="397">
        <f t="shared" si="9"/>
        <v>0.1555024153500506</v>
      </c>
    </row>
    <row r="48" spans="2:12" s="2" customFormat="1" x14ac:dyDescent="0.35">
      <c r="D48" s="2" t="s">
        <v>411</v>
      </c>
      <c r="E48" s="397">
        <f>+E23</f>
        <v>0.17331522785552009</v>
      </c>
      <c r="F48" s="397">
        <f t="shared" ref="F48:K48" si="10">+F23</f>
        <v>0.26478657642630543</v>
      </c>
      <c r="G48" s="397">
        <f t="shared" si="10"/>
        <v>0.6049009189912109</v>
      </c>
      <c r="H48" s="397">
        <f t="shared" si="10"/>
        <v>0.48619379926048495</v>
      </c>
      <c r="I48" s="397">
        <f t="shared" si="10"/>
        <v>0.45046421912508167</v>
      </c>
      <c r="J48" s="397">
        <f t="shared" si="10"/>
        <v>0.24507596856164127</v>
      </c>
      <c r="K48" s="397">
        <f t="shared" si="10"/>
        <v>0.43899413518746211</v>
      </c>
    </row>
    <row r="49" spans="4:11" s="2" customFormat="1" x14ac:dyDescent="0.35">
      <c r="D49" s="2" t="s">
        <v>412</v>
      </c>
      <c r="E49" s="397">
        <f>+'Costo capital'!D73</f>
        <v>6.7464166948661683E-2</v>
      </c>
      <c r="F49" s="397">
        <f>+'Costo capital'!E73</f>
        <v>6.6926695934903371E-2</v>
      </c>
      <c r="G49" s="397">
        <f>+'Costo capital'!F73</f>
        <v>7.2465300743290245E-2</v>
      </c>
      <c r="H49" s="397">
        <f>+'Costo capital'!G73</f>
        <v>6.7353350303357734E-2</v>
      </c>
      <c r="I49" s="397">
        <f>+'Costo capital'!H73</f>
        <v>7.1053853880534895E-2</v>
      </c>
      <c r="J49" s="397">
        <f>+'Costo capital'!I73</f>
        <v>6.2727517117026996E-2</v>
      </c>
      <c r="K49" s="397">
        <f>+'Costo capital'!J73</f>
        <v>0</v>
      </c>
    </row>
    <row r="50" spans="4:11" s="2" customFormat="1" x14ac:dyDescent="0.35">
      <c r="E50" s="396"/>
      <c r="F50" s="396"/>
      <c r="G50" s="396"/>
      <c r="H50" s="396"/>
      <c r="I50" s="396"/>
      <c r="J50" s="396"/>
      <c r="K50" s="396"/>
    </row>
    <row r="51" spans="4:11" s="2" customFormat="1" x14ac:dyDescent="0.35">
      <c r="E51" s="397"/>
      <c r="F51" s="397"/>
      <c r="G51" s="397"/>
      <c r="H51" s="397"/>
      <c r="I51" s="397"/>
      <c r="J51" s="397"/>
      <c r="K51" s="397"/>
    </row>
  </sheetData>
  <sheetProtection selectLockedCells="1" selectUnlockedCells="1"/>
  <mergeCells count="4">
    <mergeCell ref="B3:K3"/>
    <mergeCell ref="B4:K4"/>
    <mergeCell ref="B33:B35"/>
    <mergeCell ref="D33:D35"/>
  </mergeCells>
  <printOptions horizontalCentered="1"/>
  <pageMargins left="0.70866141732283472" right="0.31496062992125984" top="0.48" bottom="0.43307086614173229" header="0" footer="0"/>
  <pageSetup scale="75"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CB96-4F51-4843-AA17-533FDCDDD9F2}">
  <sheetPr codeName="Hoja14"/>
  <dimension ref="A2:R110"/>
  <sheetViews>
    <sheetView showGridLines="0" topLeftCell="A31" zoomScale="110" zoomScaleNormal="110" workbookViewId="0">
      <selection activeCell="D33" sqref="D33"/>
    </sheetView>
  </sheetViews>
  <sheetFormatPr baseColWidth="10" defaultColWidth="0" defaultRowHeight="14.4" x14ac:dyDescent="0.35"/>
  <cols>
    <col min="1" max="1" width="11.5546875" customWidth="1"/>
    <col min="2" max="2" width="22.44140625" bestFit="1" customWidth="1"/>
    <col min="3" max="3" width="31.33203125" bestFit="1" customWidth="1"/>
    <col min="4" max="7" width="22.33203125" bestFit="1" customWidth="1"/>
    <col min="8" max="8" width="11.5546875" customWidth="1"/>
    <col min="9" max="18" width="0" hidden="1" customWidth="1"/>
    <col min="19" max="16384" width="11.5546875" hidden="1"/>
  </cols>
  <sheetData>
    <row r="2" spans="2:18" ht="28.8" x14ac:dyDescent="0.55000000000000004">
      <c r="B2" s="532" t="str">
        <f>+Rentabilidad!B3</f>
        <v>K-LISTO</v>
      </c>
      <c r="C2" s="532"/>
      <c r="D2" s="532"/>
      <c r="E2" s="532"/>
      <c r="F2" s="532"/>
      <c r="G2" s="532"/>
    </row>
    <row r="3" spans="2:18" x14ac:dyDescent="0.35">
      <c r="B3" s="533" t="s">
        <v>413</v>
      </c>
      <c r="C3" s="533"/>
      <c r="D3" s="533"/>
      <c r="E3" s="533"/>
      <c r="F3" s="533"/>
      <c r="G3" s="533"/>
    </row>
    <row r="6" spans="2:18" x14ac:dyDescent="0.35">
      <c r="B6" t="s">
        <v>414</v>
      </c>
      <c r="C6" s="165">
        <v>2019</v>
      </c>
      <c r="D6" s="165">
        <v>2020</v>
      </c>
      <c r="E6" s="165">
        <v>2021</v>
      </c>
      <c r="F6" s="165">
        <v>2022</v>
      </c>
      <c r="G6" s="165">
        <v>2023</v>
      </c>
      <c r="H6" s="165" t="s">
        <v>415</v>
      </c>
    </row>
    <row r="7" spans="2:18" x14ac:dyDescent="0.35">
      <c r="B7" t="s">
        <v>416</v>
      </c>
      <c r="C7" s="443">
        <f>+'Estados y analisis'!R71</f>
        <v>0.33819435941394621</v>
      </c>
      <c r="D7" s="443">
        <f>+'Estados y analisis'!T71</f>
        <v>0.63926163060471719</v>
      </c>
      <c r="E7" s="443">
        <f>+'Estados y analisis'!V71</f>
        <v>0.17934802159793922</v>
      </c>
      <c r="F7" s="443">
        <f>+'Estados y analisis'!X71</f>
        <v>0.28184987993023786</v>
      </c>
      <c r="G7" s="443">
        <f>+'Estados y analisis'!Z71</f>
        <v>0.18984067021757955</v>
      </c>
      <c r="H7" s="444">
        <f>AVERAGE(E7:G7)</f>
        <v>0.21701285724858554</v>
      </c>
      <c r="J7" s="55"/>
      <c r="L7" s="55"/>
      <c r="M7" s="55"/>
      <c r="N7" s="55"/>
      <c r="O7" s="55"/>
      <c r="P7" s="55"/>
      <c r="Q7" s="55"/>
      <c r="R7" s="55"/>
    </row>
    <row r="8" spans="2:18" x14ac:dyDescent="0.35">
      <c r="B8" t="s">
        <v>417</v>
      </c>
      <c r="C8" s="443">
        <f>+Rentabilidad!F37</f>
        <v>0.27772480146782991</v>
      </c>
      <c r="D8" s="443">
        <f>+Rentabilidad!G37</f>
        <v>0.77976140712028252</v>
      </c>
      <c r="E8" s="443">
        <f>+Rentabilidad!H37</f>
        <v>0.50327536093234848</v>
      </c>
      <c r="F8" s="443">
        <f>+Rentabilidad!I37</f>
        <v>0.33589570020521609</v>
      </c>
      <c r="G8" s="443">
        <f>+Rentabilidad!J37</f>
        <v>0.28388547786339619</v>
      </c>
      <c r="H8" s="444">
        <f>AVERAGE(E8:G8)</f>
        <v>0.37435217966698692</v>
      </c>
    </row>
    <row r="9" spans="2:18" x14ac:dyDescent="0.35">
      <c r="B9" t="s">
        <v>418</v>
      </c>
      <c r="C9" t="str">
        <f>IF(C8&gt;C7,"Potencial de Crecimiento","Alteración de Estructura de Capital")</f>
        <v>Alteración de Estructura de Capital</v>
      </c>
      <c r="D9" t="str">
        <f>IF(D8&gt;D7,"Potencial de Crecimiento","Alteración de Estructura de Capital")</f>
        <v>Potencial de Crecimiento</v>
      </c>
      <c r="E9" t="str">
        <f t="shared" ref="E9:G9" si="0">IF(E8&gt;E7,"Potencial de Crecimiento","Alteración de Estructura de Capital")</f>
        <v>Potencial de Crecimiento</v>
      </c>
      <c r="F9" t="str">
        <f t="shared" si="0"/>
        <v>Potencial de Crecimiento</v>
      </c>
      <c r="G9" t="str">
        <f t="shared" si="0"/>
        <v>Potencial de Crecimiento</v>
      </c>
    </row>
    <row r="17" customFormat="1" x14ac:dyDescent="0.35"/>
    <row r="18" customFormat="1" x14ac:dyDescent="0.35"/>
    <row r="19" customFormat="1" x14ac:dyDescent="0.35"/>
    <row r="20" customFormat="1" x14ac:dyDescent="0.35"/>
    <row r="21" customFormat="1" x14ac:dyDescent="0.35"/>
    <row r="22" customFormat="1" x14ac:dyDescent="0.35"/>
    <row r="23" customFormat="1" x14ac:dyDescent="0.35"/>
    <row r="24" customFormat="1" x14ac:dyDescent="0.35"/>
    <row r="25" customFormat="1" x14ac:dyDescent="0.35"/>
    <row r="26" customFormat="1" x14ac:dyDescent="0.35"/>
    <row r="27" customFormat="1" x14ac:dyDescent="0.35"/>
    <row r="28" customFormat="1" x14ac:dyDescent="0.35"/>
    <row r="29" customFormat="1" x14ac:dyDescent="0.35"/>
    <row r="30" customFormat="1" x14ac:dyDescent="0.35"/>
    <row r="31" customFormat="1" x14ac:dyDescent="0.35"/>
    <row r="32" customFormat="1" x14ac:dyDescent="0.35"/>
    <row r="36" spans="2:7" x14ac:dyDescent="0.35">
      <c r="B36" t="s">
        <v>414</v>
      </c>
      <c r="C36" s="165">
        <v>2019</v>
      </c>
      <c r="D36" s="165">
        <v>2020</v>
      </c>
      <c r="E36" s="165">
        <v>2021</v>
      </c>
      <c r="F36" s="165">
        <v>2022</v>
      </c>
      <c r="G36" s="165">
        <v>2023</v>
      </c>
    </row>
    <row r="37" spans="2:7" x14ac:dyDescent="0.35">
      <c r="B37" t="s">
        <v>416</v>
      </c>
      <c r="C37" s="443">
        <f>+C7</f>
        <v>0.33819435941394621</v>
      </c>
      <c r="D37" s="443">
        <f t="shared" ref="D37:G37" si="1">+D7</f>
        <v>0.63926163060471719</v>
      </c>
      <c r="E37" s="443">
        <f t="shared" si="1"/>
        <v>0.17934802159793922</v>
      </c>
      <c r="F37" s="443">
        <f t="shared" si="1"/>
        <v>0.28184987993023786</v>
      </c>
      <c r="G37" s="443">
        <f t="shared" si="1"/>
        <v>0.18984067021757955</v>
      </c>
    </row>
    <row r="38" spans="2:7" x14ac:dyDescent="0.35">
      <c r="B38" t="s">
        <v>419</v>
      </c>
      <c r="C38" s="443">
        <f>+Rentabilidad!F23-'Costo capital'!E73</f>
        <v>0.19785988049140207</v>
      </c>
      <c r="D38" s="443">
        <f>+Rentabilidad!G23-'Costo capital'!F73</f>
        <v>0.53243561824792063</v>
      </c>
      <c r="E38" s="443">
        <f>+Rentabilidad!H23-'Costo capital'!G73</f>
        <v>0.41884044895712724</v>
      </c>
      <c r="F38" s="443">
        <f>+Rentabilidad!I23-'Costo capital'!H73</f>
        <v>0.37941036524454674</v>
      </c>
      <c r="G38" s="443">
        <f>+Rentabilidad!J23-'Costo capital'!I73</f>
        <v>0.18234845144461426</v>
      </c>
    </row>
    <row r="39" spans="2:7" x14ac:dyDescent="0.35">
      <c r="B39" t="s">
        <v>418</v>
      </c>
      <c r="C39" s="165" t="str">
        <f>IF(AND(C37&gt;0,C38&gt;0),$E$44,IF(AND(C37&gt;0,C38&lt;0),$E$46,IF(AND(C37&lt;0,C38&gt;0),$E$45,$E$47)))</f>
        <v>Crea Valor</v>
      </c>
      <c r="D39" s="165" t="str">
        <f>IF(AND(D37&gt;0,D38&gt;0),$E$44,IF(AND(D37&gt;0,D38&lt;0),$E$46,IF(AND(D37&lt;0,D38&gt;0),$E$45,$E$47)))</f>
        <v>Crea Valor</v>
      </c>
      <c r="E39" s="165" t="str">
        <f>IF(AND(E37&gt;0,E38&gt;0),$E$44,IF(AND(E37&gt;0,E38&lt;0),$E$46,IF(AND(E37&lt;0,E38&gt;0),$E$45,$E$47)))</f>
        <v>Crea Valor</v>
      </c>
      <c r="F39" s="165" t="str">
        <f>IF(AND(F37&gt;0,F38&gt;0),$E$44,IF(AND(F37&gt;0,F38&lt;0),$E$46,IF(AND(F37&lt;0,F38&gt;0),$E$45,$E$47)))</f>
        <v>Crea Valor</v>
      </c>
      <c r="G39" s="165" t="str">
        <f>IF(AND(G37&gt;0,G38&gt;0),$E$44,IF(AND(G37&gt;0,G38&lt;0),$E$46,IF(AND(G37&lt;0,G38&gt;0),$E$45,$E$47)))</f>
        <v>Crea Valor</v>
      </c>
    </row>
    <row r="43" spans="2:7" x14ac:dyDescent="0.35">
      <c r="C43" s="259" t="s">
        <v>420</v>
      </c>
      <c r="D43" t="s">
        <v>419</v>
      </c>
      <c r="E43" t="s">
        <v>421</v>
      </c>
    </row>
    <row r="44" spans="2:7" x14ac:dyDescent="0.35">
      <c r="C44" s="259" t="s">
        <v>422</v>
      </c>
      <c r="D44" t="s">
        <v>422</v>
      </c>
      <c r="E44" t="s">
        <v>423</v>
      </c>
    </row>
    <row r="45" spans="2:7" x14ac:dyDescent="0.35">
      <c r="C45" s="259" t="s">
        <v>424</v>
      </c>
      <c r="D45" t="s">
        <v>422</v>
      </c>
      <c r="E45" t="s">
        <v>425</v>
      </c>
    </row>
    <row r="46" spans="2:7" x14ac:dyDescent="0.35">
      <c r="C46" s="259" t="s">
        <v>422</v>
      </c>
      <c r="D46" t="s">
        <v>424</v>
      </c>
      <c r="E46" t="s">
        <v>426</v>
      </c>
    </row>
    <row r="47" spans="2:7" x14ac:dyDescent="0.35">
      <c r="C47" s="259" t="s">
        <v>424</v>
      </c>
      <c r="D47" t="s">
        <v>424</v>
      </c>
      <c r="E47" t="s">
        <v>427</v>
      </c>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97" spans="4:6" x14ac:dyDescent="0.35">
      <c r="D97" s="259" t="s">
        <v>428</v>
      </c>
      <c r="E97" s="165">
        <v>1000</v>
      </c>
    </row>
    <row r="99" spans="4:6" x14ac:dyDescent="0.35">
      <c r="D99" s="259" t="s">
        <v>429</v>
      </c>
      <c r="E99" s="165">
        <f>+F99*E100</f>
        <v>0</v>
      </c>
      <c r="F99" s="448">
        <v>0</v>
      </c>
    </row>
    <row r="100" spans="4:6" x14ac:dyDescent="0.35">
      <c r="D100" s="259" t="s">
        <v>430</v>
      </c>
      <c r="E100" s="165">
        <f>100*(1+F100)</f>
        <v>50</v>
      </c>
      <c r="F100" s="448">
        <v>-0.5</v>
      </c>
    </row>
    <row r="101" spans="4:6" x14ac:dyDescent="0.35">
      <c r="E101" s="165"/>
    </row>
    <row r="102" spans="4:6" x14ac:dyDescent="0.35">
      <c r="E102" s="445"/>
    </row>
    <row r="103" spans="4:6" x14ac:dyDescent="0.35">
      <c r="D103" s="259"/>
      <c r="E103" s="443">
        <v>0.1</v>
      </c>
    </row>
    <row r="104" spans="4:6" x14ac:dyDescent="0.35">
      <c r="D104" s="259" t="s">
        <v>431</v>
      </c>
      <c r="E104" s="449">
        <f>+E100/E97</f>
        <v>0.05</v>
      </c>
      <c r="F104" s="448">
        <f>(E104-E103)/E103</f>
        <v>-0.5</v>
      </c>
    </row>
    <row r="105" spans="4:6" x14ac:dyDescent="0.35">
      <c r="D105" s="259"/>
      <c r="E105" s="165"/>
    </row>
    <row r="106" spans="4:6" x14ac:dyDescent="0.35">
      <c r="D106" s="259" t="s">
        <v>432</v>
      </c>
      <c r="E106" s="447">
        <f>1-(E99/E100)</f>
        <v>1</v>
      </c>
    </row>
    <row r="109" spans="4:6" x14ac:dyDescent="0.35">
      <c r="E109" s="446">
        <v>0.10497237569060773</v>
      </c>
    </row>
    <row r="110" spans="4:6" x14ac:dyDescent="0.35">
      <c r="D110" s="259" t="s">
        <v>417</v>
      </c>
      <c r="E110" s="446">
        <f>(E104*E106)/(1-(E104*E106))</f>
        <v>5.2631578947368425E-2</v>
      </c>
      <c r="F110" s="444">
        <f>(E110-E109)/E109</f>
        <v>-0.49861495844875342</v>
      </c>
    </row>
  </sheetData>
  <mergeCells count="2">
    <mergeCell ref="B2:G2"/>
    <mergeCell ref="B3:G3"/>
  </mergeCells>
  <conditionalFormatting sqref="C9:G9">
    <cfRule type="containsText" dxfId="112" priority="11" operator="containsText" text="pot">
      <formula>NOT(ISERROR(SEARCH("pot",C9)))</formula>
    </cfRule>
    <cfRule type="containsText" dxfId="111" priority="12" operator="containsText" text="alt">
      <formula>NOT(ISERROR(SEARCH("alt",C9)))</formula>
    </cfRule>
  </conditionalFormatting>
  <conditionalFormatting sqref="C39:G39">
    <cfRule type="containsText" dxfId="110" priority="3" operator="containsText" text="resguarda">
      <formula>NOT(ISERROR(SEARCH("resguarda",C39)))</formula>
    </cfRule>
    <cfRule type="containsText" dxfId="109" priority="4" operator="containsText" text="limita">
      <formula>NOT(ISERROR(SEARCH("limita",C39)))</formula>
    </cfRule>
    <cfRule type="containsText" dxfId="108" priority="5" operator="containsText" text="destruye">
      <formula>NOT(ISERROR(SEARCH("destruye",C39)))</formula>
    </cfRule>
    <cfRule type="containsText" dxfId="107" priority="6" operator="containsText" text="crea">
      <formula>NOT(ISERROR(SEARCH("crea",C39)))</formula>
    </cfRule>
  </conditionalFormatting>
  <conditionalFormatting sqref="H9">
    <cfRule type="containsText" dxfId="106" priority="1" operator="containsText" text="pot">
      <formula>NOT(ISERROR(SEARCH("pot",H9)))</formula>
    </cfRule>
    <cfRule type="containsText" dxfId="105" priority="2" operator="containsText" text="alt">
      <formula>NOT(ISERROR(SEARCH("alt",H9)))</formula>
    </cfRule>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5"/>
  <dimension ref="A1:Q94"/>
  <sheetViews>
    <sheetView workbookViewId="0">
      <selection activeCell="C24" sqref="C24"/>
    </sheetView>
  </sheetViews>
  <sheetFormatPr baseColWidth="10" defaultColWidth="0" defaultRowHeight="14.4" zeroHeight="1" x14ac:dyDescent="0.35"/>
  <cols>
    <col min="1" max="1" width="1.33203125" customWidth="1"/>
    <col min="2" max="2" width="45.5546875" customWidth="1"/>
    <col min="3" max="3" width="45.44140625" bestFit="1" customWidth="1"/>
    <col min="4" max="4" width="14.5546875" bestFit="1" customWidth="1"/>
    <col min="5" max="6" width="15.33203125" bestFit="1" customWidth="1"/>
    <col min="7" max="9" width="15.33203125" customWidth="1"/>
    <col min="10" max="10" width="15.33203125" bestFit="1" customWidth="1"/>
    <col min="11" max="11" width="4.5546875" customWidth="1"/>
    <col min="12" max="12" width="18.6640625" hidden="1" customWidth="1"/>
    <col min="13" max="13" width="11.44140625" hidden="1" customWidth="1"/>
    <col min="14" max="14" width="15.5546875" hidden="1" customWidth="1"/>
    <col min="15" max="15" width="15.33203125" hidden="1" customWidth="1"/>
    <col min="16" max="17" width="15.5546875" hidden="1" customWidth="1"/>
    <col min="18" max="16384" width="11.44140625" hidden="1"/>
  </cols>
  <sheetData>
    <row r="1" spans="1:11" x14ac:dyDescent="0.35"/>
    <row r="2" spans="1:11" x14ac:dyDescent="0.35"/>
    <row r="3" spans="1:11" ht="22.2" x14ac:dyDescent="0.45">
      <c r="A3" s="2"/>
      <c r="B3" s="472" t="str">
        <f>+Endeudamiento!B3</f>
        <v>K-LISTO</v>
      </c>
      <c r="C3" s="473"/>
      <c r="D3" s="473"/>
      <c r="E3" s="473"/>
      <c r="F3" s="473"/>
      <c r="G3" s="473"/>
      <c r="H3" s="473"/>
      <c r="I3" s="473"/>
      <c r="J3" s="474"/>
    </row>
    <row r="4" spans="1:11" ht="22.2" x14ac:dyDescent="0.45">
      <c r="A4" s="2"/>
      <c r="B4" s="495" t="s">
        <v>433</v>
      </c>
      <c r="C4" s="496"/>
      <c r="D4" s="496"/>
      <c r="E4" s="496"/>
      <c r="F4" s="496"/>
      <c r="G4" s="496"/>
      <c r="H4" s="496"/>
      <c r="I4" s="496"/>
      <c r="J4" s="525"/>
    </row>
    <row r="5" spans="1:11" x14ac:dyDescent="0.35">
      <c r="A5" s="2"/>
      <c r="B5" s="160"/>
      <c r="C5" s="14"/>
      <c r="D5" s="14"/>
      <c r="E5" s="14"/>
      <c r="F5" s="14"/>
      <c r="G5" s="14"/>
      <c r="H5" s="14"/>
      <c r="I5" s="14"/>
      <c r="J5" s="161"/>
    </row>
    <row r="6" spans="1:11" hidden="1" x14ac:dyDescent="0.35">
      <c r="B6" s="38" t="s">
        <v>434</v>
      </c>
      <c r="C6" s="39"/>
      <c r="D6" s="39"/>
      <c r="E6" s="39"/>
      <c r="F6" s="39"/>
      <c r="G6" s="39"/>
      <c r="H6" s="39"/>
      <c r="I6" s="39"/>
      <c r="J6" s="39"/>
      <c r="K6" t="s">
        <v>222</v>
      </c>
    </row>
    <row r="7" spans="1:11" hidden="1" x14ac:dyDescent="0.35">
      <c r="B7" s="34"/>
      <c r="C7" s="35"/>
      <c r="D7" s="35"/>
      <c r="E7" s="35"/>
      <c r="F7" s="35"/>
      <c r="G7" s="35"/>
      <c r="H7" s="35"/>
      <c r="I7" s="35"/>
      <c r="J7" s="35"/>
      <c r="K7" t="s">
        <v>222</v>
      </c>
    </row>
    <row r="8" spans="1:11" hidden="1" x14ac:dyDescent="0.35">
      <c r="B8" s="34"/>
      <c r="C8" s="35"/>
      <c r="D8" s="35"/>
      <c r="E8" s="35"/>
      <c r="F8" s="35"/>
      <c r="G8" s="35"/>
      <c r="H8" s="35"/>
      <c r="I8" s="35"/>
      <c r="J8" s="35"/>
      <c r="K8" t="s">
        <v>222</v>
      </c>
    </row>
    <row r="9" spans="1:11" hidden="1" x14ac:dyDescent="0.35">
      <c r="B9" s="34"/>
      <c r="C9" s="35"/>
      <c r="D9" s="35"/>
      <c r="E9" s="35"/>
      <c r="F9" s="35"/>
      <c r="G9" s="35"/>
      <c r="H9" s="35"/>
      <c r="I9" s="35"/>
      <c r="J9" s="35"/>
      <c r="K9" t="s">
        <v>222</v>
      </c>
    </row>
    <row r="10" spans="1:11" hidden="1" x14ac:dyDescent="0.35">
      <c r="B10" s="34"/>
      <c r="C10" s="35"/>
      <c r="D10" s="35"/>
      <c r="E10" s="35"/>
      <c r="F10" s="35"/>
      <c r="G10" s="35"/>
      <c r="H10" s="35"/>
      <c r="I10" s="35"/>
      <c r="J10" s="35"/>
      <c r="K10" t="s">
        <v>222</v>
      </c>
    </row>
    <row r="11" spans="1:11" hidden="1" x14ac:dyDescent="0.35">
      <c r="B11" s="34"/>
      <c r="C11" s="35"/>
      <c r="D11" s="35"/>
      <c r="E11" s="35"/>
      <c r="F11" s="35"/>
      <c r="G11" s="35"/>
      <c r="H11" s="35"/>
      <c r="I11" s="35"/>
      <c r="J11" s="35"/>
      <c r="K11" t="s">
        <v>222</v>
      </c>
    </row>
    <row r="12" spans="1:11" hidden="1" x14ac:dyDescent="0.35">
      <c r="B12" s="34"/>
      <c r="C12" s="35"/>
      <c r="D12" s="35"/>
      <c r="E12" s="35"/>
      <c r="F12" s="35"/>
      <c r="G12" s="35"/>
      <c r="H12" s="35"/>
      <c r="I12" s="35"/>
      <c r="J12" s="35"/>
      <c r="K12" t="s">
        <v>222</v>
      </c>
    </row>
    <row r="13" spans="1:11" hidden="1" x14ac:dyDescent="0.35">
      <c r="B13" s="34"/>
      <c r="C13" s="35"/>
      <c r="D13" s="35"/>
      <c r="E13" s="35"/>
      <c r="F13" s="35"/>
      <c r="G13" s="35"/>
      <c r="H13" s="35"/>
      <c r="I13" s="35"/>
      <c r="J13" s="35"/>
      <c r="K13" t="s">
        <v>222</v>
      </c>
    </row>
    <row r="14" spans="1:11" hidden="1" x14ac:dyDescent="0.35">
      <c r="B14" s="34"/>
      <c r="C14" s="35"/>
      <c r="D14" s="35"/>
      <c r="E14" s="35"/>
      <c r="F14" s="35"/>
      <c r="G14" s="35"/>
      <c r="H14" s="35"/>
      <c r="I14" s="35"/>
      <c r="J14" s="35"/>
      <c r="K14" t="s">
        <v>222</v>
      </c>
    </row>
    <row r="15" spans="1:11" hidden="1" x14ac:dyDescent="0.35">
      <c r="B15" s="36"/>
      <c r="C15" s="37"/>
      <c r="D15" s="37"/>
      <c r="E15" s="37"/>
      <c r="F15" s="37"/>
      <c r="G15" s="37"/>
      <c r="H15" s="37"/>
      <c r="I15" s="37"/>
      <c r="J15" s="37"/>
      <c r="K15" t="s">
        <v>222</v>
      </c>
    </row>
    <row r="16" spans="1:11" hidden="1" x14ac:dyDescent="0.35">
      <c r="B16" s="534"/>
      <c r="C16" s="535"/>
      <c r="D16" s="535"/>
      <c r="E16" s="535"/>
      <c r="F16" s="535"/>
      <c r="G16" s="535"/>
      <c r="H16" s="535"/>
      <c r="I16" s="535"/>
      <c r="J16" s="536"/>
    </row>
    <row r="17" spans="2:11" hidden="1" x14ac:dyDescent="0.35">
      <c r="B17" s="537"/>
      <c r="C17" s="538"/>
      <c r="D17" s="538"/>
      <c r="E17" s="538"/>
      <c r="F17" s="538"/>
      <c r="G17" s="538"/>
      <c r="H17" s="538"/>
      <c r="I17" s="538"/>
      <c r="J17" s="539"/>
    </row>
    <row r="18" spans="2:11" hidden="1" x14ac:dyDescent="0.35">
      <c r="B18" s="537"/>
      <c r="C18" s="538"/>
      <c r="D18" s="538"/>
      <c r="E18" s="538"/>
      <c r="F18" s="538"/>
      <c r="G18" s="538"/>
      <c r="H18" s="538"/>
      <c r="I18" s="538"/>
      <c r="J18" s="539"/>
    </row>
    <row r="19" spans="2:11" hidden="1" x14ac:dyDescent="0.35">
      <c r="B19" s="537"/>
      <c r="C19" s="538"/>
      <c r="D19" s="538"/>
      <c r="E19" s="538"/>
      <c r="F19" s="538"/>
      <c r="G19" s="538"/>
      <c r="H19" s="538"/>
      <c r="I19" s="538"/>
      <c r="J19" s="539"/>
    </row>
    <row r="20" spans="2:11" hidden="1" x14ac:dyDescent="0.35">
      <c r="B20" s="540"/>
      <c r="C20" s="541"/>
      <c r="D20" s="541"/>
      <c r="E20" s="541"/>
      <c r="F20" s="541"/>
      <c r="G20" s="541"/>
      <c r="H20" s="541"/>
      <c r="I20" s="541"/>
      <c r="J20" s="542"/>
    </row>
    <row r="21" spans="2:11" x14ac:dyDescent="0.35">
      <c r="B21" s="245" t="s">
        <v>435</v>
      </c>
      <c r="C21" s="245" t="s">
        <v>274</v>
      </c>
      <c r="D21" s="245">
        <f>+Rentabilidad!E10</f>
        <v>2018</v>
      </c>
      <c r="E21" s="245">
        <f>+Rentabilidad!F10</f>
        <v>2019</v>
      </c>
      <c r="F21" s="245">
        <f>+Rentabilidad!G10</f>
        <v>2020</v>
      </c>
      <c r="G21" s="245">
        <f>+Rentabilidad!H10</f>
        <v>2021</v>
      </c>
      <c r="H21" s="245">
        <f>+Rentabilidad!I10</f>
        <v>2022</v>
      </c>
      <c r="I21" s="245">
        <f>+Rentabilidad!J10</f>
        <v>2023</v>
      </c>
      <c r="J21" s="245" t="str">
        <f>+Rentabilidad!K10</f>
        <v>REFERENTE</v>
      </c>
      <c r="K21" t="s">
        <v>222</v>
      </c>
    </row>
    <row r="22" spans="2:11" x14ac:dyDescent="0.35">
      <c r="B22" s="47"/>
      <c r="C22" s="12"/>
      <c r="D22" s="13"/>
      <c r="E22" s="13"/>
      <c r="F22" s="13"/>
      <c r="G22" s="13"/>
      <c r="H22" s="13"/>
      <c r="I22" s="13"/>
      <c r="J22" s="13"/>
    </row>
    <row r="23" spans="2:11" x14ac:dyDescent="0.35">
      <c r="B23" s="47" t="str">
        <f>+Balance!B41</f>
        <v>Obligaciones financieras corto plazo</v>
      </c>
      <c r="C23" s="12" t="s">
        <v>436</v>
      </c>
      <c r="D23" s="13">
        <f>+Balance!C41</f>
        <v>648007781.69999993</v>
      </c>
      <c r="E23" s="13">
        <f>+Balance!D41</f>
        <v>962289205.79999995</v>
      </c>
      <c r="F23" s="13">
        <f>+Balance!E41</f>
        <v>1020512059.1999999</v>
      </c>
      <c r="G23" s="13">
        <f>+Balance!F41</f>
        <v>1500739095.5999999</v>
      </c>
      <c r="H23" s="13">
        <f>+Balance!G41</f>
        <v>1708600917.8999999</v>
      </c>
      <c r="I23" s="13">
        <f>+Balance!H41</f>
        <v>2153595665.4000001</v>
      </c>
      <c r="J23" s="13">
        <f>+Balance!I41</f>
        <v>757726.87</v>
      </c>
      <c r="K23" t="s">
        <v>222</v>
      </c>
    </row>
    <row r="24" spans="2:11" x14ac:dyDescent="0.35">
      <c r="B24" s="47"/>
      <c r="C24" s="12" t="s">
        <v>437</v>
      </c>
      <c r="D24" s="77">
        <f>+D23/D$71</f>
        <v>7.2344139464076238E-2</v>
      </c>
      <c r="E24" s="77">
        <f>+E23/E$71</f>
        <v>9.1397728336617801E-2</v>
      </c>
      <c r="F24" s="77">
        <f t="shared" ref="F24" si="0">+F23/F$71</f>
        <v>7.1670167848127825E-2</v>
      </c>
      <c r="G24" s="77">
        <f t="shared" ref="G24" si="1">+G23/G$71</f>
        <v>8.1445338129593162E-2</v>
      </c>
      <c r="H24" s="77">
        <f t="shared" ref="H24" si="2">+H23/H$71</f>
        <v>8.5836189607160079E-2</v>
      </c>
      <c r="I24" s="77">
        <f t="shared" ref="I24" si="3">+I23/I$71</f>
        <v>8.11860792030423E-2</v>
      </c>
      <c r="J24" s="77">
        <f t="shared" ref="J24" si="4">+J23/J$71</f>
        <v>4.8297219618550977E-2</v>
      </c>
      <c r="K24" t="s">
        <v>222</v>
      </c>
    </row>
    <row r="25" spans="2:11" x14ac:dyDescent="0.35">
      <c r="B25" s="47"/>
      <c r="C25" s="12" t="s">
        <v>438</v>
      </c>
      <c r="D25" s="77">
        <f>+Variables!D81*(1-Variables!D86)</f>
        <v>6.699999999999999E-2</v>
      </c>
      <c r="E25" s="77">
        <f>+Variables!E81*(1-Variables!E86)</f>
        <v>6.699999999999999E-2</v>
      </c>
      <c r="F25" s="77">
        <f>+Variables!F81*(1-Variables!F86)</f>
        <v>7.2599999999999998E-2</v>
      </c>
      <c r="G25" s="77">
        <f>+Variables!G81*(1-Variables!G86)</f>
        <v>7.9199999999999993E-2</v>
      </c>
      <c r="H25" s="77">
        <f>+Variables!H81*(1-Variables!H86)</f>
        <v>9.2399999999999996E-2</v>
      </c>
      <c r="I25" s="77">
        <f>+Variables!I81*(1-Variables!I86)</f>
        <v>9.2399999999999996E-2</v>
      </c>
      <c r="J25" s="77">
        <f>+Variables!J81*(1-Variables!J86)</f>
        <v>0</v>
      </c>
      <c r="K25" t="s">
        <v>222</v>
      </c>
    </row>
    <row r="26" spans="2:11" x14ac:dyDescent="0.35">
      <c r="B26" s="47"/>
      <c r="C26" s="12"/>
      <c r="D26" s="12"/>
      <c r="E26" s="12"/>
      <c r="F26" s="12"/>
      <c r="G26" s="12"/>
      <c r="H26" s="12"/>
      <c r="I26" s="12"/>
      <c r="J26" s="12"/>
      <c r="K26" t="s">
        <v>222</v>
      </c>
    </row>
    <row r="27" spans="2:11" x14ac:dyDescent="0.35">
      <c r="B27" s="47" t="str">
        <f>+Balance!B42</f>
        <v>Proveedores</v>
      </c>
      <c r="C27" s="12" t="s">
        <v>436</v>
      </c>
      <c r="D27" s="13">
        <f>+Balance!C42</f>
        <v>288540127</v>
      </c>
      <c r="E27" s="13">
        <f>+Balance!D42</f>
        <v>455015983</v>
      </c>
      <c r="F27" s="13">
        <f>+Balance!E42</f>
        <v>232757746</v>
      </c>
      <c r="G27" s="13">
        <f>+Balance!F42</f>
        <v>714066403</v>
      </c>
      <c r="H27" s="13">
        <f>+Balance!G42</f>
        <v>928720815</v>
      </c>
      <c r="I27" s="13">
        <f>+Balance!H42</f>
        <v>2093105985</v>
      </c>
      <c r="J27" s="13">
        <f>+Balance!I42</f>
        <v>1924833</v>
      </c>
      <c r="K27" t="s">
        <v>222</v>
      </c>
    </row>
    <row r="28" spans="2:11" x14ac:dyDescent="0.35">
      <c r="B28" s="47"/>
      <c r="C28" s="12" t="s">
        <v>439</v>
      </c>
      <c r="D28" s="77">
        <f>+D27/D$71</f>
        <v>3.2212864996633839E-2</v>
      </c>
      <c r="E28" s="77">
        <f>+E27/E$71</f>
        <v>4.3217181438172075E-2</v>
      </c>
      <c r="F28" s="77">
        <f t="shared" ref="F28" si="5">+F27/F$71</f>
        <v>1.6346486622459997E-2</v>
      </c>
      <c r="G28" s="77">
        <f t="shared" ref="G28" si="6">+G27/G$71</f>
        <v>3.8752491895378952E-2</v>
      </c>
      <c r="H28" s="77">
        <f t="shared" ref="H28" si="7">+H27/H$71</f>
        <v>4.6656802728653295E-2</v>
      </c>
      <c r="I28" s="77">
        <f t="shared" ref="I28" si="8">+I27/I$71</f>
        <v>7.8905744011613044E-2</v>
      </c>
      <c r="J28" s="77">
        <f t="shared" ref="J28" si="9">+J27/J$71</f>
        <v>0.1226881160094459</v>
      </c>
      <c r="K28" t="s">
        <v>222</v>
      </c>
    </row>
    <row r="29" spans="2:11" x14ac:dyDescent="0.35">
      <c r="B29" s="47"/>
      <c r="C29" s="12" t="s">
        <v>440</v>
      </c>
      <c r="D29" s="77">
        <f>+Variables!D84</f>
        <v>0</v>
      </c>
      <c r="E29" s="77">
        <f>+Variables!E84</f>
        <v>0</v>
      </c>
      <c r="F29" s="77">
        <f>+Variables!F84</f>
        <v>0</v>
      </c>
      <c r="G29" s="77">
        <f>+Variables!G84</f>
        <v>0</v>
      </c>
      <c r="H29" s="77">
        <f>+Variables!H84</f>
        <v>0</v>
      </c>
      <c r="I29" s="77">
        <f>+Variables!I84</f>
        <v>0</v>
      </c>
      <c r="J29" s="77">
        <f>+Variables!G84</f>
        <v>0</v>
      </c>
      <c r="K29" t="s">
        <v>222</v>
      </c>
    </row>
    <row r="30" spans="2:11" x14ac:dyDescent="0.35">
      <c r="B30" s="47"/>
      <c r="C30" s="12"/>
      <c r="D30" s="12"/>
      <c r="E30" s="12"/>
      <c r="F30" s="12"/>
      <c r="G30" s="12"/>
      <c r="H30" s="12"/>
      <c r="I30" s="12"/>
      <c r="J30" s="12"/>
      <c r="K30" t="s">
        <v>222</v>
      </c>
    </row>
    <row r="31" spans="2:11" x14ac:dyDescent="0.35">
      <c r="B31" s="47" t="str">
        <f>+Balance!B43</f>
        <v>Cuentas y gastos por pagar</v>
      </c>
      <c r="C31" s="12" t="s">
        <v>436</v>
      </c>
      <c r="D31" s="13">
        <f>+Balance!C43</f>
        <v>971008853</v>
      </c>
      <c r="E31" s="13">
        <f>+Balance!D43</f>
        <v>547278396</v>
      </c>
      <c r="F31" s="13">
        <f>+Balance!E43</f>
        <v>816276118</v>
      </c>
      <c r="G31" s="13">
        <f>+Balance!F43</f>
        <v>1883471851</v>
      </c>
      <c r="H31" s="13">
        <f>+Balance!G43</f>
        <v>1884210580</v>
      </c>
      <c r="I31" s="13">
        <f>+Balance!H43</f>
        <v>2531480554</v>
      </c>
      <c r="J31" s="13">
        <f>+Balance!I43</f>
        <v>0</v>
      </c>
      <c r="K31" t="s">
        <v>222</v>
      </c>
    </row>
    <row r="32" spans="2:11" x14ac:dyDescent="0.35">
      <c r="B32" s="47"/>
      <c r="C32" s="12" t="s">
        <v>439</v>
      </c>
      <c r="D32" s="77">
        <f>+D31/D$71</f>
        <v>0.10840425356929738</v>
      </c>
      <c r="E32" s="77">
        <f>+E31/E$71</f>
        <v>5.1980217444633776E-2</v>
      </c>
      <c r="F32" s="77">
        <f t="shared" ref="F32" si="10">+F31/F$71</f>
        <v>5.7326756563111668E-2</v>
      </c>
      <c r="G32" s="77">
        <f t="shared" ref="G32" si="11">+G31/G$71</f>
        <v>0.10221630276176415</v>
      </c>
      <c r="H32" s="77">
        <f t="shared" ref="H32" si="12">+H31/H$71</f>
        <v>9.4658416082018582E-2</v>
      </c>
      <c r="I32" s="77">
        <f t="shared" ref="I32" si="13">+I31/I$71</f>
        <v>9.5431553870551078E-2</v>
      </c>
      <c r="J32" s="77">
        <f t="shared" ref="J32" si="14">+J31/J$71</f>
        <v>0</v>
      </c>
      <c r="K32" t="s">
        <v>222</v>
      </c>
    </row>
    <row r="33" spans="2:11" x14ac:dyDescent="0.35">
      <c r="B33" s="47"/>
      <c r="C33" s="12" t="s">
        <v>441</v>
      </c>
      <c r="D33" s="77">
        <f>+Variables!D85</f>
        <v>0</v>
      </c>
      <c r="E33" s="77">
        <f>+Variables!E85</f>
        <v>0</v>
      </c>
      <c r="F33" s="77">
        <f>+Variables!F85</f>
        <v>0</v>
      </c>
      <c r="G33" s="77">
        <f>+Variables!G85</f>
        <v>0</v>
      </c>
      <c r="H33" s="77">
        <f>+Variables!H85</f>
        <v>0</v>
      </c>
      <c r="I33" s="77">
        <f>+Variables!I85</f>
        <v>0</v>
      </c>
      <c r="J33" s="77">
        <f>+Variables!J85</f>
        <v>0</v>
      </c>
      <c r="K33" t="s">
        <v>222</v>
      </c>
    </row>
    <row r="34" spans="2:11" x14ac:dyDescent="0.35">
      <c r="B34" s="47"/>
      <c r="C34" s="12"/>
      <c r="D34" s="12"/>
      <c r="E34" s="12"/>
      <c r="F34" s="12"/>
      <c r="G34" s="12"/>
      <c r="H34" s="12"/>
      <c r="I34" s="12"/>
      <c r="J34" s="12"/>
      <c r="K34" t="s">
        <v>222</v>
      </c>
    </row>
    <row r="35" spans="2:11" x14ac:dyDescent="0.35">
      <c r="B35" s="47" t="str">
        <f>+Balance!B44</f>
        <v>Impuestos, gravámenes y tasas</v>
      </c>
      <c r="C35" s="12" t="s">
        <v>436</v>
      </c>
      <c r="D35" s="13">
        <f>+Balance!C44</f>
        <v>496896427.78666627</v>
      </c>
      <c r="E35" s="13">
        <f>+Balance!D44</f>
        <v>633365626</v>
      </c>
      <c r="F35" s="13">
        <f>+Balance!E44</f>
        <v>1205288567</v>
      </c>
      <c r="G35" s="13">
        <f>+Balance!F44</f>
        <v>1672077608</v>
      </c>
      <c r="H35" s="13">
        <f>+Balance!G44</f>
        <v>1642022971.2695022</v>
      </c>
      <c r="I35" s="13">
        <f>+Balance!H44</f>
        <v>3529110698.0247908</v>
      </c>
      <c r="J35" s="13">
        <f>+Balance!I44</f>
        <v>378277.73</v>
      </c>
      <c r="K35" t="s">
        <v>222</v>
      </c>
    </row>
    <row r="36" spans="2:11" x14ac:dyDescent="0.35">
      <c r="B36" s="47"/>
      <c r="C36" s="12" t="s">
        <v>439</v>
      </c>
      <c r="D36" s="77">
        <f>+D35/D$71</f>
        <v>5.5473939489884175E-2</v>
      </c>
      <c r="E36" s="77">
        <f>+E35/E$71</f>
        <v>6.0156737781106549E-2</v>
      </c>
      <c r="F36" s="77">
        <f t="shared" ref="F36" si="15">+F35/F$71</f>
        <v>8.4646950639698501E-2</v>
      </c>
      <c r="G36" s="77">
        <f t="shared" ref="G36" si="16">+G35/G$71</f>
        <v>9.0743905160966698E-2</v>
      </c>
      <c r="H36" s="77">
        <f t="shared" ref="H36" si="17">+H35/H$71</f>
        <v>8.2491466336348129E-2</v>
      </c>
      <c r="I36" s="77">
        <f t="shared" ref="I36" si="18">+I35/I$71</f>
        <v>0.13304013620074243</v>
      </c>
      <c r="J36" s="77">
        <f t="shared" ref="J36" si="19">+J35/J$71</f>
        <v>2.4111277197569791E-2</v>
      </c>
      <c r="K36" t="s">
        <v>222</v>
      </c>
    </row>
    <row r="37" spans="2:11" x14ac:dyDescent="0.35">
      <c r="B37" s="47"/>
      <c r="C37" s="12" t="s">
        <v>442</v>
      </c>
      <c r="D37" s="77">
        <f>+Variables!D85</f>
        <v>0</v>
      </c>
      <c r="E37" s="77">
        <f>+Variables!E85</f>
        <v>0</v>
      </c>
      <c r="F37" s="77">
        <f>+Variables!F85</f>
        <v>0</v>
      </c>
      <c r="G37" s="77">
        <f>+Variables!G85</f>
        <v>0</v>
      </c>
      <c r="H37" s="77">
        <f>+Variables!H85</f>
        <v>0</v>
      </c>
      <c r="I37" s="77">
        <f>+Variables!I85</f>
        <v>0</v>
      </c>
      <c r="J37" s="77">
        <f>+Variables!J85</f>
        <v>0</v>
      </c>
      <c r="K37" t="s">
        <v>222</v>
      </c>
    </row>
    <row r="38" spans="2:11" x14ac:dyDescent="0.35">
      <c r="B38" s="47"/>
      <c r="C38" s="12"/>
      <c r="D38" s="12"/>
      <c r="E38" s="12"/>
      <c r="F38" s="12"/>
      <c r="G38" s="12"/>
      <c r="H38" s="12"/>
      <c r="I38" s="12"/>
      <c r="J38" s="12"/>
      <c r="K38" t="s">
        <v>222</v>
      </c>
    </row>
    <row r="39" spans="2:11" x14ac:dyDescent="0.35">
      <c r="B39" s="47" t="str">
        <f>+Balance!B45</f>
        <v>Obligaciones laborales</v>
      </c>
      <c r="C39" s="12" t="s">
        <v>436</v>
      </c>
      <c r="D39" s="13">
        <f>+Balance!C45</f>
        <v>374527975</v>
      </c>
      <c r="E39" s="13">
        <f>+Balance!D45</f>
        <v>385992891</v>
      </c>
      <c r="F39" s="13">
        <f>+Balance!E45</f>
        <v>616890362</v>
      </c>
      <c r="G39" s="13">
        <f>+Balance!F45</f>
        <v>624717627</v>
      </c>
      <c r="H39" s="13">
        <f>+Balance!G45</f>
        <v>740507708</v>
      </c>
      <c r="I39" s="13">
        <f>+Balance!H45</f>
        <v>844785681</v>
      </c>
      <c r="J39" s="13">
        <f>+Balance!I45</f>
        <v>0</v>
      </c>
    </row>
    <row r="40" spans="2:11" x14ac:dyDescent="0.35">
      <c r="B40" s="47"/>
      <c r="C40" s="12" t="s">
        <v>439</v>
      </c>
      <c r="D40" s="77">
        <f>+D39/D$71</f>
        <v>4.1812621424879501E-2</v>
      </c>
      <c r="E40" s="77">
        <f>+E39/E$71</f>
        <v>3.6661404054880366E-2</v>
      </c>
      <c r="F40" s="77">
        <f t="shared" ref="F40" si="20">+F39/F$71</f>
        <v>4.3323971911798397E-2</v>
      </c>
      <c r="G40" s="77">
        <f t="shared" ref="G40" si="21">+G39/G$71</f>
        <v>3.3903520282577794E-2</v>
      </c>
      <c r="H40" s="77">
        <f t="shared" ref="H40" si="22">+H39/H$71</f>
        <v>3.7201408101532857E-2</v>
      </c>
      <c r="I40" s="77">
        <f t="shared" ref="I40" si="23">+I39/I$71</f>
        <v>3.1846663841851371E-2</v>
      </c>
      <c r="J40" s="77">
        <f t="shared" ref="J40" si="24">+J39/J$71</f>
        <v>0</v>
      </c>
    </row>
    <row r="41" spans="2:11" x14ac:dyDescent="0.35">
      <c r="B41" s="47"/>
      <c r="C41" s="12" t="s">
        <v>442</v>
      </c>
      <c r="D41" s="77">
        <f>+Variables!D85</f>
        <v>0</v>
      </c>
      <c r="E41" s="77">
        <f>+Variables!E85</f>
        <v>0</v>
      </c>
      <c r="F41" s="77">
        <f>+Variables!F85</f>
        <v>0</v>
      </c>
      <c r="G41" s="77">
        <f>+Variables!G85</f>
        <v>0</v>
      </c>
      <c r="H41" s="77">
        <f>+Variables!H85</f>
        <v>0</v>
      </c>
      <c r="I41" s="77">
        <f>+Variables!I85</f>
        <v>0</v>
      </c>
      <c r="J41" s="77">
        <f>+Variables!J85</f>
        <v>0</v>
      </c>
    </row>
    <row r="42" spans="2:11" x14ac:dyDescent="0.35">
      <c r="B42" s="47"/>
      <c r="C42" s="12"/>
      <c r="D42" s="12"/>
      <c r="E42" s="12"/>
      <c r="F42" s="12"/>
      <c r="G42" s="12"/>
      <c r="H42" s="12"/>
      <c r="I42" s="12"/>
      <c r="J42" s="12"/>
    </row>
    <row r="43" spans="2:11" x14ac:dyDescent="0.35">
      <c r="B43" s="47" t="str">
        <f>+Balance!B46</f>
        <v>Otros pasivos corto plazo</v>
      </c>
      <c r="C43" s="12" t="s">
        <v>436</v>
      </c>
      <c r="D43" s="13">
        <f>+Balance!C46</f>
        <v>70548528</v>
      </c>
      <c r="E43" s="13">
        <f>+Balance!D46</f>
        <v>71625748</v>
      </c>
      <c r="F43" s="13">
        <f>+Balance!E46</f>
        <v>117387425</v>
      </c>
      <c r="G43" s="13">
        <f>+Balance!F46</f>
        <v>80735155</v>
      </c>
      <c r="H43" s="13">
        <f>+Balance!G46</f>
        <v>133529186</v>
      </c>
      <c r="I43" s="13">
        <f>+Balance!H46</f>
        <v>343084990</v>
      </c>
      <c r="J43" s="13">
        <f>+Balance!I46</f>
        <v>642433.22</v>
      </c>
      <c r="K43" t="s">
        <v>222</v>
      </c>
    </row>
    <row r="44" spans="2:11" x14ac:dyDescent="0.35">
      <c r="B44" s="47"/>
      <c r="C44" s="12" t="s">
        <v>439</v>
      </c>
      <c r="D44" s="77">
        <f>+D43/D$71</f>
        <v>7.8760976222043526E-3</v>
      </c>
      <c r="E44" s="77">
        <f>+E43/E$71</f>
        <v>6.8029762966827266E-3</v>
      </c>
      <c r="F44" s="77">
        <f t="shared" ref="F44" si="25">+F43/F$71</f>
        <v>8.2440735287388732E-3</v>
      </c>
      <c r="G44" s="77">
        <f t="shared" ref="G44" si="26">+G43/G$71</f>
        <v>4.3815090958839904E-3</v>
      </c>
      <c r="H44" s="77">
        <f t="shared" ref="H44" si="27">+H43/H$71</f>
        <v>6.7081999122843537E-3</v>
      </c>
      <c r="I44" s="77">
        <f t="shared" ref="I44" si="28">+I43/I$71</f>
        <v>1.2933590840201443E-2</v>
      </c>
      <c r="J44" s="77">
        <f t="shared" ref="J44" si="29">+J43/J$71</f>
        <v>4.0948446656765489E-2</v>
      </c>
      <c r="K44" t="s">
        <v>222</v>
      </c>
    </row>
    <row r="45" spans="2:11" x14ac:dyDescent="0.35">
      <c r="B45" s="47"/>
      <c r="C45" s="12" t="s">
        <v>443</v>
      </c>
      <c r="D45" s="77">
        <f>+Variables!D85</f>
        <v>0</v>
      </c>
      <c r="E45" s="77">
        <f>+Variables!E85</f>
        <v>0</v>
      </c>
      <c r="F45" s="77">
        <f>+Variables!F85</f>
        <v>0</v>
      </c>
      <c r="G45" s="77">
        <f>+Variables!G85</f>
        <v>0</v>
      </c>
      <c r="H45" s="77">
        <f>+Variables!H85</f>
        <v>0</v>
      </c>
      <c r="I45" s="77">
        <f>+Variables!I85</f>
        <v>0</v>
      </c>
      <c r="J45" s="77">
        <f>+Variables!J85</f>
        <v>0</v>
      </c>
      <c r="K45" t="s">
        <v>222</v>
      </c>
    </row>
    <row r="46" spans="2:11" x14ac:dyDescent="0.35">
      <c r="B46" s="47"/>
      <c r="C46" s="12"/>
      <c r="D46" s="12"/>
      <c r="E46" s="12"/>
      <c r="F46" s="12"/>
      <c r="G46" s="12"/>
      <c r="H46" s="12"/>
      <c r="I46" s="12"/>
      <c r="J46" s="12"/>
      <c r="K46" t="s">
        <v>222</v>
      </c>
    </row>
    <row r="47" spans="2:11" x14ac:dyDescent="0.35">
      <c r="B47" s="47" t="str">
        <f>+Balance!B50</f>
        <v>Obligaciones financieras largo plazo</v>
      </c>
      <c r="C47" s="12" t="s">
        <v>436</v>
      </c>
      <c r="D47" s="13">
        <f>+Balance!C50</f>
        <v>1512018157.3</v>
      </c>
      <c r="E47" s="13">
        <f>+Balance!D50</f>
        <v>2245341480.1999998</v>
      </c>
      <c r="F47" s="13">
        <f>+Balance!E50</f>
        <v>2381194804.7999997</v>
      </c>
      <c r="G47" s="13">
        <f>+Balance!F50</f>
        <v>3501724556.3999996</v>
      </c>
      <c r="H47" s="13">
        <f>+Balance!G50</f>
        <v>3986735475.0999999</v>
      </c>
      <c r="I47" s="13">
        <f>+Balance!H50</f>
        <v>5025056552.5999994</v>
      </c>
      <c r="J47" s="13">
        <f>+Balance!I50</f>
        <v>3346230.47</v>
      </c>
      <c r="K47" t="s">
        <v>222</v>
      </c>
    </row>
    <row r="48" spans="2:11" x14ac:dyDescent="0.35">
      <c r="B48" s="47"/>
      <c r="C48" s="12" t="s">
        <v>439</v>
      </c>
      <c r="D48" s="77">
        <f>+D47/D$71</f>
        <v>0.16880299208284455</v>
      </c>
      <c r="E48" s="77">
        <f>+E47/E$71</f>
        <v>0.21326136611877486</v>
      </c>
      <c r="F48" s="77">
        <f t="shared" ref="F48" si="30">+F47/F$71</f>
        <v>0.16723039164563158</v>
      </c>
      <c r="G48" s="77">
        <f t="shared" ref="G48" si="31">+G47/G$71</f>
        <v>0.19003912230238401</v>
      </c>
      <c r="H48" s="77">
        <f t="shared" ref="H48" si="32">+H47/H$71</f>
        <v>0.20028444241670687</v>
      </c>
      <c r="I48" s="77">
        <f t="shared" ref="I48" si="33">+I47/I$71</f>
        <v>0.18943418480709867</v>
      </c>
      <c r="J48" s="77">
        <f t="shared" ref="J48" si="34">+J47/J$71</f>
        <v>0.2132874447277778</v>
      </c>
      <c r="K48" t="s">
        <v>222</v>
      </c>
    </row>
    <row r="49" spans="2:11" x14ac:dyDescent="0.35">
      <c r="B49" s="47"/>
      <c r="C49" s="12" t="s">
        <v>444</v>
      </c>
      <c r="D49" s="77">
        <f>+Variables!D82*(1-Variables!D86)</f>
        <v>6.699999999999999E-2</v>
      </c>
      <c r="E49" s="77">
        <f>+Variables!E82*(1-Variables!E86)</f>
        <v>6.699999999999999E-2</v>
      </c>
      <c r="F49" s="77">
        <f>+Variables!F82*(1-Variables!F86)</f>
        <v>7.2599999999999998E-2</v>
      </c>
      <c r="G49" s="77">
        <f>+Variables!G82*(1-Variables!G86)</f>
        <v>7.9199999999999993E-2</v>
      </c>
      <c r="H49" s="77">
        <f>+Variables!H82*(1-Variables!H86)</f>
        <v>9.2399999999999996E-2</v>
      </c>
      <c r="I49" s="77">
        <f>+Variables!I82*(1-Variables!I86)</f>
        <v>9.2399999999999996E-2</v>
      </c>
      <c r="J49" s="77">
        <f>+Variables!J82*(1-Variables!J86)</f>
        <v>0</v>
      </c>
      <c r="K49" t="s">
        <v>222</v>
      </c>
    </row>
    <row r="50" spans="2:11" x14ac:dyDescent="0.35">
      <c r="B50" s="47"/>
      <c r="C50" s="12"/>
      <c r="D50" s="12"/>
      <c r="E50" s="12"/>
      <c r="F50" s="12"/>
      <c r="G50" s="12"/>
      <c r="H50" s="12"/>
      <c r="I50" s="12"/>
      <c r="J50" s="12"/>
      <c r="K50" t="s">
        <v>222</v>
      </c>
    </row>
    <row r="51" spans="2:11" x14ac:dyDescent="0.35">
      <c r="B51" s="47" t="str">
        <f>+Balance!B51</f>
        <v>Bonos y papeles comerciales por pagar</v>
      </c>
      <c r="C51" s="12" t="s">
        <v>436</v>
      </c>
      <c r="D51" s="13">
        <f>+Balance!C51</f>
        <v>0</v>
      </c>
      <c r="E51" s="13">
        <f>+Balance!D51</f>
        <v>330355804</v>
      </c>
      <c r="F51" s="13">
        <f>+Balance!E51</f>
        <v>0</v>
      </c>
      <c r="G51" s="13">
        <f>+Balance!F51</f>
        <v>0</v>
      </c>
      <c r="H51" s="13">
        <f>+Balance!G51</f>
        <v>0</v>
      </c>
      <c r="I51" s="13">
        <f>+Balance!H51</f>
        <v>0</v>
      </c>
      <c r="J51" s="13">
        <f>+Balance!I51</f>
        <v>1112388.8600000001</v>
      </c>
    </row>
    <row r="52" spans="2:11" x14ac:dyDescent="0.35">
      <c r="B52" s="47"/>
      <c r="C52" s="12" t="s">
        <v>439</v>
      </c>
      <c r="D52" s="77">
        <f>+D51/D$71</f>
        <v>0</v>
      </c>
      <c r="E52" s="77">
        <f>+E51/E$71</f>
        <v>3.1377022465211318E-2</v>
      </c>
      <c r="F52" s="77">
        <f t="shared" ref="F52" si="35">+F51/F$71</f>
        <v>0</v>
      </c>
      <c r="G52" s="77">
        <f t="shared" ref="G52" si="36">+G51/G$71</f>
        <v>0</v>
      </c>
      <c r="H52" s="77">
        <f t="shared" ref="H52" si="37">+H51/H$71</f>
        <v>0</v>
      </c>
      <c r="I52" s="77">
        <f t="shared" ref="I52" si="38">+I51/I$71</f>
        <v>0</v>
      </c>
      <c r="J52" s="77">
        <f t="shared" ref="J52" si="39">+J51/J$71</f>
        <v>7.0903238620335013E-2</v>
      </c>
    </row>
    <row r="53" spans="2:11" x14ac:dyDescent="0.35">
      <c r="B53" s="47"/>
      <c r="C53" s="12" t="s">
        <v>444</v>
      </c>
      <c r="D53" s="77">
        <f>+Variables!D83</f>
        <v>0</v>
      </c>
      <c r="E53" s="77">
        <f>+Variables!E83</f>
        <v>0</v>
      </c>
      <c r="F53" s="77">
        <f>+Variables!F83</f>
        <v>0</v>
      </c>
      <c r="G53" s="77">
        <f>+Variables!G83</f>
        <v>0</v>
      </c>
      <c r="H53" s="77">
        <f>+Variables!H83</f>
        <v>0</v>
      </c>
      <c r="I53" s="77">
        <f>+Variables!I83</f>
        <v>0</v>
      </c>
      <c r="J53" s="77">
        <f>+Variables!J83</f>
        <v>0</v>
      </c>
    </row>
    <row r="54" spans="2:11" x14ac:dyDescent="0.35">
      <c r="B54" s="47"/>
      <c r="C54" s="12"/>
      <c r="D54" s="12"/>
      <c r="E54" s="12"/>
      <c r="F54" s="12"/>
      <c r="G54" s="12"/>
      <c r="H54" s="12"/>
      <c r="I54" s="12"/>
      <c r="J54" s="12"/>
    </row>
    <row r="55" spans="2:11" x14ac:dyDescent="0.35">
      <c r="B55" s="47" t="str">
        <f>+Balance!B52</f>
        <v>Obligaciones laborales largo plazo</v>
      </c>
      <c r="C55" s="12" t="s">
        <v>436</v>
      </c>
      <c r="D55" s="13">
        <f>+Balance!C52</f>
        <v>0</v>
      </c>
      <c r="E55" s="13">
        <f>+Balance!D52</f>
        <v>0</v>
      </c>
      <c r="F55" s="13">
        <f>+Balance!E52</f>
        <v>0</v>
      </c>
      <c r="G55" s="13">
        <f>+Balance!F52</f>
        <v>0</v>
      </c>
      <c r="H55" s="13">
        <f>+Balance!G52</f>
        <v>0</v>
      </c>
      <c r="I55" s="13">
        <f>+Balance!H52</f>
        <v>0</v>
      </c>
      <c r="J55" s="13">
        <f>+Balance!I52</f>
        <v>0</v>
      </c>
    </row>
    <row r="56" spans="2:11" x14ac:dyDescent="0.35">
      <c r="B56" s="47"/>
      <c r="C56" s="12" t="s">
        <v>439</v>
      </c>
      <c r="D56" s="77">
        <f>+D55/D$71</f>
        <v>0</v>
      </c>
      <c r="E56" s="77">
        <f>+E55/E$71</f>
        <v>0</v>
      </c>
      <c r="F56" s="77">
        <f t="shared" ref="F56" si="40">+F55/F$71</f>
        <v>0</v>
      </c>
      <c r="G56" s="77">
        <f t="shared" ref="G56" si="41">+G55/G$71</f>
        <v>0</v>
      </c>
      <c r="H56" s="77">
        <f t="shared" ref="H56" si="42">+H55/H$71</f>
        <v>0</v>
      </c>
      <c r="I56" s="77">
        <f t="shared" ref="I56" si="43">+I55/I$71</f>
        <v>0</v>
      </c>
      <c r="J56" s="77">
        <f t="shared" ref="J56" si="44">+J55/J$71</f>
        <v>0</v>
      </c>
    </row>
    <row r="57" spans="2:11" x14ac:dyDescent="0.35">
      <c r="B57" s="47"/>
      <c r="C57" s="12" t="s">
        <v>444</v>
      </c>
      <c r="D57" s="77">
        <f>+D49</f>
        <v>6.699999999999999E-2</v>
      </c>
      <c r="E57" s="77">
        <f t="shared" ref="E57:J57" si="45">+E49</f>
        <v>6.699999999999999E-2</v>
      </c>
      <c r="F57" s="77">
        <f t="shared" si="45"/>
        <v>7.2599999999999998E-2</v>
      </c>
      <c r="G57" s="77">
        <f t="shared" si="45"/>
        <v>7.9199999999999993E-2</v>
      </c>
      <c r="H57" s="77">
        <f t="shared" si="45"/>
        <v>9.2399999999999996E-2</v>
      </c>
      <c r="I57" s="77">
        <f t="shared" si="45"/>
        <v>9.2399999999999996E-2</v>
      </c>
      <c r="J57" s="77">
        <f t="shared" si="45"/>
        <v>0</v>
      </c>
    </row>
    <row r="58" spans="2:11" x14ac:dyDescent="0.35">
      <c r="B58" s="47"/>
      <c r="C58" s="12"/>
      <c r="D58" s="12"/>
      <c r="E58" s="12"/>
      <c r="F58" s="12"/>
      <c r="G58" s="12"/>
      <c r="H58" s="12"/>
      <c r="I58" s="12"/>
      <c r="J58" s="12"/>
    </row>
    <row r="59" spans="2:11" x14ac:dyDescent="0.35">
      <c r="B59" s="47" t="str">
        <f>+Balance!B53</f>
        <v>Pasivos estimados y provisiones</v>
      </c>
      <c r="C59" s="12" t="s">
        <v>436</v>
      </c>
      <c r="D59" s="13">
        <f>+Balance!C53</f>
        <v>0</v>
      </c>
      <c r="E59" s="13">
        <f>+Balance!D53</f>
        <v>0</v>
      </c>
      <c r="F59" s="13">
        <f>+Balance!E53</f>
        <v>0</v>
      </c>
      <c r="G59" s="13">
        <f>+Balance!F53</f>
        <v>0</v>
      </c>
      <c r="H59" s="13">
        <f>+Balance!G53</f>
        <v>0</v>
      </c>
      <c r="I59" s="13">
        <f>+Balance!H53</f>
        <v>0</v>
      </c>
      <c r="J59" s="13">
        <f>+Balance!I53</f>
        <v>226546.22</v>
      </c>
    </row>
    <row r="60" spans="2:11" x14ac:dyDescent="0.35">
      <c r="B60" s="47"/>
      <c r="C60" s="12" t="s">
        <v>439</v>
      </c>
      <c r="D60" s="77">
        <f>+D59/D$71</f>
        <v>0</v>
      </c>
      <c r="E60" s="77">
        <f>+E59/E$71</f>
        <v>0</v>
      </c>
      <c r="F60" s="77">
        <f t="shared" ref="F60" si="46">+F59/F$71</f>
        <v>0</v>
      </c>
      <c r="G60" s="77">
        <f t="shared" ref="G60" si="47">+G59/G$71</f>
        <v>0</v>
      </c>
      <c r="H60" s="77">
        <f t="shared" ref="H60" si="48">+H59/H$71</f>
        <v>0</v>
      </c>
      <c r="I60" s="77">
        <f t="shared" ref="I60" si="49">+I59/I$71</f>
        <v>0</v>
      </c>
      <c r="J60" s="77">
        <f t="shared" ref="J60" si="50">+J59/J$71</f>
        <v>1.4439969036722382E-2</v>
      </c>
    </row>
    <row r="61" spans="2:11" x14ac:dyDescent="0.35">
      <c r="B61" s="47"/>
      <c r="C61" s="12" t="s">
        <v>444</v>
      </c>
      <c r="D61" s="77">
        <f>+Variables!D85</f>
        <v>0</v>
      </c>
      <c r="E61" s="77">
        <f>+Variables!E85</f>
        <v>0</v>
      </c>
      <c r="F61" s="77">
        <f>+Variables!F85</f>
        <v>0</v>
      </c>
      <c r="G61" s="77">
        <f>+Variables!G85</f>
        <v>0</v>
      </c>
      <c r="H61" s="77">
        <f>+Variables!H85</f>
        <v>0</v>
      </c>
      <c r="I61" s="77">
        <f>+Variables!I85</f>
        <v>0</v>
      </c>
      <c r="J61" s="77">
        <f>+Variables!J85</f>
        <v>0</v>
      </c>
    </row>
    <row r="62" spans="2:11" x14ac:dyDescent="0.35">
      <c r="B62" s="47"/>
      <c r="C62" s="12"/>
      <c r="D62" s="12"/>
      <c r="E62" s="12"/>
      <c r="F62" s="12"/>
      <c r="G62" s="12"/>
      <c r="H62" s="12"/>
      <c r="I62" s="12"/>
      <c r="J62" s="12"/>
    </row>
    <row r="63" spans="2:11" x14ac:dyDescent="0.35">
      <c r="B63" s="47" t="str">
        <f>+Balance!B54</f>
        <v>Otros pasivos largo plazo</v>
      </c>
      <c r="C63" s="12" t="s">
        <v>436</v>
      </c>
      <c r="D63" s="13">
        <f>+Balance!C54</f>
        <v>0</v>
      </c>
      <c r="E63" s="13">
        <f>+Balance!D54</f>
        <v>0</v>
      </c>
      <c r="F63" s="13">
        <f>+Balance!E54</f>
        <v>0</v>
      </c>
      <c r="G63" s="13">
        <f>+Balance!F54</f>
        <v>0</v>
      </c>
      <c r="H63" s="13">
        <f>+Balance!G54</f>
        <v>0</v>
      </c>
      <c r="I63" s="13">
        <f>+Balance!H54</f>
        <v>0</v>
      </c>
      <c r="J63" s="13">
        <f>+Balance!I54</f>
        <v>856141.42</v>
      </c>
      <c r="K63" t="s">
        <v>222</v>
      </c>
    </row>
    <row r="64" spans="2:11" x14ac:dyDescent="0.35">
      <c r="B64" s="47"/>
      <c r="C64" s="12" t="s">
        <v>439</v>
      </c>
      <c r="D64" s="77">
        <f>+D63/D$71</f>
        <v>0</v>
      </c>
      <c r="E64" s="77">
        <f>+E63/E$71</f>
        <v>0</v>
      </c>
      <c r="F64" s="77">
        <f t="shared" ref="F64" si="51">+F63/F$71</f>
        <v>0</v>
      </c>
      <c r="G64" s="77">
        <f t="shared" ref="G64" si="52">+G63/G$71</f>
        <v>0</v>
      </c>
      <c r="H64" s="77">
        <f t="shared" ref="H64" si="53">+H63/H$71</f>
        <v>0</v>
      </c>
      <c r="I64" s="77">
        <f t="shared" ref="I64" si="54">+I63/I$71</f>
        <v>0</v>
      </c>
      <c r="J64" s="77">
        <f t="shared" ref="J64" si="55">+J63/J$71</f>
        <v>5.4570125230319594E-2</v>
      </c>
      <c r="K64" t="s">
        <v>222</v>
      </c>
    </row>
    <row r="65" spans="2:11" x14ac:dyDescent="0.35">
      <c r="B65" s="47"/>
      <c r="C65" s="12" t="s">
        <v>445</v>
      </c>
      <c r="D65" s="77">
        <f>+Variables!D85</f>
        <v>0</v>
      </c>
      <c r="E65" s="77">
        <f>+Variables!E85</f>
        <v>0</v>
      </c>
      <c r="F65" s="77">
        <f>+Variables!F85</f>
        <v>0</v>
      </c>
      <c r="G65" s="77">
        <f>+Variables!G85</f>
        <v>0</v>
      </c>
      <c r="H65" s="77">
        <f>+Variables!H85</f>
        <v>0</v>
      </c>
      <c r="I65" s="77">
        <f>+Variables!I85</f>
        <v>0</v>
      </c>
      <c r="J65" s="77">
        <f>+Variables!J85</f>
        <v>0</v>
      </c>
      <c r="K65" t="s">
        <v>222</v>
      </c>
    </row>
    <row r="66" spans="2:11" x14ac:dyDescent="0.35">
      <c r="B66" s="47"/>
      <c r="C66" s="12"/>
      <c r="D66" s="13"/>
      <c r="E66" s="13"/>
      <c r="F66" s="13"/>
      <c r="G66" s="13"/>
      <c r="H66" s="13"/>
      <c r="I66" s="13"/>
      <c r="J66" s="13"/>
      <c r="K66" t="s">
        <v>222</v>
      </c>
    </row>
    <row r="67" spans="2:11" x14ac:dyDescent="0.35">
      <c r="B67" s="47" t="str">
        <f>LOWER(Balance!B71)</f>
        <v>total patrimonio</v>
      </c>
      <c r="C67" s="12" t="s">
        <v>436</v>
      </c>
      <c r="D67" s="13">
        <f>+Balance!C71</f>
        <v>4595746915.2133341</v>
      </c>
      <c r="E67" s="13">
        <f>+Balance!D71</f>
        <v>4897324835.499999</v>
      </c>
      <c r="F67" s="13">
        <f>+Balance!E71</f>
        <v>7848700441.5</v>
      </c>
      <c r="G67" s="13">
        <f>+Balance!F71</f>
        <v>8448802839.499999</v>
      </c>
      <c r="H67" s="13">
        <f>+Balance!G71</f>
        <v>8881040067.7304974</v>
      </c>
      <c r="I67" s="13">
        <f>+Balance!H71</f>
        <v>10006441667.975208</v>
      </c>
      <c r="J67" s="13">
        <f>+Balance!I71</f>
        <v>6444252.25</v>
      </c>
      <c r="K67" t="s">
        <v>222</v>
      </c>
    </row>
    <row r="68" spans="2:11" x14ac:dyDescent="0.35">
      <c r="B68" s="47"/>
      <c r="C68" s="12" t="s">
        <v>439</v>
      </c>
      <c r="D68" s="77">
        <f>+D67/D$71</f>
        <v>0.51307309135017998</v>
      </c>
      <c r="E68" s="77">
        <f>+E67/E$71</f>
        <v>0.4651453660639206</v>
      </c>
      <c r="F68" s="77">
        <f t="shared" ref="F68:J68" si="56">+F67/F$71</f>
        <v>0.5512112012404331</v>
      </c>
      <c r="G68" s="77">
        <f t="shared" si="56"/>
        <v>0.4585178103714514</v>
      </c>
      <c r="H68" s="77">
        <f t="shared" si="56"/>
        <v>0.44616307481529582</v>
      </c>
      <c r="I68" s="77">
        <f t="shared" si="56"/>
        <v>0.3772220472248996</v>
      </c>
      <c r="J68" s="77">
        <f t="shared" si="56"/>
        <v>0.41075416290251299</v>
      </c>
      <c r="K68" t="s">
        <v>222</v>
      </c>
    </row>
    <row r="69" spans="2:11" x14ac:dyDescent="0.35">
      <c r="B69" s="47"/>
      <c r="C69" s="12" t="s">
        <v>446</v>
      </c>
      <c r="D69" s="77">
        <f>+Variables!D80</f>
        <v>0.1</v>
      </c>
      <c r="E69" s="77">
        <f>+Variables!E80</f>
        <v>0.1</v>
      </c>
      <c r="F69" s="77">
        <f>+Variables!F80</f>
        <v>0.1</v>
      </c>
      <c r="G69" s="77">
        <f>+Variables!G80</f>
        <v>0.1</v>
      </c>
      <c r="H69" s="77">
        <f>+Variables!H80</f>
        <v>0.1</v>
      </c>
      <c r="I69" s="77">
        <f>+Variables!I80</f>
        <v>0.1</v>
      </c>
      <c r="J69" s="77">
        <f>+Variables!J80</f>
        <v>0</v>
      </c>
      <c r="K69" t="s">
        <v>222</v>
      </c>
    </row>
    <row r="70" spans="2:11" x14ac:dyDescent="0.35">
      <c r="B70" s="47"/>
      <c r="C70" s="12"/>
      <c r="D70" s="13"/>
      <c r="E70" s="13"/>
      <c r="F70" s="13"/>
      <c r="G70" s="13"/>
      <c r="H70" s="13"/>
      <c r="I70" s="13"/>
      <c r="J70" s="13"/>
      <c r="K70" t="s">
        <v>222</v>
      </c>
    </row>
    <row r="71" spans="2:11" x14ac:dyDescent="0.35">
      <c r="B71" s="47" t="s">
        <v>447</v>
      </c>
      <c r="C71" s="12"/>
      <c r="D71" s="48">
        <f>+D67+D63+D47+D43+D35+D31+D27+D23+D59+D55+D51+D39</f>
        <v>8957294765</v>
      </c>
      <c r="E71" s="48">
        <f t="shared" ref="E71:J71" si="57">+E67+E63+E47+E43+E35+E31+E27+E23+E59+E55+E51+E39</f>
        <v>10528589969.499998</v>
      </c>
      <c r="F71" s="48">
        <f t="shared" si="57"/>
        <v>14239007523.5</v>
      </c>
      <c r="G71" s="48">
        <f t="shared" si="57"/>
        <v>18426335135.499996</v>
      </c>
      <c r="H71" s="48">
        <f t="shared" si="57"/>
        <v>19905367721</v>
      </c>
      <c r="I71" s="48">
        <f t="shared" si="57"/>
        <v>26526661794</v>
      </c>
      <c r="J71" s="48">
        <f t="shared" si="57"/>
        <v>15688830.040000001</v>
      </c>
      <c r="K71" t="s">
        <v>222</v>
      </c>
    </row>
    <row r="72" spans="2:11" x14ac:dyDescent="0.35">
      <c r="B72" s="47"/>
      <c r="C72" s="12"/>
      <c r="D72" s="13"/>
      <c r="E72" s="13"/>
      <c r="F72" s="13"/>
      <c r="G72" s="13"/>
      <c r="H72" s="13"/>
      <c r="I72" s="13"/>
      <c r="J72" s="13"/>
      <c r="K72" t="s">
        <v>222</v>
      </c>
    </row>
    <row r="73" spans="2:11" x14ac:dyDescent="0.35">
      <c r="B73" s="49" t="s">
        <v>448</v>
      </c>
      <c r="C73" s="50" t="s">
        <v>449</v>
      </c>
      <c r="D73" s="51">
        <f>+D69*D68+D65*D64+D61*D60+D57*D56+D53*D52+D49*D48+D45*D44+D41*D40+D37*D36+D33*D32+D29*D28+D25*D24</f>
        <v>6.7464166948661683E-2</v>
      </c>
      <c r="E73" s="51">
        <f t="shared" ref="E73:J73" si="58">+E69*E68+E65*E64+E61*E60+E57*E56+E53*E52+E49*E48+E45*E44+E41*E40+E37*E36+E33*E32+E29*E28+E25*E24</f>
        <v>6.6926695934903371E-2</v>
      </c>
      <c r="F73" s="51">
        <f t="shared" si="58"/>
        <v>7.2465300743290245E-2</v>
      </c>
      <c r="G73" s="51">
        <f t="shared" si="58"/>
        <v>6.7353350303357734E-2</v>
      </c>
      <c r="H73" s="51">
        <f t="shared" si="58"/>
        <v>7.1053853880534895E-2</v>
      </c>
      <c r="I73" s="51">
        <f t="shared" si="58"/>
        <v>6.2727517117026996E-2</v>
      </c>
      <c r="J73" s="51">
        <f t="shared" si="58"/>
        <v>0</v>
      </c>
      <c r="K73" t="s">
        <v>222</v>
      </c>
    </row>
    <row r="74" spans="2:11" x14ac:dyDescent="0.35">
      <c r="E74" s="55"/>
      <c r="F74" s="55"/>
      <c r="G74" s="55"/>
      <c r="H74" s="55"/>
      <c r="I74" s="55"/>
      <c r="J74" s="55"/>
      <c r="K74" t="s">
        <v>222</v>
      </c>
    </row>
    <row r="75" spans="2:11" hidden="1" x14ac:dyDescent="0.35">
      <c r="K75" t="s">
        <v>222</v>
      </c>
    </row>
    <row r="76" spans="2:11" hidden="1" x14ac:dyDescent="0.35">
      <c r="K76" t="s">
        <v>222</v>
      </c>
    </row>
    <row r="77" spans="2:11" hidden="1" x14ac:dyDescent="0.35">
      <c r="K77" t="s">
        <v>222</v>
      </c>
    </row>
    <row r="78" spans="2:11" hidden="1" x14ac:dyDescent="0.35">
      <c r="K78" t="s">
        <v>222</v>
      </c>
    </row>
    <row r="79" spans="2:11" hidden="1" x14ac:dyDescent="0.35">
      <c r="K79" t="s">
        <v>222</v>
      </c>
    </row>
    <row r="80" spans="2:11" hidden="1" x14ac:dyDescent="0.35">
      <c r="K80" t="s">
        <v>222</v>
      </c>
    </row>
    <row r="81" spans="11:11" hidden="1" x14ac:dyDescent="0.35">
      <c r="K81" t="s">
        <v>222</v>
      </c>
    </row>
    <row r="82" spans="11:11" hidden="1" x14ac:dyDescent="0.35">
      <c r="K82" t="s">
        <v>222</v>
      </c>
    </row>
    <row r="83" spans="11:11" hidden="1" x14ac:dyDescent="0.35">
      <c r="K83" t="s">
        <v>222</v>
      </c>
    </row>
    <row r="84" spans="11:11" hidden="1" x14ac:dyDescent="0.35">
      <c r="K84" t="s">
        <v>222</v>
      </c>
    </row>
    <row r="85" spans="11:11" hidden="1" x14ac:dyDescent="0.35">
      <c r="K85" t="s">
        <v>222</v>
      </c>
    </row>
    <row r="86" spans="11:11" hidden="1" x14ac:dyDescent="0.35">
      <c r="K86" t="s">
        <v>222</v>
      </c>
    </row>
    <row r="87" spans="11:11" hidden="1" x14ac:dyDescent="0.35">
      <c r="K87" t="s">
        <v>222</v>
      </c>
    </row>
    <row r="88" spans="11:11" hidden="1" x14ac:dyDescent="0.35">
      <c r="K88" t="s">
        <v>222</v>
      </c>
    </row>
    <row r="89" spans="11:11" hidden="1" x14ac:dyDescent="0.35">
      <c r="K89" t="s">
        <v>222</v>
      </c>
    </row>
    <row r="90" spans="11:11" hidden="1" x14ac:dyDescent="0.35">
      <c r="K90" t="s">
        <v>222</v>
      </c>
    </row>
    <row r="91" spans="11:11" hidden="1" x14ac:dyDescent="0.35">
      <c r="K91" t="s">
        <v>222</v>
      </c>
    </row>
    <row r="92" spans="11:11" hidden="1" x14ac:dyDescent="0.35">
      <c r="K92" t="s">
        <v>222</v>
      </c>
    </row>
    <row r="93" spans="11:11" hidden="1" x14ac:dyDescent="0.35">
      <c r="K93" t="s">
        <v>222</v>
      </c>
    </row>
    <row r="94" spans="11:11" hidden="1" x14ac:dyDescent="0.35">
      <c r="K94" t="s">
        <v>222</v>
      </c>
    </row>
  </sheetData>
  <sheetProtection selectLockedCells="1" selectUnlockedCells="1"/>
  <mergeCells count="3">
    <mergeCell ref="B3:J3"/>
    <mergeCell ref="B4:J4"/>
    <mergeCell ref="B16:J20"/>
  </mergeCells>
  <printOptions horizontalCentered="1"/>
  <pageMargins left="0.70866141732283472" right="0.31496062992125984" top="0.48" bottom="0.43307086614173229" header="0" footer="0"/>
  <pageSetup scale="7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6"/>
  <dimension ref="A1:L69"/>
  <sheetViews>
    <sheetView tabSelected="1" topLeftCell="C18" workbookViewId="0">
      <selection activeCell="J21" sqref="J21"/>
    </sheetView>
  </sheetViews>
  <sheetFormatPr baseColWidth="10" defaultColWidth="11.44140625" defaultRowHeight="14.4" zeroHeight="1" x14ac:dyDescent="0.35"/>
  <cols>
    <col min="1" max="1" width="1.33203125" customWidth="1"/>
    <col min="2" max="3" width="38.5546875" customWidth="1"/>
    <col min="4" max="4" width="36.44140625" customWidth="1"/>
    <col min="5" max="6" width="13" bestFit="1" customWidth="1"/>
    <col min="7" max="9" width="13.5546875" bestFit="1" customWidth="1"/>
    <col min="10" max="11" width="14" bestFit="1" customWidth="1"/>
    <col min="12" max="12" width="1.5546875" bestFit="1" customWidth="1"/>
    <col min="13" max="13" width="18.6640625" customWidth="1"/>
    <col min="14" max="14" width="11.44140625" customWidth="1"/>
    <col min="15" max="15" width="15.5546875" customWidth="1"/>
    <col min="16" max="16" width="15.33203125" customWidth="1"/>
    <col min="17" max="18" width="15.5546875" customWidth="1"/>
  </cols>
  <sheetData>
    <row r="1" spans="1:12" x14ac:dyDescent="0.35"/>
    <row r="2" spans="1:12" x14ac:dyDescent="0.35"/>
    <row r="3" spans="1:12" ht="18" x14ac:dyDescent="0.35">
      <c r="A3" s="2"/>
      <c r="B3" s="543" t="str">
        <f>+Endeudamiento!B3</f>
        <v>K-LISTO</v>
      </c>
      <c r="C3" s="544"/>
      <c r="D3" s="544"/>
      <c r="E3" s="544"/>
      <c r="F3" s="544"/>
      <c r="G3" s="544"/>
      <c r="H3" s="544"/>
      <c r="I3" s="544"/>
      <c r="J3" s="544"/>
      <c r="K3" s="545"/>
    </row>
    <row r="4" spans="1:12" ht="18" x14ac:dyDescent="0.35">
      <c r="A4" s="2"/>
      <c r="B4" s="546" t="s">
        <v>450</v>
      </c>
      <c r="C4" s="547"/>
      <c r="D4" s="547"/>
      <c r="E4" s="547"/>
      <c r="F4" s="547"/>
      <c r="G4" s="547"/>
      <c r="H4" s="547"/>
      <c r="I4" s="547"/>
      <c r="J4" s="547"/>
      <c r="K4" s="548"/>
    </row>
    <row r="5" spans="1:12" ht="15" x14ac:dyDescent="0.35">
      <c r="B5" s="549" t="s">
        <v>434</v>
      </c>
      <c r="C5" s="550"/>
      <c r="D5" s="550"/>
      <c r="E5" s="550"/>
      <c r="F5" s="550"/>
      <c r="G5" s="550"/>
      <c r="H5" s="550"/>
      <c r="I5" s="550"/>
      <c r="J5" s="550"/>
      <c r="K5" s="551"/>
      <c r="L5" t="s">
        <v>222</v>
      </c>
    </row>
    <row r="6" spans="1:12" s="237" customFormat="1" x14ac:dyDescent="0.35">
      <c r="B6" s="400"/>
      <c r="C6" s="401"/>
      <c r="D6" s="401"/>
      <c r="E6" s="401"/>
      <c r="F6" s="401"/>
      <c r="G6" s="401"/>
      <c r="H6" s="401"/>
      <c r="I6" s="401"/>
      <c r="J6" s="401"/>
      <c r="K6" s="402"/>
    </row>
    <row r="7" spans="1:12" x14ac:dyDescent="0.35">
      <c r="B7" s="245" t="s">
        <v>273</v>
      </c>
      <c r="C7" s="245" t="s">
        <v>274</v>
      </c>
      <c r="D7" s="245" t="s">
        <v>451</v>
      </c>
      <c r="E7" s="245">
        <f>+'Costo capital'!D21</f>
        <v>2018</v>
      </c>
      <c r="F7" s="245">
        <f>+'Costo capital'!E21</f>
        <v>2019</v>
      </c>
      <c r="G7" s="245">
        <f>+'Costo capital'!F21</f>
        <v>2020</v>
      </c>
      <c r="H7" s="245">
        <f>+'Costo capital'!G21</f>
        <v>2021</v>
      </c>
      <c r="I7" s="245">
        <f>+'Costo capital'!H21</f>
        <v>2022</v>
      </c>
      <c r="J7" s="245">
        <f>+'Costo capital'!I21</f>
        <v>2023</v>
      </c>
      <c r="K7" s="245" t="str">
        <f>+'Costo capital'!J21</f>
        <v>REFERENTE</v>
      </c>
      <c r="L7" t="s">
        <v>222</v>
      </c>
    </row>
    <row r="8" spans="1:12" ht="55.2" customHeight="1" x14ac:dyDescent="0.35">
      <c r="B8" s="185" t="s">
        <v>258</v>
      </c>
      <c r="C8" s="186" t="s">
        <v>452</v>
      </c>
      <c r="D8" s="187" t="s">
        <v>453</v>
      </c>
      <c r="E8" s="450">
        <f>+Liquidez!E14</f>
        <v>5147647794</v>
      </c>
      <c r="F8" s="450">
        <f>+Liquidez!F14</f>
        <v>3863410859</v>
      </c>
      <c r="G8" s="450">
        <f>+Liquidez!G14</f>
        <v>5630348767</v>
      </c>
      <c r="H8" s="450">
        <f>+Liquidez!H14</f>
        <v>5204892612</v>
      </c>
      <c r="I8" s="450">
        <f>+Liquidez!I14</f>
        <v>4628809014</v>
      </c>
      <c r="J8" s="450">
        <f>+Liquidez!J14</f>
        <v>8453230341</v>
      </c>
      <c r="K8" s="450">
        <f>+Liquidez!K14</f>
        <v>2011795.81</v>
      </c>
    </row>
    <row r="9" spans="1:12" ht="55.2" customHeight="1" x14ac:dyDescent="0.35">
      <c r="B9" s="242" t="s">
        <v>454</v>
      </c>
      <c r="C9" s="240" t="s">
        <v>455</v>
      </c>
      <c r="D9" s="244" t="s">
        <v>456</v>
      </c>
      <c r="E9" s="451">
        <f>+E8/'Estado Resultados'!C8</f>
        <v>0.58748353655616048</v>
      </c>
      <c r="F9" s="451">
        <f>+F8/'Estado Resultados'!D8</f>
        <v>0.32948722247174872</v>
      </c>
      <c r="G9" s="451">
        <f>+G8/'Estado Resultados'!E8</f>
        <v>0.29292383080764522</v>
      </c>
      <c r="H9" s="451">
        <f>+H8/'Estado Resultados'!F8</f>
        <v>0.22960915385569208</v>
      </c>
      <c r="I9" s="451">
        <f>+I8/'Estado Resultados'!G8</f>
        <v>0.15929770523591785</v>
      </c>
      <c r="J9" s="451">
        <f>+J8/'Estado Resultados'!H8</f>
        <v>0.24449734708988896</v>
      </c>
      <c r="K9" s="451">
        <f>+K8/'Estado Resultados'!I8</f>
        <v>0.10640895837210995</v>
      </c>
    </row>
    <row r="10" spans="1:12" ht="55.2" customHeight="1" x14ac:dyDescent="0.35">
      <c r="B10" s="185" t="s">
        <v>375</v>
      </c>
      <c r="C10" s="186" t="s">
        <v>457</v>
      </c>
      <c r="D10" s="187" t="s">
        <v>458</v>
      </c>
      <c r="E10" s="452">
        <f>+Rentabilidad!E26</f>
        <v>0.13351335640190501</v>
      </c>
      <c r="F10" s="452">
        <f>+Rentabilidad!F26</f>
        <v>0.11820433807286906</v>
      </c>
      <c r="G10" s="452">
        <f>+Rentabilidad!G26</f>
        <v>0.20277197252069432</v>
      </c>
      <c r="H10" s="452">
        <f>+Rentabilidad!H26</f>
        <v>0.13300149686870302</v>
      </c>
      <c r="I10" s="452">
        <f>+Rentabilidad!I26</f>
        <v>9.9004830019492285E-2</v>
      </c>
      <c r="J10" s="452">
        <f>+Rentabilidad!J26</f>
        <v>8.287624011960483E-2</v>
      </c>
      <c r="K10" s="452">
        <f>+Rentabilidad!K26</f>
        <v>9.1406583661744423E-2</v>
      </c>
    </row>
    <row r="11" spans="1:12" ht="55.2" customHeight="1" x14ac:dyDescent="0.35">
      <c r="B11" s="242" t="s">
        <v>172</v>
      </c>
      <c r="C11" s="240" t="s">
        <v>459</v>
      </c>
      <c r="D11" s="244" t="s">
        <v>460</v>
      </c>
      <c r="E11" s="453">
        <f>+E10/E9</f>
        <v>0.2272631454228706</v>
      </c>
      <c r="F11" s="453">
        <f t="shared" ref="F11:K11" si="0">+F10/F9</f>
        <v>0.35875241894396764</v>
      </c>
      <c r="G11" s="453">
        <f t="shared" si="0"/>
        <v>0.69223446915061315</v>
      </c>
      <c r="H11" s="453">
        <f t="shared" si="0"/>
        <v>0.57925171812746468</v>
      </c>
      <c r="I11" s="453">
        <f t="shared" si="0"/>
        <v>0.6215081998379538</v>
      </c>
      <c r="J11" s="453">
        <f t="shared" si="0"/>
        <v>0.33896580517552832</v>
      </c>
      <c r="K11" s="453">
        <f t="shared" si="0"/>
        <v>0.85901210819203278</v>
      </c>
    </row>
    <row r="12" spans="1:12" ht="55.2" customHeight="1" x14ac:dyDescent="0.35">
      <c r="B12" s="185" t="s">
        <v>461</v>
      </c>
      <c r="C12" s="186" t="s">
        <v>462</v>
      </c>
      <c r="D12" s="187" t="s">
        <v>463</v>
      </c>
      <c r="E12" s="450">
        <f>+E8+Balance!C28+Balance!C31</f>
        <v>7784262104</v>
      </c>
      <c r="F12" s="450">
        <f>+F8+Balance!D28+Balance!D31</f>
        <v>6462103176.5</v>
      </c>
      <c r="G12" s="450">
        <f>+G8+Balance!E28+Balance!E31</f>
        <v>8487684991.5</v>
      </c>
      <c r="H12" s="450">
        <f>+H8+Balance!F28+Balance!F31</f>
        <v>9179581004.5</v>
      </c>
      <c r="I12" s="450">
        <f>+I8+Balance!G28+Balance!G31</f>
        <v>8455980808</v>
      </c>
      <c r="J12" s="450">
        <f>+J8+Balance!H28+Balance!H31</f>
        <v>12130376232</v>
      </c>
      <c r="K12" s="450">
        <f>+K8+Balance!I28+Balance!I31</f>
        <v>5979749.1899999995</v>
      </c>
      <c r="L12" t="s">
        <v>222</v>
      </c>
    </row>
    <row r="13" spans="1:12" ht="55.2" customHeight="1" x14ac:dyDescent="0.35">
      <c r="B13" s="239" t="s">
        <v>464</v>
      </c>
      <c r="C13" s="240" t="s">
        <v>465</v>
      </c>
      <c r="D13" s="244" t="s">
        <v>466</v>
      </c>
      <c r="E13" s="454">
        <f>+'Estado Resultados'!C17*(1-Variables!D86)</f>
        <v>631256679.28967249</v>
      </c>
      <c r="F13" s="454">
        <f>+'Estado Resultados'!D17*(1-Variables!E86)</f>
        <v>766119177.55722988</v>
      </c>
      <c r="G13" s="454">
        <f>+'Estado Resultados'!E17*(1-Variables!F86)</f>
        <v>2340755021.7856555</v>
      </c>
      <c r="H13" s="454">
        <f>+'Estado Resultados'!F17*(1-Variables!G86)</f>
        <v>1899322372.9721651</v>
      </c>
      <c r="I13" s="454">
        <f>+'Estado Resultados'!G17*(1-Variables!H86)</f>
        <v>1652289100.8919899</v>
      </c>
      <c r="J13" s="454">
        <f>+'Estado Resultados'!H17*(1-Variables!I86)</f>
        <v>1705871369.3150387</v>
      </c>
      <c r="K13" s="454">
        <f>+'Estado Resultados'!I17*(1-Variables!J86)</f>
        <v>1140583.5935999986</v>
      </c>
      <c r="L13" t="s">
        <v>222</v>
      </c>
    </row>
    <row r="14" spans="1:12" ht="55.2" customHeight="1" x14ac:dyDescent="0.35">
      <c r="B14" s="189" t="s">
        <v>467</v>
      </c>
      <c r="C14" s="186" t="s">
        <v>468</v>
      </c>
      <c r="D14" s="187" t="s">
        <v>469</v>
      </c>
      <c r="E14" s="247">
        <f>+E13/E12</f>
        <v>8.1093965086979358E-2</v>
      </c>
      <c r="F14" s="247">
        <f t="shared" ref="F14:K14" si="1">+F13/F12</f>
        <v>0.11855570185621438</v>
      </c>
      <c r="G14" s="247">
        <f t="shared" si="1"/>
        <v>0.27578250419635114</v>
      </c>
      <c r="H14" s="247">
        <f t="shared" si="1"/>
        <v>0.20690730568651033</v>
      </c>
      <c r="I14" s="247">
        <f t="shared" si="1"/>
        <v>0.19539887074114443</v>
      </c>
      <c r="J14" s="247">
        <f t="shared" si="1"/>
        <v>0.14062806764516839</v>
      </c>
      <c r="K14" s="247">
        <f t="shared" si="1"/>
        <v>0.1907410423680326</v>
      </c>
      <c r="L14" t="s">
        <v>222</v>
      </c>
    </row>
    <row r="15" spans="1:12" ht="55.2" customHeight="1" x14ac:dyDescent="0.35">
      <c r="B15" s="239" t="s">
        <v>470</v>
      </c>
      <c r="C15" s="240" t="s">
        <v>471</v>
      </c>
      <c r="D15" s="244" t="s">
        <v>472</v>
      </c>
      <c r="E15" s="455">
        <f>+'Costo capital'!D73</f>
        <v>6.7464166948661683E-2</v>
      </c>
      <c r="F15" s="455">
        <f>+'Costo capital'!E73</f>
        <v>6.6926695934903371E-2</v>
      </c>
      <c r="G15" s="455">
        <f>+'Costo capital'!F73</f>
        <v>7.2465300743290245E-2</v>
      </c>
      <c r="H15" s="455">
        <f>+'Costo capital'!G73</f>
        <v>6.7353350303357734E-2</v>
      </c>
      <c r="I15" s="455">
        <f>+'Costo capital'!H73</f>
        <v>7.1053853880534895E-2</v>
      </c>
      <c r="J15" s="455">
        <f>+'Costo capital'!I73</f>
        <v>6.2727517117026996E-2</v>
      </c>
      <c r="K15" s="455">
        <f>+'Costo capital'!J73</f>
        <v>0</v>
      </c>
    </row>
    <row r="16" spans="1:12" ht="55.2" customHeight="1" x14ac:dyDescent="0.35">
      <c r="B16" s="185" t="s">
        <v>473</v>
      </c>
      <c r="C16" s="186" t="s">
        <v>474</v>
      </c>
      <c r="D16" s="187" t="s">
        <v>475</v>
      </c>
      <c r="E16" s="246">
        <f>+E12*(E14-E15)</f>
        <v>106097921.13327603</v>
      </c>
      <c r="F16" s="246">
        <f t="shared" ref="F16:K16" si="2">+F12*(F14-F15)</f>
        <v>333631963.16364115</v>
      </c>
      <c r="G16" s="246">
        <f>+G12*(G14-G15)</f>
        <v>1725692376.2622969</v>
      </c>
      <c r="H16" s="246">
        <f t="shared" si="2"/>
        <v>1281046837.9380281</v>
      </c>
      <c r="I16" s="246">
        <f t="shared" si="2"/>
        <v>1051459076.1437505</v>
      </c>
      <c r="J16" s="246">
        <f t="shared" si="2"/>
        <v>944962986.58628142</v>
      </c>
      <c r="K16" s="246">
        <f t="shared" si="2"/>
        <v>1140583.5935999986</v>
      </c>
      <c r="L16" t="s">
        <v>222</v>
      </c>
    </row>
    <row r="17" spans="2:12" ht="55.2" customHeight="1" x14ac:dyDescent="0.35">
      <c r="B17" s="242" t="s">
        <v>473</v>
      </c>
      <c r="C17" s="240" t="s">
        <v>476</v>
      </c>
      <c r="D17" s="244" t="s">
        <v>477</v>
      </c>
      <c r="E17" s="249">
        <f>+E13-E12*E15</f>
        <v>106097921.13327605</v>
      </c>
      <c r="F17" s="249">
        <f t="shared" ref="F17:K17" si="3">+F13-F12*F15</f>
        <v>333631963.16364115</v>
      </c>
      <c r="G17" s="249">
        <f t="shared" si="3"/>
        <v>1725692376.2622972</v>
      </c>
      <c r="H17" s="249">
        <f t="shared" si="3"/>
        <v>1281046837.9380281</v>
      </c>
      <c r="I17" s="249">
        <f t="shared" si="3"/>
        <v>1051459076.1437505</v>
      </c>
      <c r="J17" s="249">
        <f t="shared" si="3"/>
        <v>944962986.5862813</v>
      </c>
      <c r="K17" s="249">
        <f t="shared" si="3"/>
        <v>1140583.5935999986</v>
      </c>
      <c r="L17" t="s">
        <v>222</v>
      </c>
    </row>
    <row r="18" spans="2:12" ht="43.2" x14ac:dyDescent="0.35">
      <c r="B18" s="185" t="s">
        <v>478</v>
      </c>
      <c r="C18" s="186" t="s">
        <v>479</v>
      </c>
      <c r="D18" s="187" t="s">
        <v>480</v>
      </c>
      <c r="E18" s="247">
        <f>+E16/E12</f>
        <v>1.3629798138317675E-2</v>
      </c>
      <c r="F18" s="247">
        <f t="shared" ref="F18:K18" si="4">+F16/F12</f>
        <v>5.1629005921311005E-2</v>
      </c>
      <c r="G18" s="247">
        <f t="shared" si="4"/>
        <v>0.2033172034530609</v>
      </c>
      <c r="H18" s="247">
        <f t="shared" si="4"/>
        <v>0.1395539553831526</v>
      </c>
      <c r="I18" s="247">
        <f t="shared" si="4"/>
        <v>0.12434501686060953</v>
      </c>
      <c r="J18" s="247">
        <f t="shared" si="4"/>
        <v>7.7900550528141391E-2</v>
      </c>
      <c r="K18" s="247">
        <f t="shared" si="4"/>
        <v>0.1907410423680326</v>
      </c>
    </row>
    <row r="19" spans="2:12" ht="187.2" x14ac:dyDescent="0.35">
      <c r="B19" s="239" t="s">
        <v>481</v>
      </c>
      <c r="C19" s="250" t="s">
        <v>482</v>
      </c>
      <c r="D19" s="251" t="s">
        <v>483</v>
      </c>
      <c r="E19" s="453">
        <f>1.2*((Balance!C18-Balance!C48)/Balance!C36)+1.4*(Balance!C67/Balance!C36)+3.3*('Estado Resultados'!C17/Balance!C36)+0.6*(Balance!C71/Balance!C58)+1*('Estado Resultados'!C8/Balance!C36)</f>
        <v>2.5470300335066471</v>
      </c>
      <c r="F19" s="453">
        <f>1.2*((Balance!D18-Balance!D48)/Balance!D36)+1.4*(Balance!D67/Balance!D36)+3.3*('Estado Resultados'!D17/Balance!D36)+0.6*(Balance!D71/Balance!D58)+1*('Estado Resultados'!D8/Balance!D36)</f>
        <v>2.4708158494305659</v>
      </c>
      <c r="G19" s="453">
        <f>1.2*((Balance!E18-Balance!E48)/Balance!E36)+1.4*(Balance!E67/Balance!E36)+3.3*('Estado Resultados'!E17/Balance!E36)+0.6*(Balance!E71/Balance!E58)+1*('Estado Resultados'!E8/Balance!E36)</f>
        <v>3.5309678227761614</v>
      </c>
      <c r="H19" s="453">
        <f>1.2*((Balance!F18-Balance!F48)/Balance!F36)+1.4*(Balance!F67/Balance!F36)+3.3*('Estado Resultados'!F17/Balance!F36)+0.6*(Balance!F71/Balance!F58)+1*('Estado Resultados'!F8/Balance!F36)</f>
        <v>2.6516659608780051</v>
      </c>
      <c r="I19" s="453">
        <f>1.2*((Balance!G18-Balance!G48)/Balance!G36)+1.4*(Balance!G67/Balance!G36)+3.3*('Estado Resultados'!G17/Balance!G36)+0.6*(Balance!G71/Balance!G58)+1*('Estado Resultados'!G8/Balance!G36)</f>
        <v>2.840994425488832</v>
      </c>
      <c r="J19" s="453">
        <f>1.2*((Balance!H18-Balance!H48)/Balance!H36)+1.4*(Balance!H67/Balance!H36)+3.3*('Estado Resultados'!H17/Balance!H36)+0.6*(Balance!H71/Balance!H58)+1*('Estado Resultados'!H8/Balance!H36)</f>
        <v>2.433301389508741</v>
      </c>
      <c r="K19" s="453">
        <f>1.2*((Balance!I18-Balance!I48)/Balance!I36)+1.4*(Balance!I67/Balance!I36)+3.3*('Estado Resultados'!I17/Balance!I36)+0.6*(Balance!I71/Balance!I58)+1*('Estado Resultados'!I8/Balance!I36)</f>
        <v>2.1458119359289558</v>
      </c>
    </row>
    <row r="20" spans="2:12" ht="129.6" x14ac:dyDescent="0.35">
      <c r="B20" s="189" t="s">
        <v>484</v>
      </c>
      <c r="C20" s="194" t="s">
        <v>485</v>
      </c>
      <c r="D20" s="248" t="s">
        <v>486</v>
      </c>
      <c r="E20" s="456">
        <f>16*((Balance!C11+Balance!C12)/Balance!C36)+22*(Balance!C28/Balance!C36)-87*('Estado Resultados'!C21/'Estado Resultados'!C8)-10*('Estado Resultados'!C14*12%/'Generacion de Valor'!E17)+24*('Estado Resultados'!C17/Balance!C58)</f>
        <v>-4.645627168760539</v>
      </c>
      <c r="F20" s="456">
        <f>16*((Balance!D11+Balance!D12)/Balance!D36)+22*(Balance!D28/Balance!D36)-87*('Estado Resultados'!D21/'Estado Resultados'!D8)-10*('Estado Resultados'!D14*12%/'Generacion de Valor'!F17)+24*('Estado Resultados'!D17/Balance!D58)</f>
        <v>1.5647177162235604</v>
      </c>
      <c r="G20" s="456">
        <f>16*((Balance!E11+Balance!E12)/Balance!E36)+22*(Balance!E28/Balance!E36)-87*('Estado Resultados'!E21/'Estado Resultados'!E8)-10*('Estado Resultados'!E14*12%/'Generacion de Valor'!G17)+24*('Estado Resultados'!E17/Balance!E58)</f>
        <v>13.77191520391867</v>
      </c>
      <c r="H20" s="456">
        <f>16*((Balance!F11+Balance!F12)/Balance!F36)+22*(Balance!F28/Balance!F36)-87*('Estado Resultados'!F21/'Estado Resultados'!F8)-10*('Estado Resultados'!F14*12%/'Generacion de Valor'!H17)+24*('Estado Resultados'!F17/Balance!F58)</f>
        <v>7.1122842797559667</v>
      </c>
      <c r="I20" s="456">
        <f>16*((Balance!G11+Balance!G12)/Balance!G36)+22*(Balance!G28/Balance!G36)-87*('Estado Resultados'!G21/'Estado Resultados'!G8)-10*('Estado Resultados'!G14*12%/'Generacion de Valor'!I17)+24*('Estado Resultados'!G17/Balance!G58)</f>
        <v>4.2057140091419516</v>
      </c>
      <c r="J20" s="456">
        <f>16*((Balance!H11+Balance!H12)/Balance!H36)+22*(Balance!H28/Balance!H36)-87*('Estado Resultados'!H21/'Estado Resultados'!H8)-10*('Estado Resultados'!H14*12%/'Generacion de Valor'!J17)+24*('Estado Resultados'!H17/Balance!H58)</f>
        <v>0.7251898575108342</v>
      </c>
      <c r="K20" s="456">
        <f>16*((Balance!I11+Balance!I12)/Balance!I36)+22*(Balance!I28/Balance!I36)-87*('Estado Resultados'!I21/'Estado Resultados'!I8)-10*('Estado Resultados'!I14*12%/'Generacion de Valor'!K17)+24*('Estado Resultados'!I17/Balance!I58)</f>
        <v>1.2834724176839796</v>
      </c>
      <c r="L20" t="s">
        <v>222</v>
      </c>
    </row>
    <row r="21" spans="2:12" x14ac:dyDescent="0.35">
      <c r="D21" s="403">
        <f>4*1.8</f>
        <v>7.2</v>
      </c>
      <c r="E21">
        <f t="shared" ref="E21:K21" si="5">+E20*E19</f>
        <v>-11.832551923307546</v>
      </c>
      <c r="F21">
        <f t="shared" si="5"/>
        <v>3.8661293331299715</v>
      </c>
      <c r="G21">
        <f t="shared" si="5"/>
        <v>48.628189443038622</v>
      </c>
      <c r="H21">
        <f t="shared" si="5"/>
        <v>18.859402128716635</v>
      </c>
      <c r="I21">
        <f t="shared" si="5"/>
        <v>11.948410055172571</v>
      </c>
      <c r="J21">
        <f t="shared" si="5"/>
        <v>1.7646054879387587</v>
      </c>
      <c r="K21">
        <f t="shared" si="5"/>
        <v>2.7540904333018776</v>
      </c>
      <c r="L21" t="s">
        <v>222</v>
      </c>
    </row>
    <row r="22" spans="2:12" x14ac:dyDescent="0.35">
      <c r="D22">
        <f>9*3</f>
        <v>27</v>
      </c>
    </row>
    <row r="23" spans="2:12" x14ac:dyDescent="0.35">
      <c r="D23" s="2"/>
      <c r="E23" s="2">
        <f>+E7</f>
        <v>2018</v>
      </c>
      <c r="F23" s="2">
        <f>+F7</f>
        <v>2019</v>
      </c>
      <c r="G23" s="2">
        <f t="shared" ref="G23:K23" si="6">+G7</f>
        <v>2020</v>
      </c>
      <c r="H23" s="2">
        <f t="shared" si="6"/>
        <v>2021</v>
      </c>
      <c r="I23" s="2">
        <f t="shared" si="6"/>
        <v>2022</v>
      </c>
      <c r="J23" s="2">
        <f t="shared" si="6"/>
        <v>2023</v>
      </c>
      <c r="K23" s="2" t="str">
        <f t="shared" si="6"/>
        <v>REFERENTE</v>
      </c>
      <c r="L23" t="s">
        <v>222</v>
      </c>
    </row>
    <row r="24" spans="2:12" x14ac:dyDescent="0.35">
      <c r="D24" s="2" t="s">
        <v>487</v>
      </c>
      <c r="E24" s="326">
        <f t="shared" ref="E24:F25" si="7">+E14</f>
        <v>8.1093965086979358E-2</v>
      </c>
      <c r="F24" s="326">
        <f t="shared" si="7"/>
        <v>0.11855570185621438</v>
      </c>
      <c r="G24" s="326">
        <f t="shared" ref="G24:K24" si="8">+G14</f>
        <v>0.27578250419635114</v>
      </c>
      <c r="H24" s="326">
        <f t="shared" si="8"/>
        <v>0.20690730568651033</v>
      </c>
      <c r="I24" s="326">
        <f t="shared" si="8"/>
        <v>0.19539887074114443</v>
      </c>
      <c r="J24" s="326">
        <f t="shared" si="8"/>
        <v>0.14062806764516839</v>
      </c>
      <c r="K24" s="326">
        <f t="shared" si="8"/>
        <v>0.1907410423680326</v>
      </c>
      <c r="L24" t="s">
        <v>222</v>
      </c>
    </row>
    <row r="25" spans="2:12" x14ac:dyDescent="0.35">
      <c r="D25" s="2" t="s">
        <v>488</v>
      </c>
      <c r="E25" s="326">
        <f t="shared" si="7"/>
        <v>6.7464166948661683E-2</v>
      </c>
      <c r="F25" s="326">
        <f t="shared" si="7"/>
        <v>6.6926695934903371E-2</v>
      </c>
      <c r="G25" s="326">
        <f t="shared" ref="G25:K25" si="9">+G15</f>
        <v>7.2465300743290245E-2</v>
      </c>
      <c r="H25" s="326">
        <f t="shared" si="9"/>
        <v>6.7353350303357734E-2</v>
      </c>
      <c r="I25" s="326">
        <f t="shared" si="9"/>
        <v>7.1053853880534895E-2</v>
      </c>
      <c r="J25" s="326">
        <f t="shared" si="9"/>
        <v>6.2727517117026996E-2</v>
      </c>
      <c r="K25" s="326">
        <f t="shared" si="9"/>
        <v>0</v>
      </c>
      <c r="L25" t="s">
        <v>222</v>
      </c>
    </row>
    <row r="26" spans="2:12" x14ac:dyDescent="0.35">
      <c r="D26" s="2" t="s">
        <v>473</v>
      </c>
      <c r="E26" s="326">
        <f>+E18</f>
        <v>1.3629798138317675E-2</v>
      </c>
      <c r="F26" s="326">
        <f>+F18</f>
        <v>5.1629005921311005E-2</v>
      </c>
      <c r="G26" s="326">
        <f>+G18</f>
        <v>0.2033172034530609</v>
      </c>
      <c r="H26" s="326">
        <f t="shared" ref="H26:K26" si="10">+H18</f>
        <v>0.1395539553831526</v>
      </c>
      <c r="I26" s="326">
        <f t="shared" si="10"/>
        <v>0.12434501686060953</v>
      </c>
      <c r="J26" s="326">
        <f t="shared" si="10"/>
        <v>7.7900550528141391E-2</v>
      </c>
      <c r="K26" s="326">
        <f t="shared" si="10"/>
        <v>0.1907410423680326</v>
      </c>
      <c r="L26" t="s">
        <v>222</v>
      </c>
    </row>
    <row r="27" spans="2:12" x14ac:dyDescent="0.35">
      <c r="L27" t="s">
        <v>222</v>
      </c>
    </row>
    <row r="28" spans="2:12" x14ac:dyDescent="0.35">
      <c r="L28" t="s">
        <v>222</v>
      </c>
    </row>
    <row r="29" spans="2:12" x14ac:dyDescent="0.35">
      <c r="L29" t="s">
        <v>222</v>
      </c>
    </row>
    <row r="30" spans="2:12" x14ac:dyDescent="0.35">
      <c r="L30" t="s">
        <v>222</v>
      </c>
    </row>
    <row r="31" spans="2:12" x14ac:dyDescent="0.35">
      <c r="L31" t="s">
        <v>222</v>
      </c>
    </row>
    <row r="32" spans="2:12" x14ac:dyDescent="0.35">
      <c r="L32" t="s">
        <v>222</v>
      </c>
    </row>
    <row r="33" spans="12:12" x14ac:dyDescent="0.35">
      <c r="L33" t="s">
        <v>222</v>
      </c>
    </row>
    <row r="34" spans="12:12" x14ac:dyDescent="0.35">
      <c r="L34" t="s">
        <v>222</v>
      </c>
    </row>
    <row r="35" spans="12:12" x14ac:dyDescent="0.35">
      <c r="L35" t="s">
        <v>222</v>
      </c>
    </row>
    <row r="36" spans="12:12" x14ac:dyDescent="0.35">
      <c r="L36" t="s">
        <v>222</v>
      </c>
    </row>
    <row r="37" spans="12:12" x14ac:dyDescent="0.35">
      <c r="L37" t="s">
        <v>222</v>
      </c>
    </row>
    <row r="38" spans="12:12" x14ac:dyDescent="0.35">
      <c r="L38" t="s">
        <v>222</v>
      </c>
    </row>
    <row r="39" spans="12:12" x14ac:dyDescent="0.35">
      <c r="L39" t="s">
        <v>222</v>
      </c>
    </row>
    <row r="40" spans="12:12" x14ac:dyDescent="0.35">
      <c r="L40" t="s">
        <v>222</v>
      </c>
    </row>
    <row r="41" spans="12:12" x14ac:dyDescent="0.35">
      <c r="L41" t="s">
        <v>222</v>
      </c>
    </row>
    <row r="42" spans="12:12" x14ac:dyDescent="0.35">
      <c r="L42" t="s">
        <v>222</v>
      </c>
    </row>
    <row r="43" spans="12:12" x14ac:dyDescent="0.35">
      <c r="L43" t="s">
        <v>222</v>
      </c>
    </row>
    <row r="44" spans="12:12" x14ac:dyDescent="0.35">
      <c r="L44" t="s">
        <v>222</v>
      </c>
    </row>
    <row r="45" spans="12:12" x14ac:dyDescent="0.35">
      <c r="L45" t="s">
        <v>222</v>
      </c>
    </row>
    <row r="46" spans="12:12" hidden="1" x14ac:dyDescent="0.35">
      <c r="L46" t="s">
        <v>222</v>
      </c>
    </row>
    <row r="47" spans="12:12" x14ac:dyDescent="0.35"/>
    <row r="48" spans="12:12"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sheetData>
  <sheetProtection selectLockedCells="1" selectUnlockedCells="1"/>
  <mergeCells count="3">
    <mergeCell ref="B3:K3"/>
    <mergeCell ref="B4:K4"/>
    <mergeCell ref="B5:K5"/>
  </mergeCells>
  <conditionalFormatting sqref="E19:J19">
    <cfRule type="cellIs" dxfId="104" priority="7" operator="greaterThan">
      <formula>3</formula>
    </cfRule>
    <cfRule type="cellIs" dxfId="103" priority="8" operator="between">
      <formula>1.8</formula>
      <formula>3</formula>
    </cfRule>
    <cfRule type="cellIs" dxfId="102" priority="9" operator="lessThan">
      <formula>1.8</formula>
    </cfRule>
  </conditionalFormatting>
  <conditionalFormatting sqref="E20:J20">
    <cfRule type="cellIs" dxfId="101" priority="4" operator="greaterThan">
      <formula>9</formula>
    </cfRule>
    <cfRule type="cellIs" dxfId="100" priority="5" operator="between">
      <formula>4</formula>
      <formula>9</formula>
    </cfRule>
    <cfRule type="cellIs" dxfId="99" priority="6" operator="lessThan">
      <formula>4</formula>
    </cfRule>
  </conditionalFormatting>
  <conditionalFormatting sqref="E21:K21">
    <cfRule type="cellIs" dxfId="98" priority="1" operator="greaterThan">
      <formula>27</formula>
    </cfRule>
    <cfRule type="cellIs" dxfId="97" priority="2" operator="between">
      <formula>7.2</formula>
      <formula>27</formula>
    </cfRule>
    <cfRule type="cellIs" dxfId="96" priority="3" operator="lessThan">
      <formula>7.2</formula>
    </cfRule>
  </conditionalFormatting>
  <printOptions horizontalCentered="1"/>
  <pageMargins left="0.70866141732283472" right="0.31496062992125984" top="0.48" bottom="0.43307086614173229" header="0" footer="0"/>
  <pageSetup scale="7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7"/>
  <dimension ref="A1:N60"/>
  <sheetViews>
    <sheetView topLeftCell="C2" workbookViewId="0">
      <selection activeCell="J2" sqref="J2"/>
    </sheetView>
  </sheetViews>
  <sheetFormatPr baseColWidth="10" defaultColWidth="0" defaultRowHeight="14.4" zeroHeight="1" x14ac:dyDescent="0.35"/>
  <cols>
    <col min="1" max="1" width="3.5546875" customWidth="1"/>
    <col min="2" max="2" width="35.5546875" customWidth="1"/>
    <col min="3" max="3" width="45.6640625" customWidth="1"/>
    <col min="4" max="4" width="36.44140625" customWidth="1"/>
    <col min="5" max="6" width="13.88671875" bestFit="1" customWidth="1"/>
    <col min="7" max="7" width="13.6640625" customWidth="1"/>
    <col min="8" max="8" width="14" bestFit="1" customWidth="1"/>
    <col min="9" max="11" width="14" customWidth="1"/>
    <col min="12" max="12" width="3.5546875" customWidth="1"/>
    <col min="13" max="13" width="0" hidden="1" customWidth="1"/>
    <col min="14" max="16384" width="11.44140625" hidden="1"/>
  </cols>
  <sheetData>
    <row r="1" spans="1:14" x14ac:dyDescent="0.35">
      <c r="D1" s="1"/>
      <c r="E1" s="1"/>
      <c r="F1" s="1"/>
      <c r="G1" s="1"/>
      <c r="H1" s="1"/>
      <c r="I1" s="1"/>
      <c r="J1" s="1"/>
      <c r="K1" s="1"/>
    </row>
    <row r="2" spans="1:14" x14ac:dyDescent="0.35"/>
    <row r="3" spans="1:14" ht="28.5" customHeight="1" x14ac:dyDescent="0.5">
      <c r="A3" s="2"/>
      <c r="B3" s="555" t="str">
        <f>+'Fuentes y aplicaciones'!B3:G3</f>
        <v>K-LISTO</v>
      </c>
      <c r="C3" s="556"/>
      <c r="D3" s="556"/>
      <c r="E3" s="556"/>
      <c r="F3" s="556"/>
      <c r="G3" s="556"/>
      <c r="H3" s="556"/>
      <c r="I3" s="556"/>
      <c r="J3" s="556"/>
      <c r="K3" s="556"/>
      <c r="L3" t="s">
        <v>222</v>
      </c>
    </row>
    <row r="4" spans="1:14" ht="22.2" x14ac:dyDescent="0.45">
      <c r="A4" s="2"/>
      <c r="B4" s="495" t="s">
        <v>489</v>
      </c>
      <c r="C4" s="496"/>
      <c r="D4" s="496"/>
      <c r="E4" s="496"/>
      <c r="F4" s="496"/>
      <c r="G4" s="496"/>
      <c r="H4" s="496"/>
      <c r="I4" s="496"/>
      <c r="J4" s="496"/>
      <c r="K4" s="496"/>
      <c r="L4" t="s">
        <v>222</v>
      </c>
    </row>
    <row r="5" spans="1:14" x14ac:dyDescent="0.35">
      <c r="A5" s="2"/>
      <c r="B5" s="497"/>
      <c r="C5" s="498"/>
      <c r="D5" s="498"/>
      <c r="E5" s="498"/>
      <c r="F5" s="498"/>
      <c r="G5" s="498"/>
      <c r="H5" s="498"/>
      <c r="I5" s="498"/>
      <c r="J5" s="498"/>
      <c r="K5" s="498"/>
      <c r="L5" t="s">
        <v>222</v>
      </c>
    </row>
    <row r="6" spans="1:14" x14ac:dyDescent="0.35">
      <c r="A6" s="151"/>
      <c r="B6" s="552"/>
      <c r="C6" s="553"/>
      <c r="D6" s="553"/>
      <c r="E6" s="553"/>
      <c r="F6" s="553"/>
      <c r="G6" s="553"/>
      <c r="H6" s="554"/>
      <c r="I6" s="318"/>
      <c r="J6" s="318"/>
      <c r="K6" s="318"/>
      <c r="L6" s="212"/>
      <c r="M6" s="212"/>
      <c r="N6" s="212"/>
    </row>
    <row r="7" spans="1:14" ht="15" x14ac:dyDescent="0.35">
      <c r="B7" s="207" t="s">
        <v>216</v>
      </c>
      <c r="C7" s="207" t="s">
        <v>217</v>
      </c>
      <c r="D7" s="207" t="s">
        <v>218</v>
      </c>
      <c r="E7" s="207">
        <f>+Variables!D7</f>
        <v>2018</v>
      </c>
      <c r="F7" s="207">
        <f>+Variables!E7</f>
        <v>2019</v>
      </c>
      <c r="G7" s="207">
        <f>+Variables!F7</f>
        <v>2020</v>
      </c>
      <c r="H7" s="207">
        <f>+Variables!G7</f>
        <v>2021</v>
      </c>
      <c r="I7" s="207">
        <f>+Variables!H7</f>
        <v>2022</v>
      </c>
      <c r="J7" s="207">
        <f>+Variables!I7</f>
        <v>2023</v>
      </c>
      <c r="K7" s="328" t="s">
        <v>195</v>
      </c>
      <c r="L7" s="212"/>
      <c r="M7" s="208"/>
      <c r="N7" s="208"/>
    </row>
    <row r="8" spans="1:14" ht="28.8" x14ac:dyDescent="0.35">
      <c r="B8" s="185" t="s">
        <v>490</v>
      </c>
      <c r="C8" s="185" t="s">
        <v>491</v>
      </c>
      <c r="D8" s="187" t="s">
        <v>492</v>
      </c>
      <c r="E8" s="211">
        <f>+Balance!C18</f>
        <v>5700250510</v>
      </c>
      <c r="F8" s="211">
        <f>+Balance!D18</f>
        <v>5615556471</v>
      </c>
      <c r="G8" s="211">
        <f>+Balance!E18</f>
        <v>8525446370</v>
      </c>
      <c r="H8" s="211">
        <f>+Balance!F18</f>
        <v>8627541714</v>
      </c>
      <c r="I8" s="211">
        <f>+Balance!G18</f>
        <v>9650241817</v>
      </c>
      <c r="J8" s="211">
        <f>+Balance!H18</f>
        <v>14699528109</v>
      </c>
      <c r="K8" s="211">
        <f>+Balance!I18</f>
        <v>5781798.1000000006</v>
      </c>
      <c r="L8" s="212"/>
      <c r="M8" s="206">
        <f>+(Balance!C13+Balance!D13)/2/'Estado Resultados'!D8*365</f>
        <v>128.11221379922702</v>
      </c>
      <c r="N8" s="206">
        <f>+(Balance!D13+Balance!F13)/2/'Estado Resultados'!F8*365</f>
        <v>64.829039649045882</v>
      </c>
    </row>
    <row r="9" spans="1:14" ht="28.8" x14ac:dyDescent="0.35">
      <c r="B9" s="200" t="s">
        <v>493</v>
      </c>
      <c r="C9" s="200" t="s">
        <v>494</v>
      </c>
      <c r="D9" s="196" t="s">
        <v>495</v>
      </c>
      <c r="E9" s="199">
        <f>E8/Balance!C36</f>
        <v>0.6363808113442162</v>
      </c>
      <c r="F9" s="199">
        <f>F8/Balance!D36</f>
        <v>0.5333626332934952</v>
      </c>
      <c r="G9" s="199">
        <f>G8/Balance!E36</f>
        <v>0.5987388064743725</v>
      </c>
      <c r="H9" s="199">
        <f>H8/Balance!F36</f>
        <v>0.46821799617539034</v>
      </c>
      <c r="I9" s="199">
        <f>I8/Balance!G36</f>
        <v>0.48480600570965959</v>
      </c>
      <c r="J9" s="199">
        <f>J8/Balance!H36</f>
        <v>0.55414164900028429</v>
      </c>
      <c r="K9" s="199">
        <f>K8/Balance!I36</f>
        <v>0.3685295898584417</v>
      </c>
      <c r="L9" s="212"/>
      <c r="M9" s="205">
        <f>+(((Balance!$C$14+Balance!$D$14)/2)/'Estado Resultados'!D10)*365</f>
        <v>42.441053514281222</v>
      </c>
      <c r="N9" s="205">
        <f>+((Balance!$D$14+Balance!$F$14)/2)/'Estado Resultados'!F10*365</f>
        <v>28.640989148040472</v>
      </c>
    </row>
    <row r="10" spans="1:14" ht="49.95" customHeight="1" x14ac:dyDescent="0.35">
      <c r="B10" s="185" t="s">
        <v>496</v>
      </c>
      <c r="C10" s="185" t="s">
        <v>497</v>
      </c>
      <c r="D10" s="187" t="s">
        <v>498</v>
      </c>
      <c r="E10" s="211">
        <f>+Balance!C18-Balance!C48</f>
        <v>2850720817.5133338</v>
      </c>
      <c r="F10" s="211">
        <f>+Balance!D18-Balance!D48</f>
        <v>2559988621.1999998</v>
      </c>
      <c r="G10" s="211">
        <f>+Balance!E18-Balance!E48</f>
        <v>4516334092.8000002</v>
      </c>
      <c r="H10" s="211">
        <f>+Balance!F18-Balance!F48</f>
        <v>2151733974.3999996</v>
      </c>
      <c r="I10" s="211">
        <f>+Balance!G18-Balance!G48</f>
        <v>2612649638.8304977</v>
      </c>
      <c r="J10" s="211">
        <f>+Balance!H18-Balance!H48</f>
        <v>3204364535.5752106</v>
      </c>
      <c r="K10" s="211">
        <f>+Balance!I18-Balance!I48</f>
        <v>2078527.2800000003</v>
      </c>
      <c r="L10" s="212"/>
      <c r="M10" s="206">
        <f>+M8+M9</f>
        <v>170.55326731350823</v>
      </c>
      <c r="N10" s="206">
        <f>+N8+N9</f>
        <v>93.470028797086357</v>
      </c>
    </row>
    <row r="11" spans="1:14" ht="47.4" customHeight="1" x14ac:dyDescent="0.35">
      <c r="B11" s="200" t="s">
        <v>499</v>
      </c>
      <c r="C11" s="200" t="s">
        <v>500</v>
      </c>
      <c r="D11" s="196" t="s">
        <v>501</v>
      </c>
      <c r="E11" s="199">
        <f>+E10/E8</f>
        <v>0.50010448005965513</v>
      </c>
      <c r="F11" s="199">
        <f>+F10/F8</f>
        <v>0.45587443282252765</v>
      </c>
      <c r="G11" s="199">
        <f>+G10/G8</f>
        <v>0.52974752251007362</v>
      </c>
      <c r="H11" s="199">
        <f>+H10/H8</f>
        <v>0.24940290591795794</v>
      </c>
      <c r="I11" s="199">
        <f t="shared" ref="I11:J11" si="0">+I10/I8</f>
        <v>0.27073411095543926</v>
      </c>
      <c r="J11" s="199">
        <f t="shared" si="0"/>
        <v>0.21799097983378743</v>
      </c>
      <c r="K11" s="199">
        <f>+K10/K8</f>
        <v>0.35949496057290553</v>
      </c>
      <c r="L11" s="212"/>
      <c r="M11" s="205"/>
      <c r="N11" s="205"/>
    </row>
    <row r="12" spans="1:14" ht="59.4" customHeight="1" x14ac:dyDescent="0.35">
      <c r="B12" s="185" t="s">
        <v>502</v>
      </c>
      <c r="C12" s="185" t="s">
        <v>503</v>
      </c>
      <c r="D12" s="187" t="s">
        <v>504</v>
      </c>
      <c r="E12" s="211">
        <f>+Balance!C13+Balance!C14</f>
        <v>5436187921</v>
      </c>
      <c r="F12" s="211">
        <f>+Balance!D13+Balance!D14</f>
        <v>4318426842</v>
      </c>
      <c r="G12" s="211">
        <f>+Balance!E13+Balance!E14</f>
        <v>5863106513</v>
      </c>
      <c r="H12" s="211">
        <f>+Balance!F13+Balance!F14</f>
        <v>5918959015</v>
      </c>
      <c r="I12" s="211">
        <f>+Balance!G13+Balance!G14</f>
        <v>5557529829</v>
      </c>
      <c r="J12" s="211">
        <f>+Balance!H13+Balance!H14</f>
        <v>10546336326</v>
      </c>
      <c r="K12" s="211">
        <f>+Balance!I13+Balance!I14</f>
        <v>3936628.81</v>
      </c>
      <c r="L12" s="212"/>
      <c r="M12" s="206">
        <f>+M10-M11</f>
        <v>170.55326731350823</v>
      </c>
      <c r="N12" s="206">
        <f>+N10-N11</f>
        <v>93.470028797086357</v>
      </c>
    </row>
    <row r="13" spans="1:14" ht="43.2" x14ac:dyDescent="0.35">
      <c r="B13" s="200" t="s">
        <v>505</v>
      </c>
      <c r="C13" s="200" t="s">
        <v>506</v>
      </c>
      <c r="D13" s="196" t="s">
        <v>507</v>
      </c>
      <c r="E13" s="199">
        <f>+E12/E8</f>
        <v>0.9536752659314266</v>
      </c>
      <c r="F13" s="199">
        <f t="shared" ref="F13:J13" si="1">+F12/F8</f>
        <v>0.76901138191759444</v>
      </c>
      <c r="G13" s="199">
        <f t="shared" si="1"/>
        <v>0.6877184206602428</v>
      </c>
      <c r="H13" s="199">
        <f t="shared" si="1"/>
        <v>0.68605394343040327</v>
      </c>
      <c r="I13" s="199">
        <f t="shared" si="1"/>
        <v>0.57589539561690339</v>
      </c>
      <c r="J13" s="199">
        <f t="shared" si="1"/>
        <v>0.71746087682521265</v>
      </c>
      <c r="K13" s="199">
        <f>+K12/K8</f>
        <v>0.68086583825886271</v>
      </c>
      <c r="L13" s="212"/>
      <c r="M13" s="205"/>
      <c r="N13" s="205"/>
    </row>
    <row r="14" spans="1:14" ht="43.2" x14ac:dyDescent="0.35">
      <c r="B14" s="189" t="s">
        <v>508</v>
      </c>
      <c r="C14" s="185" t="s">
        <v>509</v>
      </c>
      <c r="D14" s="187" t="s">
        <v>510</v>
      </c>
      <c r="E14" s="211">
        <f>+E12-Balance!C42</f>
        <v>5147647794</v>
      </c>
      <c r="F14" s="211">
        <f>+F12-Balance!D42</f>
        <v>3863410859</v>
      </c>
      <c r="G14" s="211">
        <f>+G12-Balance!E42</f>
        <v>5630348767</v>
      </c>
      <c r="H14" s="211">
        <f>+H12-Balance!F42</f>
        <v>5204892612</v>
      </c>
      <c r="I14" s="211">
        <f>+I12-Balance!G42</f>
        <v>4628809014</v>
      </c>
      <c r="J14" s="211">
        <f>+J12-Balance!H42</f>
        <v>8453230341</v>
      </c>
      <c r="K14" s="211">
        <f>+K12-Balance!I42</f>
        <v>2011795.81</v>
      </c>
      <c r="L14" s="212"/>
      <c r="M14" s="206"/>
      <c r="N14" s="206"/>
    </row>
    <row r="15" spans="1:14" ht="43.2" x14ac:dyDescent="0.35">
      <c r="B15" s="200" t="s">
        <v>511</v>
      </c>
      <c r="C15" s="200" t="s">
        <v>512</v>
      </c>
      <c r="D15" s="196" t="s">
        <v>513</v>
      </c>
      <c r="E15" s="199">
        <f>+E14/E12</f>
        <v>0.94692234131837694</v>
      </c>
      <c r="F15" s="199">
        <f>+F14/F12</f>
        <v>0.89463385634448589</v>
      </c>
      <c r="G15" s="199">
        <f>+G14/G12</f>
        <v>0.96030129326767022</v>
      </c>
      <c r="H15" s="199">
        <f>+H14/H12</f>
        <v>0.8793594614880097</v>
      </c>
      <c r="I15" s="199">
        <f t="shared" ref="I15:K15" si="2">+I14/I12</f>
        <v>0.83288963917857906</v>
      </c>
      <c r="J15" s="199">
        <f t="shared" si="2"/>
        <v>0.80153240705591355</v>
      </c>
      <c r="K15" s="199">
        <f t="shared" si="2"/>
        <v>0.51104534034033045</v>
      </c>
      <c r="L15" s="212"/>
      <c r="M15" s="205">
        <f>+'Estado Resultados'!D8/(Balance!D56+Balance!D71)</f>
        <v>1.5690473550305397</v>
      </c>
      <c r="N15" s="205">
        <f>+'Estado Resultados'!F8/(Balance!F56+Balance!F71)</f>
        <v>1.8968609832045684</v>
      </c>
    </row>
    <row r="16" spans="1:14" ht="43.2" x14ac:dyDescent="0.35">
      <c r="B16" s="185" t="s">
        <v>514</v>
      </c>
      <c r="C16" s="186" t="s">
        <v>515</v>
      </c>
      <c r="D16" s="190" t="s">
        <v>516</v>
      </c>
      <c r="E16" s="213">
        <f>+E12/'Estado Resultados'!C8</f>
        <v>0.62041363998046706</v>
      </c>
      <c r="F16" s="213">
        <f>+F12/'Estado Resultados'!D8</f>
        <v>0.36829281625675148</v>
      </c>
      <c r="G16" s="213">
        <f>+G12/'Estado Resultados'!E8</f>
        <v>0.30503325660522351</v>
      </c>
      <c r="H16" s="213">
        <f>+H12/'Estado Resultados'!F8</f>
        <v>0.26110955065765545</v>
      </c>
      <c r="I16" s="213">
        <f>+I12/'Estado Resultados'!G8</f>
        <v>0.19125907892553695</v>
      </c>
      <c r="J16" s="213">
        <f>+J12/'Estado Resultados'!H8</f>
        <v>0.30503738206661585</v>
      </c>
      <c r="K16" s="213">
        <f>+K12/'Estado Resultados'!I8</f>
        <v>0.20821823422017105</v>
      </c>
      <c r="L16" t="s">
        <v>222</v>
      </c>
    </row>
    <row r="17" spans="2:14" ht="43.2" x14ac:dyDescent="0.35">
      <c r="B17" s="200" t="s">
        <v>454</v>
      </c>
      <c r="C17" s="195" t="s">
        <v>517</v>
      </c>
      <c r="D17" s="197" t="s">
        <v>518</v>
      </c>
      <c r="E17" s="457">
        <f>+E14/'Estado Resultados'!C8</f>
        <v>0.58748353655616048</v>
      </c>
      <c r="F17" s="457">
        <f>+F14/'Estado Resultados'!D8</f>
        <v>0.32948722247174872</v>
      </c>
      <c r="G17" s="457">
        <f>+G14/'Estado Resultados'!E8</f>
        <v>0.29292383080764522</v>
      </c>
      <c r="H17" s="457">
        <f>+H14/'Estado Resultados'!F8</f>
        <v>0.22960915385569208</v>
      </c>
      <c r="I17" s="457">
        <f>+I14/'Estado Resultados'!G8</f>
        <v>0.15929770523591785</v>
      </c>
      <c r="J17" s="457">
        <f>+J14/'Estado Resultados'!H8</f>
        <v>0.24449734708988896</v>
      </c>
      <c r="K17" s="457">
        <f>+K14/'Estado Resultados'!I8</f>
        <v>0.10640895837210995</v>
      </c>
      <c r="L17" t="s">
        <v>222</v>
      </c>
      <c r="M17" s="210"/>
      <c r="N17" s="210"/>
    </row>
    <row r="18" spans="2:14" ht="80.7" customHeight="1" x14ac:dyDescent="0.35">
      <c r="B18" s="189" t="s">
        <v>519</v>
      </c>
      <c r="C18" s="186" t="s">
        <v>520</v>
      </c>
      <c r="D18" s="187" t="s">
        <v>521</v>
      </c>
      <c r="E18" s="191">
        <f>+Balance!C18/Balance!C48</f>
        <v>2.0004180075855351</v>
      </c>
      <c r="F18" s="191">
        <f>+Balance!D18/Balance!D48</f>
        <v>1.8378110868549562</v>
      </c>
      <c r="G18" s="191">
        <f>+Balance!E18/Balance!E48</f>
        <v>2.1265172388622271</v>
      </c>
      <c r="H18" s="191">
        <f>+Balance!F18/Balance!F48</f>
        <v>1.3322726771584033</v>
      </c>
      <c r="I18" s="191">
        <f>+Balance!G18/Balance!G48</f>
        <v>1.3712419777512677</v>
      </c>
      <c r="J18" s="191">
        <f>+Balance!H18/Balance!H48</f>
        <v>1.2787576283806221</v>
      </c>
      <c r="K18" s="191">
        <f>+Balance!I18/Balance!I48</f>
        <v>1.5612679658140691</v>
      </c>
      <c r="L18" t="s">
        <v>222</v>
      </c>
    </row>
    <row r="19" spans="2:14" ht="65.400000000000006" customHeight="1" x14ac:dyDescent="0.35">
      <c r="B19" s="198" t="s">
        <v>522</v>
      </c>
      <c r="C19" s="195" t="s">
        <v>523</v>
      </c>
      <c r="D19" s="197" t="s">
        <v>524</v>
      </c>
      <c r="E19" s="199">
        <f>+((1-(1/E18)))</f>
        <v>0.50010448005965502</v>
      </c>
      <c r="F19" s="199">
        <f>+((1-(1/F18)))</f>
        <v>0.4558744328225276</v>
      </c>
      <c r="G19" s="199">
        <f>+((1-(1/G18)))</f>
        <v>0.52974752251007362</v>
      </c>
      <c r="H19" s="199">
        <f>+((1-(1/H18)))</f>
        <v>0.249402905917958</v>
      </c>
      <c r="I19" s="199">
        <f t="shared" ref="I19:J19" si="3">+((1-(1/I18)))</f>
        <v>0.2707341109554392</v>
      </c>
      <c r="J19" s="199">
        <f t="shared" si="3"/>
        <v>0.21799097983378746</v>
      </c>
      <c r="K19" s="199">
        <f>+((1-(1/K18)))</f>
        <v>0.35949496057290553</v>
      </c>
    </row>
    <row r="20" spans="2:14" ht="43.2" x14ac:dyDescent="0.35">
      <c r="B20" s="189" t="s">
        <v>525</v>
      </c>
      <c r="C20" s="186" t="s">
        <v>526</v>
      </c>
      <c r="D20" s="190" t="s">
        <v>527</v>
      </c>
      <c r="E20" s="191">
        <f>+(Balance!C18-Balance!C14)/Balance!C48</f>
        <v>1.8148985285662889</v>
      </c>
      <c r="F20" s="191">
        <f>+(Balance!D18-Balance!D14)/Balance!D48</f>
        <v>1.5122311636125003</v>
      </c>
      <c r="G20" s="191">
        <f>+(Balance!E18-Balance!E14)/Balance!E48</f>
        <v>1.7888783528928403</v>
      </c>
      <c r="H20" s="191">
        <f>+(Balance!F18-Balance!F14)/Balance!F48</f>
        <v>1.1484993109847019</v>
      </c>
      <c r="I20" s="191">
        <f>+(Balance!G18-Balance!G14)/Balance!G48</f>
        <v>1.1310722165305158</v>
      </c>
      <c r="J20" s="191">
        <f>+(Balance!H18-Balance!H14)/Balance!H48</f>
        <v>1.0998745593520216</v>
      </c>
      <c r="K20" s="191">
        <f>+(Balance!I18-Balance!I14)/Balance!I48</f>
        <v>0.95834131029066905</v>
      </c>
      <c r="L20" t="s">
        <v>222</v>
      </c>
    </row>
    <row r="21" spans="2:14" ht="43.2" x14ac:dyDescent="0.35">
      <c r="B21" s="198" t="s">
        <v>528</v>
      </c>
      <c r="C21" s="195" t="s">
        <v>529</v>
      </c>
      <c r="D21" s="197" t="s">
        <v>530</v>
      </c>
      <c r="E21" s="201">
        <f>+(Balance!C11+Balance!C12)/Balance!C48</f>
        <v>7.9675914800478032E-2</v>
      </c>
      <c r="F21" s="201">
        <f>+(Balance!D11+Balance!D12)/Balance!D48</f>
        <v>8.0392954133248443E-2</v>
      </c>
      <c r="G21" s="201">
        <f>+(Balance!E11+Balance!E12)/Balance!E48</f>
        <v>0.14930892317589695</v>
      </c>
      <c r="H21" s="201">
        <f>+(Balance!F11+Balance!F12)/Balance!F48</f>
        <v>1.8179542805153107E-2</v>
      </c>
      <c r="I21" s="201">
        <f>+(Balance!G11+Balance!G12)/Balance!G48</f>
        <v>2.0290755330062644E-2</v>
      </c>
      <c r="J21" s="201">
        <f>+(Balance!H11+Balance!H12)/Balance!H48</f>
        <v>6.9633304031490231E-3</v>
      </c>
      <c r="K21" s="201">
        <f>+(Balance!I11+Balance!I12)/Balance!I48</f>
        <v>0.34983818979785009</v>
      </c>
    </row>
    <row r="22" spans="2:14" ht="43.2" x14ac:dyDescent="0.35">
      <c r="B22" s="189" t="s">
        <v>531</v>
      </c>
      <c r="C22" s="186" t="s">
        <v>532</v>
      </c>
      <c r="D22" s="190" t="s">
        <v>533</v>
      </c>
      <c r="E22" s="191">
        <f>+(Balance!C11+Balance!C12+Balance!C13)/Balance!C48</f>
        <v>1.8019056111393814</v>
      </c>
      <c r="F22" s="191">
        <f>+(Balance!D11+Balance!D12+Balance!D13)/Balance!D48</f>
        <v>1.1681106744965988</v>
      </c>
      <c r="G22" s="191">
        <f>+(Balance!E11+Balance!E12+Balance!E13)/Balance!E48</f>
        <v>1.2741151142236213</v>
      </c>
      <c r="H22" s="191">
        <f>+(Balance!F11+Balance!F12+Balance!F13)/Balance!F48</f>
        <v>0.74841710052055477</v>
      </c>
      <c r="I22" s="191">
        <f>+(Balance!G11+Balance!G12+Balance!G13)/Balance!G48</f>
        <v>0.56981293537288225</v>
      </c>
      <c r="J22" s="191">
        <f>+(Balance!H11+Balance!H12+Balance!H13)/Balance!H48</f>
        <v>0.74553883067943905</v>
      </c>
      <c r="K22" s="191">
        <f>+(Balance!I11+Balance!I12+Balance!I13)/Balance!I48</f>
        <v>0.80992555656515552</v>
      </c>
    </row>
    <row r="23" spans="2:14" ht="43.2" x14ac:dyDescent="0.35">
      <c r="B23" s="198" t="s">
        <v>534</v>
      </c>
      <c r="C23" s="195" t="s">
        <v>535</v>
      </c>
      <c r="D23" s="197" t="s">
        <v>536</v>
      </c>
      <c r="E23" s="201">
        <f>+E10/Balance!C48</f>
        <v>1.0004180075855353</v>
      </c>
      <c r="F23" s="201">
        <f>+F10/Balance!D48</f>
        <v>0.8378110868549562</v>
      </c>
      <c r="G23" s="201">
        <f>+G10/Balance!E48</f>
        <v>1.1265172388622273</v>
      </c>
      <c r="H23" s="201">
        <f>+H10/Balance!F48</f>
        <v>0.3322726771584032</v>
      </c>
      <c r="I23" s="201">
        <f>+I10/Balance!G48</f>
        <v>0.37124197775126766</v>
      </c>
      <c r="J23" s="201">
        <f>+J10/Balance!H48</f>
        <v>0.27875762838062201</v>
      </c>
      <c r="K23" s="201">
        <f>+K10/Balance!I48</f>
        <v>0.56126796581406924</v>
      </c>
    </row>
    <row r="24" spans="2:14" ht="43.2" x14ac:dyDescent="0.35">
      <c r="B24" s="192" t="s">
        <v>537</v>
      </c>
      <c r="C24" s="186" t="s">
        <v>538</v>
      </c>
      <c r="D24" s="190" t="s">
        <v>539</v>
      </c>
      <c r="E24" s="193">
        <f>+Balance!C36/Balance!C58</f>
        <v>2.0536963191721314</v>
      </c>
      <c r="F24" s="193">
        <f>+Balance!D36/Balance!D58</f>
        <v>1.8696668899376316</v>
      </c>
      <c r="G24" s="193">
        <f>+Balance!E36/Balance!E58</f>
        <v>2.2282196052217822</v>
      </c>
      <c r="H24" s="193">
        <f>+Balance!F36/Balance!F58</f>
        <v>1.8467828105038688</v>
      </c>
      <c r="I24" s="193">
        <f>+Balance!G36/Balance!G58</f>
        <v>1.8055856417780392</v>
      </c>
      <c r="J24" s="193">
        <f>+Balance!H36/Balance!H58</f>
        <v>1.60570873702898</v>
      </c>
      <c r="K24" s="193">
        <f>+Balance!I36/Balance!I58</f>
        <v>1.6970845393254033</v>
      </c>
      <c r="L24" t="s">
        <v>222</v>
      </c>
    </row>
    <row r="25" spans="2:14" ht="72" x14ac:dyDescent="0.35">
      <c r="B25" s="365" t="s">
        <v>540</v>
      </c>
      <c r="C25" s="202" t="s">
        <v>541</v>
      </c>
      <c r="D25" s="197" t="s">
        <v>542</v>
      </c>
      <c r="E25" s="203">
        <f>+(Rentabilidad!E25-Variables!D79)/Balance!C48</f>
        <v>0.41054867133974082</v>
      </c>
      <c r="F25" s="203">
        <f>+(Rentabilidad!F25-Variables!E79)/Balance!D48</f>
        <v>0.45360079015472093</v>
      </c>
      <c r="G25" s="203">
        <f>+(Rentabilidad!G25-Variables!F79)/Balance!E48</f>
        <v>0.97216571160215004</v>
      </c>
      <c r="H25" s="203">
        <f>+(Rentabilidad!K25-Variables!G79)/Balance!F48</f>
        <v>2.6686353725917492E-4</v>
      </c>
      <c r="I25" s="203">
        <f>+(Rentabilidad!L25-Variables!H79)/Balance!G48</f>
        <v>2.8290067452379833E-11</v>
      </c>
      <c r="J25" s="203">
        <f>+(Rentabilidad!M25-Variables!I79)/Balance!H48</f>
        <v>0</v>
      </c>
      <c r="K25" s="203">
        <f>+(Rentabilidad!N25-Variables!J79)/Balance!I48</f>
        <v>0</v>
      </c>
    </row>
    <row r="26" spans="2:14" ht="57.6" x14ac:dyDescent="0.35">
      <c r="B26" s="365" t="s">
        <v>543</v>
      </c>
      <c r="C26" s="194" t="s">
        <v>544</v>
      </c>
      <c r="D26" s="190" t="s">
        <v>545</v>
      </c>
      <c r="E26" s="193">
        <f>+Rentabilidad!E25/Balance!C58</f>
        <v>0.26822372916320575</v>
      </c>
      <c r="F26" s="193">
        <f>+Rentabilidad!F25/Balance!D58</f>
        <v>0.24612728366709535</v>
      </c>
      <c r="G26" s="193">
        <f>+Rentabilidad!G25/Balance!E58</f>
        <v>0.60991145493390453</v>
      </c>
      <c r="H26" s="193">
        <f>+Rentabilidad!K25/Balance!F58</f>
        <v>1.7320484752455449E-4</v>
      </c>
      <c r="I26" s="193">
        <f>+Rentabilidad!L25/Balance!G58</f>
        <v>1.80595101746373E-11</v>
      </c>
      <c r="J26" s="193">
        <f>+Rentabilidad!M25/Balance!H58</f>
        <v>0</v>
      </c>
      <c r="K26" s="193">
        <f>+Rentabilidad!N25/Balance!I58</f>
        <v>0</v>
      </c>
    </row>
    <row r="27" spans="2:14" ht="43.2" x14ac:dyDescent="0.35">
      <c r="B27" s="198" t="s">
        <v>546</v>
      </c>
      <c r="C27" s="195" t="s">
        <v>547</v>
      </c>
      <c r="D27" s="197" t="s">
        <v>548</v>
      </c>
      <c r="E27" s="323">
        <f>+Balance!C13/(Balance!C42)</f>
        <v>17.008187762390499</v>
      </c>
      <c r="F27" s="323">
        <f>+Balance!D13/Balance!D42</f>
        <v>7.3043484628538859</v>
      </c>
      <c r="G27" s="323">
        <f>+Balance!E13/Balance!E42</f>
        <v>19.374110582768747</v>
      </c>
      <c r="H27" s="323">
        <f>+Balance!F13/Balance!F42</f>
        <v>6.6224625722938546</v>
      </c>
      <c r="I27" s="323">
        <f>+Balance!G13/Balance!G42</f>
        <v>4.1641286956618924</v>
      </c>
      <c r="J27" s="323">
        <f>+Balance!H13/Balance!H42</f>
        <v>4.0561950746130035</v>
      </c>
      <c r="K27" s="323">
        <f>+Balance!I13/Balance!I42</f>
        <v>0.88518230932241915</v>
      </c>
    </row>
    <row r="28" spans="2:14" ht="48" customHeight="1" x14ac:dyDescent="0.35">
      <c r="B28" s="185" t="s">
        <v>549</v>
      </c>
      <c r="C28" s="186" t="s">
        <v>550</v>
      </c>
      <c r="D28" s="190" t="s">
        <v>551</v>
      </c>
      <c r="E28" s="191">
        <f>+'Estado Resultados'!C8/Liquidez!E8</f>
        <v>1.5371603789392057</v>
      </c>
      <c r="F28" s="191">
        <f>+'Estado Resultados'!D8/Liquidez!F8</f>
        <v>2.0880433936606742</v>
      </c>
      <c r="G28" s="191">
        <f>+'Estado Resultados'!E8/Liquidez!G8</f>
        <v>2.254568660197906</v>
      </c>
      <c r="H28" s="191">
        <f>+'Estado Resultados'!F8/Liquidez!H8</f>
        <v>2.6274563366312806</v>
      </c>
      <c r="I28" s="191">
        <f>+'Estado Resultados'!G8/Liquidez!I8</f>
        <v>3.01107481460327</v>
      </c>
      <c r="J28" s="191">
        <f>+'Estado Resultados'!H8/Liquidez!J8</f>
        <v>2.35204246759674</v>
      </c>
      <c r="K28" s="191">
        <f>+'Estado Resultados'!I8/Liquidez!K8</f>
        <v>3.2699625986594025</v>
      </c>
      <c r="L28" t="s">
        <v>222</v>
      </c>
    </row>
    <row r="29" spans="2:14" ht="43.2" x14ac:dyDescent="0.35">
      <c r="B29" s="200" t="s">
        <v>552</v>
      </c>
      <c r="C29" s="195" t="s">
        <v>553</v>
      </c>
      <c r="D29" s="197" t="s">
        <v>554</v>
      </c>
      <c r="E29" s="201">
        <f>+'Estado Resultados'!C8/Balance!C34</f>
        <v>2.6902303278651645</v>
      </c>
      <c r="F29" s="201">
        <f>+'Estado Resultados'!D8/Balance!D34</f>
        <v>2.3866162513607785</v>
      </c>
      <c r="G29" s="201">
        <f>+'Estado Resultados'!E8/Balance!E34</f>
        <v>3.3641373013441047</v>
      </c>
      <c r="H29" s="201">
        <f>+'Estado Resultados'!F8/Balance!F34</f>
        <v>2.3133959632480861</v>
      </c>
      <c r="I29" s="201">
        <f>+'Estado Resultados'!G8/Balance!G34</f>
        <v>2.8334708283460581</v>
      </c>
      <c r="J29" s="201">
        <f>+'Estado Resultados'!H8/Balance!H34</f>
        <v>2.9232707845222938</v>
      </c>
      <c r="K29" s="201">
        <f>+'Estado Resultados'!I8/Balance!I34</f>
        <v>1.9083680818333968</v>
      </c>
    </row>
    <row r="30" spans="2:14" ht="51" customHeight="1" x14ac:dyDescent="0.35">
      <c r="B30" s="185" t="s">
        <v>555</v>
      </c>
      <c r="C30" s="186" t="s">
        <v>556</v>
      </c>
      <c r="D30" s="190" t="s">
        <v>557</v>
      </c>
      <c r="E30" s="188"/>
      <c r="F30" s="366">
        <f>(F14-E14)/'Estado Resultados'!D8</f>
        <v>-0.10952489293833652</v>
      </c>
      <c r="G30" s="366">
        <f>(G14-F14)/'Estado Resultados'!E8</f>
        <v>9.1926493762550007E-2</v>
      </c>
      <c r="H30" s="366">
        <f>(H14-G14)/'Estado Resultados'!F8</f>
        <v>-1.8768615422923962E-2</v>
      </c>
      <c r="I30" s="366">
        <f>(I14-H14)/'Estado Resultados'!G8</f>
        <v>-1.9825573902032458E-2</v>
      </c>
      <c r="J30" s="366">
        <f>(J14-I14)/'Estado Resultados'!H8</f>
        <v>0.11061580376796841</v>
      </c>
      <c r="K30" s="188">
        <v>0</v>
      </c>
    </row>
    <row r="31" spans="2:14" ht="43.2" x14ac:dyDescent="0.35">
      <c r="B31" s="200" t="s">
        <v>558</v>
      </c>
      <c r="C31" s="195" t="s">
        <v>559</v>
      </c>
      <c r="D31" s="197" t="s">
        <v>560</v>
      </c>
      <c r="E31" s="204">
        <f>+Balance!C34-Variables!D74</f>
        <v>-240239958</v>
      </c>
      <c r="F31" s="204">
        <f>+Balance!D34-Balance!C34</f>
        <v>1655989243.5</v>
      </c>
      <c r="G31" s="204">
        <f>+Balance!E34-Balance!D34</f>
        <v>800527655</v>
      </c>
      <c r="H31" s="204">
        <f>+Balance!F34-Balance!E34</f>
        <v>4085232268</v>
      </c>
      <c r="I31" s="204">
        <f>+Balance!G34-Balance!F34</f>
        <v>456332482.5</v>
      </c>
      <c r="J31" s="204">
        <f>+Balance!H34-Balance!G34</f>
        <v>1572007781</v>
      </c>
      <c r="K31" s="204">
        <v>0</v>
      </c>
    </row>
    <row r="32" spans="2:14" ht="43.2" x14ac:dyDescent="0.35">
      <c r="B32" s="185" t="s">
        <v>561</v>
      </c>
      <c r="C32" s="186" t="s">
        <v>562</v>
      </c>
      <c r="D32" s="190" t="s">
        <v>563</v>
      </c>
      <c r="E32" s="188"/>
      <c r="F32" s="188">
        <f>(Balance!D41+Balance!D50)-(Balance!C41-Balance!C50)+'Estado Resultados'!D21</f>
        <v>4279044559.198216</v>
      </c>
      <c r="G32" s="188">
        <f>(Balance!E41+Balance!E50)-(Balance!D41-Balance!D50)+'Estado Resultados'!E21</f>
        <v>4944848193.1641436</v>
      </c>
      <c r="H32" s="188">
        <f>(Balance!F41+Balance!F50)-(Balance!E41-Balance!E50)+'Estado Resultados'!F21</f>
        <v>6665093042.4697533</v>
      </c>
      <c r="I32" s="188">
        <f>(Balance!G41+Balance!G50)-(Balance!F41-Balance!F50)+'Estado Resultados'!G21</f>
        <v>8099238840.0457811</v>
      </c>
      <c r="J32" s="188">
        <f>(Balance!H41+Balance!H50)-(Balance!G41-Balance!G50)+'Estado Resultados'!H21</f>
        <v>10086613124.200001</v>
      </c>
      <c r="K32" s="188">
        <v>0</v>
      </c>
      <c r="L32" t="s">
        <v>222</v>
      </c>
    </row>
    <row r="33" spans="4:11" x14ac:dyDescent="0.35">
      <c r="E33">
        <f>+E12/'Estados y analisis'!C71</f>
        <v>0.62041363998046706</v>
      </c>
      <c r="F33">
        <f>+F12/'Estados y analisis'!D71</f>
        <v>0.36829281625675148</v>
      </c>
      <c r="G33">
        <f>+G12/'Estados y analisis'!E71</f>
        <v>0.30503325660522351</v>
      </c>
      <c r="H33">
        <f>+H12/'Estados y analisis'!F71</f>
        <v>0.26110955065765545</v>
      </c>
      <c r="I33">
        <f>+I12/'Estados y analisis'!G71</f>
        <v>0.19125907892553695</v>
      </c>
      <c r="J33">
        <f>+J12/'Estados y analisis'!H71</f>
        <v>0.30503738206661585</v>
      </c>
      <c r="K33">
        <f>+K12/'Estados y analisis'!I71</f>
        <v>0.20821823422017105</v>
      </c>
    </row>
    <row r="34" spans="4:11" s="2" customFormat="1" x14ac:dyDescent="0.35">
      <c r="E34" s="2">
        <f>+E7</f>
        <v>2018</v>
      </c>
      <c r="F34" s="2">
        <f>+F7</f>
        <v>2019</v>
      </c>
      <c r="G34" s="2">
        <v>2020</v>
      </c>
      <c r="H34" s="2">
        <f>+H7</f>
        <v>2021</v>
      </c>
      <c r="I34" s="2">
        <f t="shared" ref="I34:J34" si="4">+I7</f>
        <v>2022</v>
      </c>
      <c r="J34" s="2">
        <f t="shared" si="4"/>
        <v>2023</v>
      </c>
    </row>
    <row r="35" spans="4:11" s="2" customFormat="1" x14ac:dyDescent="0.35">
      <c r="D35" s="2" t="str">
        <f>+B18</f>
        <v>Razon corriente - Razón circulante - 
Razón de solvencia - Razón de 
disponibilidad</v>
      </c>
      <c r="E35" s="324">
        <f>+E18</f>
        <v>2.0004180075855351</v>
      </c>
      <c r="F35" s="324">
        <f>+F18</f>
        <v>1.8378110868549562</v>
      </c>
      <c r="G35" s="324">
        <f>+G18</f>
        <v>2.1265172388622271</v>
      </c>
      <c r="H35" s="324">
        <f>+H18</f>
        <v>1.3322726771584033</v>
      </c>
      <c r="I35" s="324">
        <f t="shared" ref="I35:J35" si="5">+I18</f>
        <v>1.3712419777512677</v>
      </c>
      <c r="J35" s="324">
        <f t="shared" si="5"/>
        <v>1.2787576283806221</v>
      </c>
      <c r="K35" s="324"/>
    </row>
    <row r="36" spans="4:11" s="2" customFormat="1" x14ac:dyDescent="0.35">
      <c r="D36" s="2" t="str">
        <f>+B20</f>
        <v>Prueba ácida o coeficiente liquidez</v>
      </c>
      <c r="E36" s="324">
        <f>+E20</f>
        <v>1.8148985285662889</v>
      </c>
      <c r="F36" s="324">
        <f>+F20</f>
        <v>1.5122311636125003</v>
      </c>
      <c r="G36" s="324">
        <f>+G20</f>
        <v>1.7888783528928403</v>
      </c>
      <c r="H36" s="324">
        <f>+H20</f>
        <v>1.1484993109847019</v>
      </c>
      <c r="I36" s="324">
        <f t="shared" ref="I36:J36" si="6">+I20</f>
        <v>1.1310722165305158</v>
      </c>
      <c r="J36" s="324">
        <f t="shared" si="6"/>
        <v>1.0998745593520216</v>
      </c>
      <c r="K36" s="324"/>
    </row>
    <row r="37" spans="4:11" s="2" customFormat="1" x14ac:dyDescent="0.35"/>
    <row r="38" spans="4:11" s="2" customFormat="1" x14ac:dyDescent="0.35"/>
    <row r="39" spans="4:11" s="2" customFormat="1" x14ac:dyDescent="0.35">
      <c r="E39" s="2">
        <f>+E34</f>
        <v>2018</v>
      </c>
      <c r="F39" s="2">
        <f>+F34</f>
        <v>2019</v>
      </c>
      <c r="G39" s="2">
        <v>2020</v>
      </c>
      <c r="H39" s="2">
        <f>+H34</f>
        <v>2021</v>
      </c>
      <c r="I39" s="2">
        <f t="shared" ref="I39:J39" si="7">+I34</f>
        <v>2022</v>
      </c>
      <c r="J39" s="2">
        <f t="shared" si="7"/>
        <v>2023</v>
      </c>
    </row>
    <row r="40" spans="4:11" s="2" customFormat="1" x14ac:dyDescent="0.35">
      <c r="D40" s="2" t="s">
        <v>564</v>
      </c>
      <c r="E40" s="325">
        <f>+E8</f>
        <v>5700250510</v>
      </c>
      <c r="F40" s="325">
        <f>+F8</f>
        <v>5615556471</v>
      </c>
      <c r="G40" s="325">
        <f>+G8</f>
        <v>8525446370</v>
      </c>
      <c r="H40" s="325">
        <f>+H8</f>
        <v>8627541714</v>
      </c>
      <c r="I40" s="325">
        <f t="shared" ref="I40:J40" si="8">+I8</f>
        <v>9650241817</v>
      </c>
      <c r="J40" s="325">
        <f t="shared" si="8"/>
        <v>14699528109</v>
      </c>
      <c r="K40" s="325"/>
    </row>
    <row r="41" spans="4:11" s="2" customFormat="1" x14ac:dyDescent="0.35">
      <c r="D41" s="2" t="s">
        <v>565</v>
      </c>
      <c r="E41" s="325">
        <f>+E10</f>
        <v>2850720817.5133338</v>
      </c>
      <c r="F41" s="325">
        <f>+F10</f>
        <v>2559988621.1999998</v>
      </c>
      <c r="G41" s="325">
        <f>+G10</f>
        <v>4516334092.8000002</v>
      </c>
      <c r="H41" s="325">
        <f>+H10</f>
        <v>2151733974.3999996</v>
      </c>
      <c r="I41" s="325">
        <f t="shared" ref="I41:J41" si="9">+I10</f>
        <v>2612649638.8304977</v>
      </c>
      <c r="J41" s="325">
        <f t="shared" si="9"/>
        <v>3204364535.5752106</v>
      </c>
      <c r="K41" s="325"/>
    </row>
    <row r="42" spans="4:11" s="2" customFormat="1" x14ac:dyDescent="0.35">
      <c r="D42" s="2" t="s">
        <v>566</v>
      </c>
      <c r="E42" s="325">
        <f>+E12</f>
        <v>5436187921</v>
      </c>
      <c r="F42" s="325">
        <f>+F12</f>
        <v>4318426842</v>
      </c>
      <c r="G42" s="325">
        <f>+G12</f>
        <v>5863106513</v>
      </c>
      <c r="H42" s="325">
        <f>+H12</f>
        <v>5918959015</v>
      </c>
      <c r="I42" s="325">
        <f t="shared" ref="I42:J42" si="10">+I12</f>
        <v>5557529829</v>
      </c>
      <c r="J42" s="325">
        <f t="shared" si="10"/>
        <v>10546336326</v>
      </c>
      <c r="K42" s="325"/>
    </row>
    <row r="43" spans="4:11" x14ac:dyDescent="0.35">
      <c r="D43" t="s">
        <v>258</v>
      </c>
      <c r="E43" s="1">
        <f>+E14</f>
        <v>5147647794</v>
      </c>
      <c r="F43" s="1">
        <f>+F14</f>
        <v>3863410859</v>
      </c>
      <c r="G43" s="1">
        <f>+G14</f>
        <v>5630348767</v>
      </c>
      <c r="H43" s="1">
        <f>+H14</f>
        <v>5204892612</v>
      </c>
      <c r="I43" s="1">
        <f t="shared" ref="I43:J43" si="11">+I14</f>
        <v>4628809014</v>
      </c>
      <c r="J43" s="1">
        <f t="shared" si="11"/>
        <v>8453230341</v>
      </c>
      <c r="K43" s="1"/>
    </row>
    <row r="44" spans="4:11" x14ac:dyDescent="0.35"/>
    <row r="45" spans="4:11" x14ac:dyDescent="0.35"/>
    <row r="46" spans="4:11" x14ac:dyDescent="0.35"/>
    <row r="47" spans="4:11" x14ac:dyDescent="0.35"/>
    <row r="48" spans="4:11"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sheetData>
  <sheetProtection selectLockedCells="1" selectUnlockedCells="1"/>
  <mergeCells count="4">
    <mergeCell ref="B6:H6"/>
    <mergeCell ref="B3:K3"/>
    <mergeCell ref="B4:K4"/>
    <mergeCell ref="B5:K5"/>
  </mergeCells>
  <phoneticPr fontId="5" type="noConversion"/>
  <printOptions horizontalCentered="1"/>
  <pageMargins left="0.70866141732283472" right="0.31496062992125984" top="0.48" bottom="0.43307086614173229" header="0" footer="0"/>
  <pageSetup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BF1CB-D40E-4B2B-B77A-8B3C1AA013D6}">
  <sheetPr codeName="Hoja18"/>
  <dimension ref="A1:R54"/>
  <sheetViews>
    <sheetView workbookViewId="0"/>
  </sheetViews>
  <sheetFormatPr baseColWidth="10" defaultColWidth="0" defaultRowHeight="14.7" customHeight="1" zeroHeight="1" x14ac:dyDescent="0.35"/>
  <cols>
    <col min="1" max="1" width="1.33203125" customWidth="1"/>
    <col min="2" max="2" width="35.5546875" customWidth="1"/>
    <col min="3" max="3" width="59.6640625" customWidth="1"/>
    <col min="4" max="4" width="36.44140625" customWidth="1"/>
    <col min="5" max="6" width="18.5546875" bestFit="1" customWidth="1"/>
    <col min="7" max="10" width="18.5546875" customWidth="1"/>
    <col min="11" max="11" width="19.5546875" bestFit="1" customWidth="1"/>
    <col min="12" max="12" width="3.5546875" customWidth="1"/>
    <col min="13" max="13" width="18.6640625" hidden="1" customWidth="1"/>
    <col min="14" max="14" width="11.44140625" hidden="1" customWidth="1"/>
    <col min="15" max="15" width="15.5546875" hidden="1" customWidth="1"/>
    <col min="16" max="16" width="15.33203125" hidden="1" customWidth="1"/>
    <col min="17" max="18" width="15.5546875" hidden="1" customWidth="1"/>
    <col min="19" max="16384" width="11.44140625" hidden="1"/>
  </cols>
  <sheetData>
    <row r="1" spans="1:16" ht="14.4" x14ac:dyDescent="0.35">
      <c r="D1" s="256"/>
      <c r="E1" s="1"/>
      <c r="K1" s="312"/>
    </row>
    <row r="2" spans="1:16" ht="14.4" x14ac:dyDescent="0.35"/>
    <row r="3" spans="1:16" ht="31.95" customHeight="1" x14ac:dyDescent="0.45">
      <c r="A3" s="2"/>
      <c r="B3" s="472" t="str">
        <f>+Endeudamiento!B3</f>
        <v>K-LISTO</v>
      </c>
      <c r="C3" s="473"/>
      <c r="D3" s="473"/>
      <c r="E3" s="473"/>
      <c r="F3" s="473"/>
      <c r="G3" s="473"/>
      <c r="H3" s="473"/>
      <c r="I3" s="473"/>
      <c r="J3" s="473"/>
      <c r="K3" s="474"/>
    </row>
    <row r="4" spans="1:16" ht="22.2" x14ac:dyDescent="0.45">
      <c r="A4" s="2"/>
      <c r="B4" s="495" t="s">
        <v>567</v>
      </c>
      <c r="C4" s="496"/>
      <c r="D4" s="496"/>
      <c r="E4" s="496"/>
      <c r="F4" s="496"/>
      <c r="G4" s="496"/>
      <c r="H4" s="496"/>
      <c r="I4" s="496"/>
      <c r="J4" s="496"/>
      <c r="K4" s="525"/>
    </row>
    <row r="5" spans="1:16" ht="14.4" x14ac:dyDescent="0.35">
      <c r="A5" s="2"/>
      <c r="B5" s="160"/>
      <c r="C5" s="14"/>
      <c r="D5" s="14"/>
      <c r="E5" s="14"/>
      <c r="F5" s="14"/>
      <c r="G5" s="14"/>
      <c r="H5" s="14"/>
      <c r="I5" s="14"/>
      <c r="J5" s="14"/>
      <c r="K5" s="161"/>
    </row>
    <row r="6" spans="1:16" ht="14.4" x14ac:dyDescent="0.35">
      <c r="B6" s="234"/>
      <c r="C6" s="235"/>
      <c r="D6" s="235"/>
      <c r="E6" s="235"/>
      <c r="F6" s="235"/>
      <c r="G6" s="235"/>
      <c r="H6" s="235"/>
      <c r="I6" s="235"/>
      <c r="J6" s="235"/>
      <c r="K6" s="236"/>
      <c r="L6" t="s">
        <v>222</v>
      </c>
    </row>
    <row r="7" spans="1:16" ht="14.4" x14ac:dyDescent="0.35">
      <c r="B7" s="245" t="s">
        <v>273</v>
      </c>
      <c r="C7" s="245" t="s">
        <v>274</v>
      </c>
      <c r="D7" s="245" t="s">
        <v>568</v>
      </c>
      <c r="E7" s="245">
        <f>+Endeudamiento!E6</f>
        <v>2018</v>
      </c>
      <c r="F7" s="245">
        <f>+Endeudamiento!F6</f>
        <v>2019</v>
      </c>
      <c r="G7" s="245">
        <f>+Endeudamiento!G6</f>
        <v>2020</v>
      </c>
      <c r="H7" s="245">
        <f>+Endeudamiento!H6</f>
        <v>2021</v>
      </c>
      <c r="I7" s="245">
        <f>+Endeudamiento!I6</f>
        <v>2022</v>
      </c>
      <c r="J7" s="245">
        <f>+Endeudamiento!J6</f>
        <v>2023</v>
      </c>
      <c r="K7" s="245" t="str">
        <f>+Endeudamiento!K6</f>
        <v>REFERENTE</v>
      </c>
      <c r="L7" t="s">
        <v>222</v>
      </c>
    </row>
    <row r="8" spans="1:16" ht="55.2" customHeight="1" x14ac:dyDescent="0.35">
      <c r="B8" s="239" t="s">
        <v>569</v>
      </c>
      <c r="C8" s="240" t="s">
        <v>570</v>
      </c>
      <c r="D8" s="241" t="s">
        <v>571</v>
      </c>
      <c r="E8" s="313">
        <f>+Rentabilidad!E25-'Estado Resultados'!C26</f>
        <v>886451214.40687478</v>
      </c>
      <c r="F8" s="313">
        <f>+Rentabilidad!F25-'Estado Resultados'!D26</f>
        <v>1043339991.0406418</v>
      </c>
      <c r="G8" s="313">
        <f>+Rentabilidad!G25-'Estado Resultados'!E26</f>
        <v>3067502042.8570542</v>
      </c>
      <c r="H8" s="313">
        <f>+Rentabilidad!H25-'Estado Resultados'!F26</f>
        <v>2393259338.1699476</v>
      </c>
      <c r="I8" s="313">
        <f>+Rentabilidad!I25-'Estado Resultados'!G26</f>
        <v>1909887091.4153314</v>
      </c>
      <c r="J8" s="313">
        <f>+Rentabilidad!J25-'Estado Resultados'!H26</f>
        <v>1714832850.8464804</v>
      </c>
      <c r="K8" s="313">
        <f>+Rentabilidad!K25-'Estado Resultados'!I26</f>
        <v>1465674.9799999981</v>
      </c>
      <c r="L8" t="s">
        <v>222</v>
      </c>
      <c r="N8" s="55"/>
      <c r="O8" s="55"/>
      <c r="P8" s="55"/>
    </row>
    <row r="9" spans="1:16" ht="55.2" customHeight="1" x14ac:dyDescent="0.35">
      <c r="B9" s="189" t="s">
        <v>572</v>
      </c>
      <c r="C9" s="186" t="s">
        <v>573</v>
      </c>
      <c r="D9" s="243" t="s">
        <v>574</v>
      </c>
      <c r="E9" s="404">
        <f>+E8-(Liquidez!E14-Variables!D68)</f>
        <v>-671136586.59312522</v>
      </c>
      <c r="F9" s="404">
        <f>+F8-(Liquidez!F14-Liquidez!E14)</f>
        <v>2327576926.0406418</v>
      </c>
      <c r="G9" s="404">
        <f>+G8-(Liquidez!G14-Liquidez!F14)</f>
        <v>1300564134.8570542</v>
      </c>
      <c r="H9" s="404">
        <f>+H8-(Liquidez!H14-Liquidez!G14)</f>
        <v>2818715493.1699476</v>
      </c>
      <c r="I9" s="404">
        <f>+I8-(Liquidez!I14-Liquidez!H14)</f>
        <v>2485970689.4153314</v>
      </c>
      <c r="J9" s="404">
        <f>+J8-(Liquidez!J14-Liquidez!I14)</f>
        <v>-2109588476.1535196</v>
      </c>
      <c r="K9" s="404">
        <f>+K8-Liquidez!H1</f>
        <v>1465674.9799999981</v>
      </c>
      <c r="L9" t="s">
        <v>222</v>
      </c>
      <c r="N9" s="55"/>
      <c r="O9" s="55"/>
      <c r="P9" s="55"/>
    </row>
    <row r="10" spans="1:16" ht="57.6" x14ac:dyDescent="0.35">
      <c r="B10" s="242" t="s">
        <v>575</v>
      </c>
      <c r="C10" s="240" t="s">
        <v>576</v>
      </c>
      <c r="D10" s="241" t="s">
        <v>577</v>
      </c>
      <c r="E10" s="313">
        <f>+E9-((Variables!D74-Variables!D28)-(Balance!C34-Balance!C31))</f>
        <v>-911376544.59312522</v>
      </c>
      <c r="F10" s="313">
        <f>+F9-((Balance!D34-Balance!D31)-(Balance!C34-Balance!C31))</f>
        <v>671587683.04064178</v>
      </c>
      <c r="G10" s="313">
        <f>+G9-((Balance!E34-Balance!E31)-(Balance!D34-Balance!D31))</f>
        <v>500036479.85705423</v>
      </c>
      <c r="H10" s="313">
        <f>+H9-((Balance!F34-Balance!F31)-(Balance!E34-Balance!E31))</f>
        <v>-1266516774.8300524</v>
      </c>
      <c r="I10" s="313">
        <f>+I9-((Balance!G34-Balance!G31)-(Balance!F34-Balance!F31))</f>
        <v>2029638207.4153314</v>
      </c>
      <c r="J10" s="313">
        <f>+J9-((Balance!H34-Balance!H31)-(Balance!G34-Balance!G31))</f>
        <v>-3681596257.1535196</v>
      </c>
      <c r="K10" s="313">
        <f>+K9-Balance!F1</f>
        <v>1465674.9799999981</v>
      </c>
      <c r="L10" t="s">
        <v>222</v>
      </c>
    </row>
    <row r="11" spans="1:16" ht="43.2" x14ac:dyDescent="0.35">
      <c r="B11" s="189" t="s">
        <v>578</v>
      </c>
      <c r="C11" s="194" t="s">
        <v>579</v>
      </c>
      <c r="D11" s="243" t="s">
        <v>580</v>
      </c>
      <c r="E11" s="404">
        <f>+E10+((Balance!C58-Balance!C42)-(1))-'Estado Resultados'!C21</f>
        <v>2991201817.5652766</v>
      </c>
      <c r="F11" s="404">
        <f>+F10+((Balance!D58-Balance!D42)-(Balance!C58-Balance!C42))-'Estado Resultados'!D21</f>
        <v>1567425613.6557596</v>
      </c>
      <c r="G11" s="404">
        <f>+G10+((Balance!E58-Balance!E42)-(Balance!D58-Balance!D42))-'Estado Resultados'!E21</f>
        <v>1221247610.0929103</v>
      </c>
      <c r="H11" s="404">
        <f>+H10+((Balance!F58-Balance!F42)-(Balance!E58-Balance!E42))-'Estado Resultados'!F21</f>
        <v>1537453137.3001947</v>
      </c>
      <c r="I11" s="404">
        <f>+I10+((Balance!G58-Balance!G42)-(Balance!F58-Balance!F42))-'Estado Resultados'!G21</f>
        <v>2458862166.4390521</v>
      </c>
      <c r="J11" s="404">
        <f>+J10+((Balance!H58-Balance!H42)-(Balance!G58-Balance!G42))-'Estado Resultados'!H21</f>
        <v>20084696.601765394</v>
      </c>
      <c r="K11" s="404">
        <f>+K10+Balance!F38-'Estado Resultados'!F21</f>
        <v>-300480969.88975275</v>
      </c>
      <c r="L11" t="s">
        <v>222</v>
      </c>
    </row>
    <row r="12" spans="1:16" ht="55.2" customHeight="1" x14ac:dyDescent="0.35">
      <c r="B12" s="242" t="s">
        <v>581</v>
      </c>
      <c r="C12" s="250" t="s">
        <v>582</v>
      </c>
      <c r="D12" s="241" t="s">
        <v>583</v>
      </c>
      <c r="E12" s="313">
        <f>+E11+(Balance!C62-Balance!C62)-Variables!D79</f>
        <v>2991201817.5652766</v>
      </c>
      <c r="F12" s="313">
        <f>+F11+(Balance!D62-Balance!C62)-Variables!E79</f>
        <v>1567425613.6557596</v>
      </c>
      <c r="G12" s="313">
        <f>+G11+(Balance!E62-Balance!D62)-Variables!F79</f>
        <v>1221247610.0929103</v>
      </c>
      <c r="H12" s="313">
        <f>+H11+(Balance!F62-Balance!E62)-Variables!G79</f>
        <v>1537453137.3001947</v>
      </c>
      <c r="I12" s="313">
        <f>+I11+(Balance!G62-Balance!F62)-Variables!H79</f>
        <v>2458862166.4390521</v>
      </c>
      <c r="J12" s="313">
        <f>+J11+(Balance!H62-Balance!G62)-Variables!I79</f>
        <v>20084696.601765394</v>
      </c>
      <c r="K12" s="313">
        <f t="shared" ref="K12" si="0">+K11</f>
        <v>-300480969.88975275</v>
      </c>
    </row>
    <row r="13" spans="1:16" ht="14.4" x14ac:dyDescent="0.35">
      <c r="L13" t="s">
        <v>222</v>
      </c>
    </row>
    <row r="14" spans="1:16" ht="14.7" customHeight="1" x14ac:dyDescent="0.35"/>
    <row r="15" spans="1:16" ht="14.7" customHeight="1" x14ac:dyDescent="0.35"/>
    <row r="16" spans="1:16" ht="14.7" customHeight="1" x14ac:dyDescent="0.35"/>
    <row r="17" ht="14.7" customHeight="1" x14ac:dyDescent="0.35"/>
    <row r="18" ht="14.7" customHeight="1" x14ac:dyDescent="0.35"/>
    <row r="19" ht="14.7" customHeight="1" x14ac:dyDescent="0.35"/>
    <row r="20" ht="14.7" customHeight="1" x14ac:dyDescent="0.35"/>
    <row r="21" ht="14.7" customHeight="1" x14ac:dyDescent="0.35"/>
    <row r="22" ht="14.7" customHeight="1" x14ac:dyDescent="0.35"/>
    <row r="23" ht="14.7" customHeight="1" x14ac:dyDescent="0.35"/>
    <row r="24" ht="14.7" customHeight="1" x14ac:dyDescent="0.35"/>
    <row r="25" ht="14.7" customHeight="1" x14ac:dyDescent="0.35"/>
    <row r="26" ht="14.7" customHeight="1" x14ac:dyDescent="0.35"/>
    <row r="27" ht="14.7" customHeight="1" x14ac:dyDescent="0.35"/>
    <row r="28" ht="14.7" customHeight="1" x14ac:dyDescent="0.35"/>
    <row r="29" ht="14.7" customHeight="1" x14ac:dyDescent="0.35"/>
    <row r="30" ht="14.7" customHeight="1" x14ac:dyDescent="0.35"/>
    <row r="31" ht="14.7" customHeight="1" x14ac:dyDescent="0.35"/>
    <row r="32" ht="14.7" customHeight="1" x14ac:dyDescent="0.35"/>
    <row r="33" ht="14.7" customHeight="1" x14ac:dyDescent="0.35"/>
    <row r="34" ht="14.7" customHeight="1" x14ac:dyDescent="0.35"/>
    <row r="35" ht="14.7" customHeight="1" x14ac:dyDescent="0.35"/>
    <row r="36" ht="14.7" customHeight="1" x14ac:dyDescent="0.35"/>
    <row r="37" ht="14.7" customHeight="1" x14ac:dyDescent="0.35"/>
    <row r="38" ht="14.7" customHeight="1" x14ac:dyDescent="0.35"/>
    <row r="39" ht="14.7" customHeight="1" x14ac:dyDescent="0.35"/>
    <row r="40" ht="14.7" customHeight="1" x14ac:dyDescent="0.35"/>
    <row r="41" ht="14.7" customHeight="1" x14ac:dyDescent="0.35"/>
    <row r="42" ht="14.7" customHeight="1" x14ac:dyDescent="0.35"/>
    <row r="43" ht="14.7" customHeight="1" x14ac:dyDescent="0.35"/>
    <row r="44" ht="14.7" customHeight="1" x14ac:dyDescent="0.35"/>
    <row r="45" ht="14.7" customHeight="1" x14ac:dyDescent="0.35"/>
    <row r="46" ht="14.7" customHeight="1" x14ac:dyDescent="0.35"/>
    <row r="47" ht="14.7" customHeight="1" x14ac:dyDescent="0.35"/>
    <row r="48" ht="14.7" customHeight="1" x14ac:dyDescent="0.35"/>
    <row r="49" ht="14.7" customHeight="1" x14ac:dyDescent="0.35"/>
    <row r="50" ht="14.7" customHeight="1" x14ac:dyDescent="0.35"/>
    <row r="51" ht="14.7" customHeight="1" x14ac:dyDescent="0.35"/>
    <row r="52" ht="14.7" customHeight="1" x14ac:dyDescent="0.35"/>
    <row r="53" ht="14.7" customHeight="1" x14ac:dyDescent="0.35"/>
    <row r="54" ht="14.7" customHeight="1" x14ac:dyDescent="0.35"/>
  </sheetData>
  <sheetProtection selectLockedCells="1" selectUnlockedCells="1"/>
  <mergeCells count="2">
    <mergeCell ref="B3:K3"/>
    <mergeCell ref="B4:K4"/>
  </mergeCells>
  <printOptions horizontalCentered="1"/>
  <pageMargins left="0.70866141732283472" right="0.31496062992125984" top="0.48" bottom="0.43307086614173229" header="0" footer="0"/>
  <pageSetup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9">
    <pageSetUpPr fitToPage="1"/>
  </sheetPr>
  <dimension ref="A1:M80"/>
  <sheetViews>
    <sheetView topLeftCell="A43" workbookViewId="0">
      <selection activeCell="A67" sqref="A67:XFD67"/>
    </sheetView>
  </sheetViews>
  <sheetFormatPr baseColWidth="10" defaultColWidth="0" defaultRowHeight="13.8" zeroHeight="1" x14ac:dyDescent="0.25"/>
  <cols>
    <col min="1" max="1" width="4.44140625" style="109" customWidth="1"/>
    <col min="2" max="2" width="48.5546875" style="109" customWidth="1"/>
    <col min="3" max="3" width="15.5546875" style="109" customWidth="1"/>
    <col min="4" max="4" width="13.44140625" style="109" customWidth="1"/>
    <col min="5" max="5" width="15.33203125" style="109" bestFit="1" customWidth="1"/>
    <col min="6" max="6" width="13" style="109" bestFit="1" customWidth="1"/>
    <col min="7" max="7" width="15.33203125" style="109" bestFit="1" customWidth="1"/>
    <col min="8" max="8" width="13" style="109" bestFit="1" customWidth="1"/>
    <col min="9" max="9" width="15.33203125" style="109" bestFit="1" customWidth="1"/>
    <col min="10" max="10" width="13" style="109" bestFit="1" customWidth="1"/>
    <col min="11" max="11" width="15.33203125" style="109" bestFit="1" customWidth="1"/>
    <col min="12" max="12" width="13" style="109" bestFit="1" customWidth="1"/>
    <col min="13" max="13" width="4.5546875" style="109" customWidth="1"/>
    <col min="14" max="16384" width="11.44140625" style="109" hidden="1"/>
  </cols>
  <sheetData>
    <row r="1" spans="1:13" x14ac:dyDescent="0.25"/>
    <row r="2" spans="1:13" x14ac:dyDescent="0.25"/>
    <row r="3" spans="1:13" ht="29.25" customHeight="1" x14ac:dyDescent="0.25">
      <c r="B3" s="557" t="str">
        <f>+'Vertical Balance'!B3:F3</f>
        <v>K-LISTO</v>
      </c>
      <c r="C3" s="558"/>
      <c r="D3" s="558"/>
      <c r="E3" s="558"/>
      <c r="F3" s="558"/>
      <c r="G3" s="558"/>
      <c r="H3" s="558"/>
      <c r="I3" s="558"/>
      <c r="J3" s="558"/>
      <c r="K3" s="558"/>
      <c r="L3" s="559"/>
    </row>
    <row r="4" spans="1:13" x14ac:dyDescent="0.25">
      <c r="A4" s="80"/>
      <c r="B4" s="486" t="s">
        <v>584</v>
      </c>
      <c r="C4" s="487"/>
      <c r="D4" s="487"/>
      <c r="E4" s="487"/>
      <c r="F4" s="487"/>
      <c r="G4" s="487"/>
      <c r="H4" s="487"/>
      <c r="I4" s="487"/>
      <c r="J4" s="487"/>
      <c r="K4" s="487"/>
      <c r="L4" s="491"/>
    </row>
    <row r="5" spans="1:13" x14ac:dyDescent="0.25">
      <c r="A5" s="80"/>
      <c r="B5" s="225"/>
      <c r="C5" s="226"/>
      <c r="D5" s="226"/>
      <c r="E5" s="226"/>
      <c r="F5" s="227"/>
      <c r="G5" s="226"/>
      <c r="H5" s="227"/>
      <c r="I5" s="226"/>
      <c r="J5" s="227"/>
      <c r="K5" s="226"/>
      <c r="L5" s="227"/>
    </row>
    <row r="6" spans="1:13" x14ac:dyDescent="0.25">
      <c r="A6" s="80"/>
      <c r="B6" s="562"/>
      <c r="C6" s="560" t="str">
        <f>+Variables!E7&amp;'AnHoriz Balance'!M6&amp;Variables!D7</f>
        <v>2019 - 2018</v>
      </c>
      <c r="D6" s="561"/>
      <c r="E6" s="560" t="str">
        <f>+Variables!F7&amp;'AnHoriz Balance'!M6&amp;Variables!E7</f>
        <v>2020 - 2019</v>
      </c>
      <c r="F6" s="561"/>
      <c r="G6" s="560" t="str">
        <f>+Variables!G7&amp;'AnHoriz Balance'!M6&amp;Variables!F7</f>
        <v>2021 - 2020</v>
      </c>
      <c r="H6" s="561"/>
      <c r="I6" s="560" t="str">
        <f>+Variables!H7&amp;'AnHoriz Balance'!M6&amp;Variables!G7</f>
        <v>2022 - 2021</v>
      </c>
      <c r="J6" s="561"/>
      <c r="K6" s="560" t="str">
        <f>+Variables!I7&amp;'AnHoriz Balance'!M6&amp;Variables!H7</f>
        <v>2023 - 2022</v>
      </c>
      <c r="L6" s="561"/>
      <c r="M6" s="109" t="s">
        <v>175</v>
      </c>
    </row>
    <row r="7" spans="1:13" x14ac:dyDescent="0.25">
      <c r="A7" s="80"/>
      <c r="B7" s="563"/>
      <c r="C7" s="114" t="s">
        <v>585</v>
      </c>
      <c r="D7" s="114" t="s">
        <v>586</v>
      </c>
      <c r="E7" s="114" t="s">
        <v>585</v>
      </c>
      <c r="F7" s="114" t="s">
        <v>586</v>
      </c>
      <c r="G7" s="114" t="s">
        <v>585</v>
      </c>
      <c r="H7" s="114" t="s">
        <v>586</v>
      </c>
      <c r="I7" s="114" t="s">
        <v>585</v>
      </c>
      <c r="J7" s="114" t="s">
        <v>586</v>
      </c>
      <c r="K7" s="114" t="s">
        <v>585</v>
      </c>
      <c r="L7" s="114" t="s">
        <v>586</v>
      </c>
    </row>
    <row r="8" spans="1:13" x14ac:dyDescent="0.25">
      <c r="A8" s="80"/>
      <c r="B8" s="81" t="s">
        <v>179</v>
      </c>
      <c r="C8" s="83"/>
      <c r="D8" s="108"/>
      <c r="E8" s="115"/>
      <c r="F8" s="108"/>
      <c r="G8" s="115"/>
      <c r="H8" s="108"/>
      <c r="I8" s="115"/>
      <c r="J8" s="108"/>
      <c r="K8" s="115"/>
      <c r="L8" s="108"/>
    </row>
    <row r="9" spans="1:13" x14ac:dyDescent="0.25">
      <c r="A9" s="80"/>
      <c r="B9" s="82"/>
      <c r="C9" s="83"/>
      <c r="D9" s="108"/>
      <c r="E9" s="115"/>
      <c r="F9" s="108"/>
      <c r="G9" s="115"/>
      <c r="H9" s="108"/>
      <c r="I9" s="115"/>
      <c r="J9" s="108"/>
      <c r="K9" s="115"/>
      <c r="L9" s="108"/>
    </row>
    <row r="10" spans="1:13" x14ac:dyDescent="0.25">
      <c r="A10" s="80"/>
      <c r="B10" s="82" t="str">
        <f>+'Vertical Balance'!B8</f>
        <v>Disponible</v>
      </c>
      <c r="C10" s="405">
        <f>+Balance!D11-Balance!C11</f>
        <v>-108571152</v>
      </c>
      <c r="D10" s="108">
        <f>IF(C10=0,0,(IF(Balance!C11=0,100%,C10/Balance!C11)))</f>
        <v>-0.47820509689342422</v>
      </c>
      <c r="E10" s="405">
        <f>+Balance!E11-Balance!D11</f>
        <v>263676487</v>
      </c>
      <c r="F10" s="108">
        <f>IF(E10=0,0,(IF(Balance!D11=0,100%,E10/Balance!D11)))</f>
        <v>2.2257240880940974</v>
      </c>
      <c r="G10" s="405">
        <f>+Balance!F11-Balance!E11</f>
        <v>-314678484</v>
      </c>
      <c r="H10" s="108">
        <f>IF(G10=0,0,(IF(Balance!E11=0,100%,G10/Balance!E11)))</f>
        <v>-0.82345477840800518</v>
      </c>
      <c r="I10" s="405">
        <f>+Balance!G11-Balance!F11</f>
        <v>65216305</v>
      </c>
      <c r="J10" s="108">
        <f>IF(I10=0,0,(IF(Balance!F11=0,100%,I10/Balance!F11)))</f>
        <v>0.96665817149019173</v>
      </c>
      <c r="K10" s="405">
        <f>+Balance!H11-Balance!G11</f>
        <v>-58187550</v>
      </c>
      <c r="L10" s="108">
        <f>IF(K10=0,0,(IF(Balance!G11=0,100%,K10/Balance!G11)))</f>
        <v>-0.43854880103932076</v>
      </c>
    </row>
    <row r="11" spans="1:13" x14ac:dyDescent="0.25">
      <c r="A11" s="80"/>
      <c r="B11" s="82" t="str">
        <f>+'Vertical Balance'!B9</f>
        <v>Inversiones</v>
      </c>
      <c r="C11" s="405">
        <f>+Balance!D12-Balance!C12</f>
        <v>127178393</v>
      </c>
      <c r="D11" s="108">
        <f>IF(C11=0,0,(IF(Balance!C12=0,100%,C11/Balance!C12)))</f>
        <v>1</v>
      </c>
      <c r="E11" s="405">
        <f>+Balance!E12-Balance!D12</f>
        <v>89273624</v>
      </c>
      <c r="F11" s="108">
        <f>IF(E11=0,0,(IF(Balance!D12=0,100%,E11/Balance!D12)))</f>
        <v>0.70195590535571561</v>
      </c>
      <c r="G11" s="405">
        <f>+Balance!F12-Balance!E12</f>
        <v>-166190529</v>
      </c>
      <c r="H11" s="108">
        <f>IF(G11=0,0,(IF(Balance!E12=0,100%,G11/Balance!E12)))</f>
        <v>-0.76779385705608827</v>
      </c>
      <c r="I11" s="405">
        <f>+Balance!G12-Balance!F12</f>
        <v>-40145468</v>
      </c>
      <c r="J11" s="108">
        <f>IF(I11=0,0,(IF(Balance!F12=0,100%,I11/Balance!F12)))</f>
        <v>-0.79873218238186661</v>
      </c>
      <c r="K11" s="405">
        <f>+Balance!H12-Balance!G12</f>
        <v>-4565889</v>
      </c>
      <c r="L11" s="108">
        <f>IF(K11=0,0,(IF(Balance!G12=0,100%,K11/Balance!G12)))</f>
        <v>-0.45135231049365265</v>
      </c>
    </row>
    <row r="12" spans="1:13" x14ac:dyDescent="0.25">
      <c r="A12" s="80"/>
      <c r="B12" s="82" t="str">
        <f>+'Vertical Balance'!B10</f>
        <v>Deudores (cartera)</v>
      </c>
      <c r="C12" s="405">
        <f>+Balance!D13-Balance!C13</f>
        <v>-1583949361</v>
      </c>
      <c r="D12" s="108">
        <f>IF(C12=0,0,(IF(Balance!C13=0,100%,C12/Balance!C13)))</f>
        <v>-0.32275801275505339</v>
      </c>
      <c r="E12" s="405">
        <f>+Balance!E13-Balance!D13</f>
        <v>1185879014</v>
      </c>
      <c r="F12" s="108">
        <f>IF(E12=0,0,(IF(Balance!D13=0,100%,E12/Balance!D13)))</f>
        <v>0.35680608148267157</v>
      </c>
      <c r="G12" s="405">
        <f>+Balance!F13-Balance!E13</f>
        <v>219403718</v>
      </c>
      <c r="H12" s="108">
        <f>IF(G12=0,0,(IF(Balance!E13=0,100%,G12/Balance!E13)))</f>
        <v>4.8653945652481163E-2</v>
      </c>
      <c r="I12" s="405">
        <f>+Balance!G13-Balance!F13</f>
        <v>-861565032</v>
      </c>
      <c r="J12" s="108">
        <f>IF(I12=0,0,(IF(Balance!F13=0,100%,I12/Balance!F13)))</f>
        <v>-0.18219227201433752</v>
      </c>
      <c r="K12" s="405">
        <f>+Balance!H13-Balance!G13</f>
        <v>4622733191</v>
      </c>
      <c r="L12" s="108">
        <f>IF(K12=0,0,(IF(Balance!G13=0,100%,K12/Balance!G13)))</f>
        <v>1.195334640816851</v>
      </c>
    </row>
    <row r="13" spans="1:13" x14ac:dyDescent="0.25">
      <c r="A13" s="80"/>
      <c r="B13" s="82" t="str">
        <f>+'Vertical Balance'!B11</f>
        <v>Inventarios</v>
      </c>
      <c r="C13" s="405">
        <f>+Balance!D14-Balance!C14</f>
        <v>466188282</v>
      </c>
      <c r="D13" s="108">
        <f>IF(C13=0,0,(IF(Balance!C14=0,100%,C13/Balance!C14)))</f>
        <v>0.88185798202093424</v>
      </c>
      <c r="E13" s="405">
        <f>+Balance!E14-Balance!D14</f>
        <v>358800657</v>
      </c>
      <c r="F13" s="108">
        <f>IF(E13=0,0,(IF(Balance!D14=0,100%,E13/Balance!D14)))</f>
        <v>0.36066473609794436</v>
      </c>
      <c r="G13" s="405">
        <f>+Balance!F14-Balance!E14</f>
        <v>-163551216</v>
      </c>
      <c r="H13" s="108">
        <f>IF(G13=0,0,(IF(Balance!E14=0,100%,G13/Balance!E14)))</f>
        <v>-0.12082396949298937</v>
      </c>
      <c r="I13" s="405">
        <f>+Balance!G14-Balance!F14</f>
        <v>500135846</v>
      </c>
      <c r="J13" s="108">
        <f>IF(I13=0,0,(IF(Balance!F14=0,100%,I13/Balance!F14)))</f>
        <v>0.42025362262173505</v>
      </c>
      <c r="K13" s="405">
        <f>+Balance!H14-Balance!G14</f>
        <v>366073306</v>
      </c>
      <c r="L13" s="108">
        <f>IF(K13=0,0,(IF(Balance!G14=0,100%,K13/Balance!G14)))</f>
        <v>0.21658363521930443</v>
      </c>
    </row>
    <row r="14" spans="1:13" x14ac:dyDescent="0.25">
      <c r="A14" s="80"/>
      <c r="B14" s="82" t="str">
        <f>+'Vertical Balance'!B12</f>
        <v>Diferidos</v>
      </c>
      <c r="C14" s="405">
        <f>+Balance!D15-Balance!C15</f>
        <v>49693264</v>
      </c>
      <c r="D14" s="108">
        <f>IF(C14=0,0,(IF(Balance!C15=0,100%,C14/Balance!C15)))</f>
        <v>1.3422013097338936</v>
      </c>
      <c r="E14" s="405">
        <f>+Balance!E15-Balance!D15</f>
        <v>-24759865</v>
      </c>
      <c r="F14" s="108">
        <f>IF(E14=0,0,(IF(Balance!D15=0,100%,E14/Balance!D15)))</f>
        <v>-0.28552503127184981</v>
      </c>
      <c r="G14" s="405">
        <f>+Balance!F15-Balance!E15</f>
        <v>95264016</v>
      </c>
      <c r="H14" s="108">
        <f>IF(G14=0,0,(IF(Balance!E15=0,100%,G14/Balance!E15)))</f>
        <v>1.5375802190105627</v>
      </c>
      <c r="I14" s="405">
        <f>+Balance!G15-Balance!F15</f>
        <v>50071898</v>
      </c>
      <c r="J14" s="108">
        <f>IF(I14=0,0,(IF(Balance!F15=0,100%,I14/Balance!F15)))</f>
        <v>0.31848073794717108</v>
      </c>
      <c r="K14" s="405">
        <f>+Balance!H15-Balance!G15</f>
        <v>542545010</v>
      </c>
      <c r="L14" s="108">
        <f>IF(K14=0,0,(IF(Balance!G15=0,100%,K14/Balance!G15)))</f>
        <v>2.6172855113590248</v>
      </c>
    </row>
    <row r="15" spans="1:13" x14ac:dyDescent="0.25">
      <c r="A15" s="80"/>
      <c r="B15" s="82" t="str">
        <f>+'Vertical Balance'!B13</f>
        <v>Otros activos corrientes</v>
      </c>
      <c r="C15" s="405">
        <f>+Balance!D16-Balance!C16</f>
        <v>964766535</v>
      </c>
      <c r="D15" s="108">
        <f>IF(C15=0,0,(IF(Balance!C16=0,100%,C15/Balance!C16)))</f>
        <v>1</v>
      </c>
      <c r="E15" s="405">
        <f>+Balance!E16-Balance!D16</f>
        <v>1037019982</v>
      </c>
      <c r="F15" s="108">
        <f>IF(E15=0,0,(IF(Balance!D16=0,100%,E15/Balance!D16)))</f>
        <v>1.0748921571994616</v>
      </c>
      <c r="G15" s="405">
        <f>+Balance!F16-Balance!E16</f>
        <v>431847839</v>
      </c>
      <c r="H15" s="108">
        <f>IF(G15=0,0,(IF(Balance!E16=0,100%,G15/Balance!E16)))</f>
        <v>0.21573121575780901</v>
      </c>
      <c r="I15" s="405">
        <f>+Balance!G16-Balance!F16</f>
        <v>1308986554</v>
      </c>
      <c r="J15" s="108">
        <f>IF(I15=0,0,(IF(Balance!F16=0,100%,I15/Balance!F16)))</f>
        <v>0.53787314054502933</v>
      </c>
      <c r="K15" s="405">
        <f>+Balance!H16-Balance!G16</f>
        <v>-419311776</v>
      </c>
      <c r="L15" s="108">
        <f>IF(K15=0,0,(IF(Balance!G16=0,100%,K15/Balance!G16)))</f>
        <v>-0.11203693510064849</v>
      </c>
    </row>
    <row r="16" spans="1:13" x14ac:dyDescent="0.25">
      <c r="A16" s="80"/>
      <c r="B16" s="82"/>
      <c r="C16" s="83"/>
      <c r="D16" s="108"/>
      <c r="E16" s="115"/>
      <c r="F16" s="108"/>
      <c r="G16" s="115"/>
      <c r="H16" s="108"/>
      <c r="I16" s="115"/>
      <c r="J16" s="108"/>
      <c r="K16" s="115"/>
      <c r="L16" s="108"/>
    </row>
    <row r="17" spans="1:12" x14ac:dyDescent="0.25">
      <c r="A17" s="80"/>
      <c r="B17" s="84" t="s">
        <v>180</v>
      </c>
      <c r="C17" s="406">
        <f>+Balance!D18-Balance!C18</f>
        <v>-84694039</v>
      </c>
      <c r="D17" s="407">
        <f>IF(C17=0,0,(IF(Balance!C18=0,100%,C17/Balance!C18)))</f>
        <v>-1.4857950339449205E-2</v>
      </c>
      <c r="E17" s="406">
        <f>+Balance!E18-Balance!D18</f>
        <v>2909889899</v>
      </c>
      <c r="F17" s="407">
        <f>IF(E17=0,0,(IF(Balance!D18=0,100%,E17/Balance!D18)))</f>
        <v>0.51818371234041138</v>
      </c>
      <c r="G17" s="406">
        <f>+Balance!F18-Balance!E18</f>
        <v>102095344</v>
      </c>
      <c r="H17" s="407">
        <f>IF(G17=0,0,(IF(Balance!E18=0,100%,G17/Balance!E18)))</f>
        <v>1.1975366399495632E-2</v>
      </c>
      <c r="I17" s="406">
        <f>+Balance!G18-Balance!F18</f>
        <v>1022700103</v>
      </c>
      <c r="J17" s="407">
        <f>IF(I17=0,0,(IF(Balance!F18=0,100%,I17/Balance!F18)))</f>
        <v>0.11853899255455978</v>
      </c>
      <c r="K17" s="406">
        <f>+Balance!H18-Balance!G18</f>
        <v>5049286292</v>
      </c>
      <c r="L17" s="407">
        <f>IF(K17=0,0,(IF(Balance!G18=0,100%,K17/Balance!G18)))</f>
        <v>0.52322899133005218</v>
      </c>
    </row>
    <row r="18" spans="1:12" x14ac:dyDescent="0.25">
      <c r="A18" s="80"/>
      <c r="B18" s="82"/>
      <c r="C18" s="83"/>
      <c r="D18" s="108"/>
      <c r="E18" s="115"/>
      <c r="F18" s="108"/>
      <c r="G18" s="115"/>
      <c r="H18" s="108"/>
      <c r="I18" s="115"/>
      <c r="J18" s="108"/>
      <c r="K18" s="115"/>
      <c r="L18" s="108"/>
    </row>
    <row r="19" spans="1:12" x14ac:dyDescent="0.25">
      <c r="A19" s="80"/>
      <c r="B19" s="82" t="str">
        <f>+Balance!B20</f>
        <v>Muebles y enseres</v>
      </c>
      <c r="C19" s="405">
        <f>+Balance!D20-Balance!C20</f>
        <v>0</v>
      </c>
      <c r="D19" s="108">
        <f>IF(C19=0,0,(IF(Balance!C20=0,100%,C19/Balance!C20)))</f>
        <v>0</v>
      </c>
      <c r="E19" s="405">
        <f>+Balance!E20-Balance!D20</f>
        <v>0</v>
      </c>
      <c r="F19" s="108">
        <f>IF(E19=0,0,(IF(Balance!D20=0,100%,E19/Balance!D20)))</f>
        <v>0</v>
      </c>
      <c r="G19" s="405">
        <f>+Balance!F20-Balance!E20</f>
        <v>0</v>
      </c>
      <c r="H19" s="108">
        <f>IF(G19=0,0,(IF(Balance!E20=0,100%,G19/Balance!E20)))</f>
        <v>0</v>
      </c>
      <c r="I19" s="405">
        <f>+Balance!G20-Balance!F20</f>
        <v>0</v>
      </c>
      <c r="J19" s="108">
        <f>IF(I19=0,0,(IF(Balance!F20=0,100%,I19/Balance!F20)))</f>
        <v>0</v>
      </c>
      <c r="K19" s="405">
        <f>+Balance!H20-Balance!G20</f>
        <v>0</v>
      </c>
      <c r="L19" s="108">
        <f>IF(K19=0,0,(IF(Balance!G20=0,100%,K19/Balance!G20)))</f>
        <v>0</v>
      </c>
    </row>
    <row r="20" spans="1:12" x14ac:dyDescent="0.25">
      <c r="A20" s="80"/>
      <c r="B20" s="82" t="str">
        <f>+Balance!B21</f>
        <v>Equipo de oficina</v>
      </c>
      <c r="C20" s="405">
        <f>+Balance!D21-Balance!C21</f>
        <v>0</v>
      </c>
      <c r="D20" s="108">
        <f>IF(C20=0,0,(IF(Balance!C21=0,100%,C20/Balance!C21)))</f>
        <v>0</v>
      </c>
      <c r="E20" s="405">
        <f>+Balance!E21-Balance!D21</f>
        <v>0</v>
      </c>
      <c r="F20" s="108">
        <f>IF(E20=0,0,(IF(Balance!D21=0,100%,E20/Balance!D21)))</f>
        <v>0</v>
      </c>
      <c r="G20" s="405">
        <f>+Balance!F21-Balance!E21</f>
        <v>0</v>
      </c>
      <c r="H20" s="108">
        <f>IF(G20=0,0,(IF(Balance!E21=0,100%,G20/Balance!E21)))</f>
        <v>0</v>
      </c>
      <c r="I20" s="405">
        <f>+Balance!G21-Balance!F21</f>
        <v>0</v>
      </c>
      <c r="J20" s="108">
        <f>IF(I20=0,0,(IF(Balance!F21=0,100%,I20/Balance!F21)))</f>
        <v>0</v>
      </c>
      <c r="K20" s="405">
        <f>+Balance!H21-Balance!G21</f>
        <v>0</v>
      </c>
      <c r="L20" s="108">
        <f>IF(K20=0,0,(IF(Balance!G21=0,100%,K20/Balance!G21)))</f>
        <v>0</v>
      </c>
    </row>
    <row r="21" spans="1:12" x14ac:dyDescent="0.25">
      <c r="A21" s="80"/>
      <c r="B21" s="82" t="str">
        <f>+Balance!B22</f>
        <v>Maquinaria</v>
      </c>
      <c r="C21" s="405">
        <f>+Balance!D22-Balance!C22</f>
        <v>204624539</v>
      </c>
      <c r="D21" s="108">
        <f>IF(C21=0,0,(IF(Balance!C22=0,100%,C21/Balance!C22)))</f>
        <v>7.8824825398255804E-2</v>
      </c>
      <c r="E21" s="405">
        <f>+Balance!E22-Balance!D22</f>
        <v>609566879</v>
      </c>
      <c r="F21" s="108">
        <f>IF(E21=0,0,(IF(Balance!D22=0,100%,E21/Balance!D22)))</f>
        <v>0.21765855078058602</v>
      </c>
      <c r="G21" s="405">
        <f>+Balance!F22-Balance!E22</f>
        <v>1254533985</v>
      </c>
      <c r="H21" s="108">
        <f>IF(G21=0,0,(IF(Balance!E22=0,100%,G21/Balance!E22)))</f>
        <v>0.36788432165458768</v>
      </c>
      <c r="I21" s="405">
        <f>+Balance!G22-Balance!F22</f>
        <v>225857824</v>
      </c>
      <c r="J21" s="108">
        <f>IF(I21=0,0,(IF(Balance!F22=0,100%,I21/Balance!F22)))</f>
        <v>4.8418866333078528E-2</v>
      </c>
      <c r="K21" s="405">
        <f>+Balance!H22-Balance!G22</f>
        <v>130676536</v>
      </c>
      <c r="L21" s="108">
        <f>IF(K21=0,0,(IF(Balance!G22=0,100%,K21/Balance!G22)))</f>
        <v>2.6720357425915432E-2</v>
      </c>
    </row>
    <row r="22" spans="1:12" x14ac:dyDescent="0.25">
      <c r="A22" s="80"/>
      <c r="B22" s="82" t="str">
        <f>+Balance!B23</f>
        <v>Vehículos</v>
      </c>
      <c r="C22" s="405">
        <f>+Balance!D23-Balance!C23</f>
        <v>0</v>
      </c>
      <c r="D22" s="108">
        <f>IF(C22=0,0,(IF(Balance!C23=0,100%,C22/Balance!C23)))</f>
        <v>0</v>
      </c>
      <c r="E22" s="405">
        <f>+Balance!E23-Balance!D23</f>
        <v>0</v>
      </c>
      <c r="F22" s="108">
        <f>IF(E22=0,0,(IF(Balance!D23=0,100%,E22/Balance!D23)))</f>
        <v>0</v>
      </c>
      <c r="G22" s="405">
        <f>+Balance!F23-Balance!E23</f>
        <v>0</v>
      </c>
      <c r="H22" s="108">
        <f>IF(G22=0,0,(IF(Balance!E23=0,100%,G22/Balance!E23)))</f>
        <v>0</v>
      </c>
      <c r="I22" s="405">
        <f>+Balance!G23-Balance!F23</f>
        <v>0</v>
      </c>
      <c r="J22" s="108">
        <f>IF(I22=0,0,(IF(Balance!F23=0,100%,I22/Balance!F23)))</f>
        <v>0</v>
      </c>
      <c r="K22" s="405">
        <f>+Balance!H23-Balance!G23</f>
        <v>0</v>
      </c>
      <c r="L22" s="108">
        <f>IF(K22=0,0,(IF(Balance!G23=0,100%,K22/Balance!G23)))</f>
        <v>0</v>
      </c>
    </row>
    <row r="23" spans="1:12" x14ac:dyDescent="0.25">
      <c r="A23" s="80"/>
      <c r="B23" s="82" t="str">
        <f>+Balance!B24</f>
        <v>Edificios</v>
      </c>
      <c r="C23" s="405">
        <f>+Balance!D24-Balance!C24</f>
        <v>0</v>
      </c>
      <c r="D23" s="108">
        <f>IF(C23=0,0,(IF(Balance!C24=0,100%,C23/Balance!C24)))</f>
        <v>0</v>
      </c>
      <c r="E23" s="405">
        <f>+Balance!E24-Balance!D24</f>
        <v>0</v>
      </c>
      <c r="F23" s="108">
        <f>IF(E23=0,0,(IF(Balance!D24=0,100%,E23/Balance!D24)))</f>
        <v>0</v>
      </c>
      <c r="G23" s="405">
        <f>+Balance!F24-Balance!E24</f>
        <v>0</v>
      </c>
      <c r="H23" s="108">
        <f>IF(G23=0,0,(IF(Balance!E24=0,100%,G23/Balance!E24)))</f>
        <v>0</v>
      </c>
      <c r="I23" s="405">
        <f>+Balance!G24-Balance!F24</f>
        <v>0</v>
      </c>
      <c r="J23" s="108">
        <f>IF(I23=0,0,(IF(Balance!F24=0,100%,I23/Balance!F24)))</f>
        <v>0</v>
      </c>
      <c r="K23" s="405">
        <f>+Balance!H24-Balance!G24</f>
        <v>0</v>
      </c>
      <c r="L23" s="108">
        <f>IF(K23=0,0,(IF(Balance!G24=0,100%,K23/Balance!G24)))</f>
        <v>0</v>
      </c>
    </row>
    <row r="24" spans="1:12" x14ac:dyDescent="0.25">
      <c r="A24" s="80"/>
      <c r="B24" s="82" t="str">
        <f>+Balance!B25</f>
        <v>Terrenos</v>
      </c>
      <c r="C24" s="405">
        <f>+Balance!D25-Balance!C25</f>
        <v>0</v>
      </c>
      <c r="D24" s="108">
        <f>IF(C24=0,0,(IF(Balance!C25=0,100%,C24/Balance!C25)))</f>
        <v>0</v>
      </c>
      <c r="E24" s="405">
        <f>+Balance!E25-Balance!D25</f>
        <v>0</v>
      </c>
      <c r="F24" s="108">
        <f>IF(E24=0,0,(IF(Balance!D25=0,100%,E24/Balance!D25)))</f>
        <v>0</v>
      </c>
      <c r="G24" s="405">
        <f>+Balance!F25-Balance!E25</f>
        <v>0</v>
      </c>
      <c r="H24" s="108">
        <f>IF(G24=0,0,(IF(Balance!E25=0,100%,G24/Balance!E25)))</f>
        <v>0</v>
      </c>
      <c r="I24" s="405">
        <f>+Balance!G25-Balance!F25</f>
        <v>0</v>
      </c>
      <c r="J24" s="108">
        <f>IF(I24=0,0,(IF(Balance!F25=0,100%,I24/Balance!F25)))</f>
        <v>0</v>
      </c>
      <c r="K24" s="405">
        <f>+Balance!H25-Balance!G25</f>
        <v>0</v>
      </c>
      <c r="L24" s="108">
        <f>IF(K24=0,0,(IF(Balance!G25=0,100%,K24/Balance!G25)))</f>
        <v>0</v>
      </c>
    </row>
    <row r="25" spans="1:12" x14ac:dyDescent="0.25">
      <c r="A25" s="80"/>
      <c r="B25" s="82" t="str">
        <f>+Balance!B26</f>
        <v>Equipo de cómputo</v>
      </c>
      <c r="C25" s="405">
        <f>+Balance!D26-Balance!C26</f>
        <v>0</v>
      </c>
      <c r="D25" s="108">
        <f>IF(C25=0,0,(IF(Balance!C26=0,100%,C25/Balance!C26)))</f>
        <v>0</v>
      </c>
      <c r="E25" s="405">
        <f>+Balance!E26-Balance!D26</f>
        <v>0</v>
      </c>
      <c r="F25" s="108">
        <f>IF(E25=0,0,(IF(Balance!D26=0,100%,E25/Balance!D26)))</f>
        <v>0</v>
      </c>
      <c r="G25" s="405">
        <f>+Balance!F26-Balance!E26</f>
        <v>0</v>
      </c>
      <c r="H25" s="108">
        <f>IF(G25=0,0,(IF(Balance!E26=0,100%,G25/Balance!E26)))</f>
        <v>0</v>
      </c>
      <c r="I25" s="405">
        <f>+Balance!G26-Balance!F26</f>
        <v>0</v>
      </c>
      <c r="J25" s="108">
        <f>IF(I25=0,0,(IF(Balance!F26=0,100%,I25/Balance!F26)))</f>
        <v>0</v>
      </c>
      <c r="K25" s="405">
        <f>+Balance!H26-Balance!G26</f>
        <v>0</v>
      </c>
      <c r="L25" s="108">
        <f>IF(K25=0,0,(IF(Balance!G26=0,100%,K25/Balance!G26)))</f>
        <v>0</v>
      </c>
    </row>
    <row r="26" spans="1:12" x14ac:dyDescent="0.25">
      <c r="A26" s="80"/>
      <c r="B26" s="82" t="str">
        <f>+Balance!B27</f>
        <v>Depreciación acumulada</v>
      </c>
      <c r="C26" s="405">
        <f>+Balance!D27-Balance!C27</f>
        <v>242546532</v>
      </c>
      <c r="D26" s="108">
        <f>IF(C26=0,0,(IF(Balance!C27=0,100%,C26/Balance!C27)))</f>
        <v>0.14486149922811994</v>
      </c>
      <c r="E26" s="405">
        <f>+Balance!E27-Balance!D27</f>
        <v>350922972</v>
      </c>
      <c r="F26" s="108">
        <f>IF(E26=0,0,(IF(Balance!D27=0,100%,E26/Balance!D27)))</f>
        <v>0.18306981993528754</v>
      </c>
      <c r="G26" s="405">
        <f>+Balance!F27-Balance!E27</f>
        <v>137181817</v>
      </c>
      <c r="H26" s="108">
        <f>IF(G26=0,0,(IF(Balance!E27=0,100%,G26/Balance!E27)))</f>
        <v>6.0491051082223968E-2</v>
      </c>
      <c r="I26" s="405">
        <f>+Balance!G27-Balance!F27</f>
        <v>373374423</v>
      </c>
      <c r="J26" s="108">
        <f>IF(I26=0,0,(IF(Balance!F27=0,100%,I26/Balance!F27)))</f>
        <v>0.15525018855302272</v>
      </c>
      <c r="K26" s="405">
        <f>+Balance!H27-Balance!G27</f>
        <v>280702439</v>
      </c>
      <c r="L26" s="108">
        <f>IF(K26=0,0,(IF(Balance!G27=0,100%,K26/Balance!G27)))</f>
        <v>0.10103171146807298</v>
      </c>
    </row>
    <row r="27" spans="1:12" x14ac:dyDescent="0.25">
      <c r="A27" s="80"/>
      <c r="B27" s="82" t="str">
        <f>+Balance!B28</f>
        <v>Propiedad planta y equipo</v>
      </c>
      <c r="C27" s="405">
        <f>+Balance!D28-Balance!C28</f>
        <v>-37921993</v>
      </c>
      <c r="D27" s="108">
        <f>IF(C27=0,0,(IF(Balance!C28=0,100%,C27/Balance!C28)))</f>
        <v>-3.5289198811114655E-2</v>
      </c>
      <c r="E27" s="405">
        <f>+Balance!E28-Balance!D28</f>
        <v>258643907</v>
      </c>
      <c r="F27" s="108">
        <f>IF(E27=0,0,(IF(Balance!D28=0,100%,E27/Balance!D28)))</f>
        <v>0.24949150090291716</v>
      </c>
      <c r="G27" s="405">
        <f>+Balance!F28-Balance!E28</f>
        <v>1117352168</v>
      </c>
      <c r="H27" s="108">
        <f>IF(G27=0,0,(IF(Balance!E28=0,100%,G27/Balance!E28)))</f>
        <v>0.86260162769395921</v>
      </c>
      <c r="I27" s="405">
        <f>+Balance!G28-Balance!F28</f>
        <v>-147516599</v>
      </c>
      <c r="J27" s="108">
        <f>IF(I27=0,0,(IF(Balance!F28=0,100%,I27/Balance!F28)))</f>
        <v>-6.1142206898637544E-2</v>
      </c>
      <c r="K27" s="405">
        <f>+Balance!H28-Balance!G28</f>
        <v>-150025903</v>
      </c>
      <c r="L27" s="108">
        <f>IF(K27=0,0,(IF(Balance!G28=0,100%,K27/Balance!G28)))</f>
        <v>-6.6231814477819409E-2</v>
      </c>
    </row>
    <row r="28" spans="1:12" x14ac:dyDescent="0.25">
      <c r="A28" s="80"/>
      <c r="B28" s="82" t="str">
        <f>+Balance!B29</f>
        <v>Intangibles</v>
      </c>
      <c r="C28" s="405">
        <f>+Balance!D29-Balance!C29</f>
        <v>180927569</v>
      </c>
      <c r="D28" s="108">
        <f>IF(C28=0,0,(IF(Balance!C29=0,100%,C28/Balance!C29)))</f>
        <v>0.29161643543817023</v>
      </c>
      <c r="E28" s="405">
        <f>+Balance!E29-Balance!D29</f>
        <v>181712665</v>
      </c>
      <c r="F28" s="108">
        <f>IF(E28=0,0,(IF(Balance!D29=0,100%,E28/Balance!D29)))</f>
        <v>0.22675605060839299</v>
      </c>
      <c r="G28" s="405">
        <f>+Balance!F29-Balance!E29</f>
        <v>1009656564</v>
      </c>
      <c r="H28" s="108">
        <f>IF(G28=0,0,(IF(Balance!E29=0,100%,G28/Balance!E29)))</f>
        <v>1.0270442391275099</v>
      </c>
      <c r="I28" s="405">
        <f>+Balance!G29-Balance!F29</f>
        <v>373259114</v>
      </c>
      <c r="J28" s="108">
        <f>IF(I28=0,0,(IF(Balance!F29=0,100%,I28/Balance!F29)))</f>
        <v>0.18731073656294078</v>
      </c>
      <c r="K28" s="405">
        <f>+Balance!H29-Balance!G29</f>
        <v>277465182</v>
      </c>
      <c r="L28" s="108">
        <f>IF(K28=0,0,(IF(Balance!G29=0,100%,K28/Balance!G29)))</f>
        <v>0.117272544626204</v>
      </c>
    </row>
    <row r="29" spans="1:12" x14ac:dyDescent="0.25">
      <c r="A29" s="80"/>
      <c r="B29" s="82" t="str">
        <f>+Balance!B30</f>
        <v>Inversiones permanentes</v>
      </c>
      <c r="C29" s="405">
        <f>+Balance!D30-Balance!C30</f>
        <v>0</v>
      </c>
      <c r="D29" s="108">
        <f>IF(C29=0,0,(IF(Balance!C30=0,100%,C29/Balance!C30)))</f>
        <v>0</v>
      </c>
      <c r="E29" s="405">
        <f>+Balance!E30-Balance!D30</f>
        <v>0</v>
      </c>
      <c r="F29" s="108">
        <f>IF(E29=0,0,(IF(Balance!D30=0,100%,E29/Balance!D30)))</f>
        <v>0</v>
      </c>
      <c r="G29" s="405">
        <f>+Balance!F30-Balance!E30</f>
        <v>0</v>
      </c>
      <c r="H29" s="108">
        <f>IF(G29=0,0,(IF(Balance!E30=0,100%,G29/Balance!E30)))</f>
        <v>0</v>
      </c>
      <c r="I29" s="405">
        <f>+Balance!G30-Balance!F30</f>
        <v>0</v>
      </c>
      <c r="J29" s="108">
        <f>IF(I29=0,0,(IF(Balance!F30=0,100%,I29/Balance!F30)))</f>
        <v>0</v>
      </c>
      <c r="K29" s="405">
        <f>+Balance!H30-Balance!G30</f>
        <v>0</v>
      </c>
      <c r="L29" s="108">
        <f>IF(K29=0,0,(IF(Balance!G30=0,100%,K29/Balance!G30)))</f>
        <v>0</v>
      </c>
    </row>
    <row r="30" spans="1:12" x14ac:dyDescent="0.25">
      <c r="A30" s="80"/>
      <c r="B30" s="82" t="str">
        <f>+Balance!B31</f>
        <v>Valorizaciones</v>
      </c>
      <c r="C30" s="405">
        <f>+Balance!D31-Balance!C31</f>
        <v>0.5</v>
      </c>
      <c r="D30" s="108">
        <f>IF(C30=0,0,(IF(Balance!C31=0,100%,C30/Balance!C31)))</f>
        <v>3.2010077755827121E-10</v>
      </c>
      <c r="E30" s="405">
        <f>+Balance!E31-Balance!D31</f>
        <v>0</v>
      </c>
      <c r="F30" s="108">
        <f>IF(E30=0,0,(IF(Balance!D31=0,100%,E30/Balance!D31)))</f>
        <v>0</v>
      </c>
      <c r="G30" s="405">
        <f>+Balance!F31-Balance!E31</f>
        <v>0</v>
      </c>
      <c r="H30" s="108">
        <f>IF(G30=0,0,(IF(Balance!E31=0,100%,G30/Balance!E31)))</f>
        <v>0</v>
      </c>
      <c r="I30" s="405">
        <f>+Balance!G31-Balance!F31</f>
        <v>0.5</v>
      </c>
      <c r="J30" s="108">
        <f>IF(I30=0,0,(IF(Balance!F31=0,100%,I30/Balance!F31)))</f>
        <v>3.201007774558067E-10</v>
      </c>
      <c r="K30" s="405">
        <f>+Balance!H31-Balance!G31</f>
        <v>0</v>
      </c>
      <c r="L30" s="108">
        <f>IF(K30=0,0,(IF(Balance!G31=0,100%,K30/Balance!G31)))</f>
        <v>0</v>
      </c>
    </row>
    <row r="31" spans="1:12" x14ac:dyDescent="0.25">
      <c r="A31" s="80"/>
      <c r="B31" s="82" t="str">
        <f>+Balance!B32</f>
        <v>Otros activos no corrientes</v>
      </c>
      <c r="C31" s="405">
        <f>+Balance!D32-Balance!C32</f>
        <v>1512983667</v>
      </c>
      <c r="D31" s="108">
        <f>IF(C31=0,0,(IF(Balance!C32=0,100%,C31/Balance!C32)))</f>
        <v>1</v>
      </c>
      <c r="E31" s="405">
        <f>+Balance!E32-Balance!D32</f>
        <v>360171083</v>
      </c>
      <c r="F31" s="108">
        <f>IF(E31=0,0,(IF(Balance!D32=0,100%,E31/Balance!D32)))</f>
        <v>0.23805351693859364</v>
      </c>
      <c r="G31" s="405">
        <f>+Balance!F32-Balance!E32</f>
        <v>1958223536</v>
      </c>
      <c r="H31" s="108">
        <f>IF(G31=0,0,(IF(Balance!E32=0,100%,G31/Balance!E32)))</f>
        <v>1.045414713333215</v>
      </c>
      <c r="I31" s="405">
        <f>+Balance!G32-Balance!F32</f>
        <v>230589967</v>
      </c>
      <c r="J31" s="108">
        <f>IF(I31=0,0,(IF(Balance!F32=0,100%,I31/Balance!F32)))</f>
        <v>6.01845993235866E-2</v>
      </c>
      <c r="K31" s="405">
        <f>+Balance!H32-Balance!G32</f>
        <v>1444568502</v>
      </c>
      <c r="L31" s="108">
        <f>IF(K31=0,0,(IF(Balance!G32=0,100%,K31/Balance!G32)))</f>
        <v>0.35563264211459605</v>
      </c>
    </row>
    <row r="32" spans="1:12" x14ac:dyDescent="0.25">
      <c r="A32" s="80"/>
      <c r="B32" s="82"/>
      <c r="C32" s="83"/>
      <c r="D32" s="108"/>
      <c r="E32" s="115"/>
      <c r="F32" s="108"/>
      <c r="G32" s="115"/>
      <c r="H32" s="108"/>
      <c r="I32" s="115"/>
      <c r="J32" s="108"/>
      <c r="K32" s="115"/>
      <c r="L32" s="108"/>
    </row>
    <row r="33" spans="1:12" x14ac:dyDescent="0.25">
      <c r="A33" s="80"/>
      <c r="B33" s="84" t="s">
        <v>181</v>
      </c>
      <c r="C33" s="406">
        <f>+Balance!D34-Balance!C34</f>
        <v>1655989243.5</v>
      </c>
      <c r="D33" s="407">
        <f>IF(C33=0,0,(IF(Balance!C34=0,100%,C33/Balance!C34)))</f>
        <v>0.50843314178425247</v>
      </c>
      <c r="E33" s="406">
        <f>+Balance!E34-Balance!D34</f>
        <v>800527655</v>
      </c>
      <c r="F33" s="407">
        <f>IF(E33=0,0,(IF(Balance!D34=0,100%,E33/Balance!D34)))</f>
        <v>0.16293958818811421</v>
      </c>
      <c r="G33" s="406">
        <f>+Balance!F34-Balance!E34</f>
        <v>4085232268</v>
      </c>
      <c r="H33" s="407">
        <f>IF(G33=0,0,(IF(Balance!E34=0,100%,G33/Balance!E34)))</f>
        <v>0.71500630836820189</v>
      </c>
      <c r="I33" s="406">
        <f>+Balance!G34-Balance!F34</f>
        <v>456332482.5</v>
      </c>
      <c r="J33" s="407">
        <f>IF(I33=0,0,(IF(Balance!F34=0,100%,I33/Balance!F34)))</f>
        <v>4.6570272774476409E-2</v>
      </c>
      <c r="K33" s="406">
        <f>+Balance!H34-Balance!G34</f>
        <v>1572007781</v>
      </c>
      <c r="L33" s="407">
        <f>IF(K33=0,0,(IF(Balance!G34=0,100%,K33/Balance!G34)))</f>
        <v>0.15328995428391964</v>
      </c>
    </row>
    <row r="34" spans="1:12" x14ac:dyDescent="0.25">
      <c r="A34" s="80"/>
      <c r="B34" s="82"/>
      <c r="C34" s="83"/>
      <c r="D34" s="108"/>
      <c r="E34" s="115"/>
      <c r="F34" s="108"/>
      <c r="G34" s="115"/>
      <c r="H34" s="108"/>
      <c r="I34" s="115"/>
      <c r="J34" s="108"/>
      <c r="K34" s="115"/>
      <c r="L34" s="108"/>
    </row>
    <row r="35" spans="1:12" x14ac:dyDescent="0.25">
      <c r="A35" s="80"/>
      <c r="B35" s="81" t="s">
        <v>182</v>
      </c>
      <c r="C35" s="406">
        <f>+Balance!D36-Balance!C36</f>
        <v>1571295204.5</v>
      </c>
      <c r="D35" s="407">
        <f>IF(C35=0,0,(IF(Balance!C36=0,100%,C35/Balance!C36)))</f>
        <v>0.17542073200937025</v>
      </c>
      <c r="E35" s="406">
        <f>+Balance!E36-Balance!D36</f>
        <v>3710417554</v>
      </c>
      <c r="F35" s="407">
        <f>IF(E35=0,0,(IF(Balance!D36=0,100%,E35/Balance!D36)))</f>
        <v>0.35241352970802481</v>
      </c>
      <c r="G35" s="406">
        <f>+Balance!F36-Balance!E36</f>
        <v>4187327612</v>
      </c>
      <c r="H35" s="407">
        <f>IF(G35=0,0,(IF(Balance!E36=0,100%,G35/Balance!E36)))</f>
        <v>0.2940744012593049</v>
      </c>
      <c r="I35" s="406">
        <f>+Balance!G36-Balance!F36</f>
        <v>1479032585.5</v>
      </c>
      <c r="J35" s="407">
        <f>IF(I35=0,0,(IF(Balance!F36=0,100%,I35/Balance!F36)))</f>
        <v>8.0267322537215233E-2</v>
      </c>
      <c r="K35" s="406">
        <f>+Balance!H36-Balance!G36</f>
        <v>6621294073</v>
      </c>
      <c r="L35" s="407">
        <f>IF(K35=0,0,(IF(Balance!G36=0,100%,K35/Balance!G36)))</f>
        <v>0.33263862119033294</v>
      </c>
    </row>
    <row r="36" spans="1:12" x14ac:dyDescent="0.25">
      <c r="A36" s="80"/>
      <c r="B36" s="111"/>
      <c r="C36" s="83"/>
      <c r="D36" s="108"/>
      <c r="E36" s="115"/>
      <c r="F36" s="108"/>
      <c r="G36" s="115"/>
      <c r="H36" s="108"/>
      <c r="I36" s="115"/>
      <c r="J36" s="108"/>
      <c r="K36" s="115"/>
      <c r="L36" s="108"/>
    </row>
    <row r="37" spans="1:12" x14ac:dyDescent="0.25">
      <c r="A37" s="80"/>
      <c r="B37" s="111"/>
      <c r="C37" s="83"/>
      <c r="D37" s="108"/>
      <c r="E37" s="115"/>
      <c r="F37" s="108"/>
      <c r="G37" s="115"/>
      <c r="H37" s="108"/>
      <c r="I37" s="115"/>
      <c r="J37" s="108"/>
      <c r="K37" s="115"/>
      <c r="L37" s="108"/>
    </row>
    <row r="38" spans="1:12" x14ac:dyDescent="0.25">
      <c r="A38" s="80"/>
      <c r="B38" s="81" t="s">
        <v>587</v>
      </c>
      <c r="C38" s="83"/>
      <c r="D38" s="108"/>
      <c r="E38" s="115"/>
      <c r="F38" s="108"/>
      <c r="G38" s="115"/>
      <c r="H38" s="108"/>
      <c r="I38" s="115"/>
      <c r="J38" s="108"/>
      <c r="K38" s="115"/>
      <c r="L38" s="108"/>
    </row>
    <row r="39" spans="1:12" x14ac:dyDescent="0.25">
      <c r="A39" s="80"/>
      <c r="B39" s="111"/>
      <c r="C39" s="405"/>
      <c r="D39" s="108"/>
      <c r="E39" s="405"/>
      <c r="F39" s="108"/>
      <c r="G39" s="405"/>
      <c r="H39" s="108"/>
      <c r="I39" s="405"/>
      <c r="J39" s="108"/>
      <c r="K39" s="405"/>
      <c r="L39" s="108"/>
    </row>
    <row r="40" spans="1:12" x14ac:dyDescent="0.25">
      <c r="A40" s="80"/>
      <c r="B40" s="82" t="str">
        <f>+Balance!B41</f>
        <v>Obligaciones financieras corto plazo</v>
      </c>
      <c r="C40" s="405">
        <f>+Balance!D41-Balance!C41</f>
        <v>314281424.10000002</v>
      </c>
      <c r="D40" s="108">
        <f>IF(C40=0,0,(IF(Balance!C41=0,100%,C40/Balance!C41)))</f>
        <v>0.48499637346253194</v>
      </c>
      <c r="E40" s="405">
        <f>+Balance!E41-Balance!D41</f>
        <v>58222853.399999976</v>
      </c>
      <c r="F40" s="108">
        <f>IF(E40=0,0,(IF(Balance!D41=0,100%,E40/Balance!D41)))</f>
        <v>6.0504527172365354E-2</v>
      </c>
      <c r="G40" s="405">
        <f>+Balance!F41-Balance!E41</f>
        <v>480227036.39999998</v>
      </c>
      <c r="H40" s="108">
        <f>IF(G40=0,0,(IF(Balance!E41=0,100%,G40/Balance!E41)))</f>
        <v>0.47057458270160929</v>
      </c>
      <c r="I40" s="405">
        <f>+Balance!G41-Balance!F41</f>
        <v>207861822.29999995</v>
      </c>
      <c r="J40" s="108">
        <f>IF(I40=0,0,(IF(Balance!F41=0,100%,I40/Balance!F41)))</f>
        <v>0.1385063019344453</v>
      </c>
      <c r="K40" s="405">
        <f>+Balance!H41-Balance!G41</f>
        <v>444994747.50000024</v>
      </c>
      <c r="L40" s="108">
        <f>IF(K40=0,0,(IF(Balance!G41=0,100%,K40/Balance!G41)))</f>
        <v>0.26044393564234564</v>
      </c>
    </row>
    <row r="41" spans="1:12" x14ac:dyDescent="0.25">
      <c r="A41" s="80"/>
      <c r="B41" s="82" t="str">
        <f>+Balance!B42</f>
        <v>Proveedores</v>
      </c>
      <c r="C41" s="405">
        <f>+Balance!D42-Balance!C42</f>
        <v>166475856</v>
      </c>
      <c r="D41" s="108">
        <f>IF(C41=0,0,(IF(Balance!C42=0,100%,C41/Balance!C42)))</f>
        <v>0.57695911390515187</v>
      </c>
      <c r="E41" s="405">
        <f>+Balance!E42-Balance!D42</f>
        <v>-222258237</v>
      </c>
      <c r="F41" s="108">
        <f>IF(E41=0,0,(IF(Balance!D42=0,100%,E41/Balance!D42)))</f>
        <v>-0.48846248330577874</v>
      </c>
      <c r="G41" s="405">
        <f>+Balance!F42-Balance!E42</f>
        <v>481308657</v>
      </c>
      <c r="H41" s="108">
        <f>IF(G41=0,0,(IF(Balance!E42=0,100%,G41/Balance!E42)))</f>
        <v>2.0678523712804813</v>
      </c>
      <c r="I41" s="405">
        <f>+Balance!G42-Balance!F42</f>
        <v>214654412</v>
      </c>
      <c r="J41" s="108">
        <f>IF(I41=0,0,(IF(Balance!F42=0,100%,I41/Balance!F42)))</f>
        <v>0.30060847436341293</v>
      </c>
      <c r="K41" s="405">
        <f>+Balance!H42-Balance!G42</f>
        <v>1164385170</v>
      </c>
      <c r="L41" s="108">
        <f>IF(K41=0,0,(IF(Balance!G42=0,100%,K41/Balance!G42)))</f>
        <v>1.2537515593424058</v>
      </c>
    </row>
    <row r="42" spans="1:12" x14ac:dyDescent="0.25">
      <c r="A42" s="80"/>
      <c r="B42" s="82" t="str">
        <f>+Balance!B43</f>
        <v>Cuentas y gastos por pagar</v>
      </c>
      <c r="C42" s="405">
        <f>+Balance!D43-Balance!C43</f>
        <v>-423730457</v>
      </c>
      <c r="D42" s="108">
        <f>IF(C42=0,0,(IF(Balance!C43=0,100%,C42/Balance!C43)))</f>
        <v>-0.43638166190849342</v>
      </c>
      <c r="E42" s="405">
        <f>+Balance!E43-Balance!D43</f>
        <v>268997722</v>
      </c>
      <c r="F42" s="108">
        <f>IF(E42=0,0,(IF(Balance!D43=0,100%,E42/Balance!D43)))</f>
        <v>0.49151898552194995</v>
      </c>
      <c r="G42" s="405">
        <f>+Balance!F43-Balance!E43</f>
        <v>1067195733</v>
      </c>
      <c r="H42" s="108">
        <f>IF(G42=0,0,(IF(Balance!E43=0,100%,G42/Balance!E43)))</f>
        <v>1.3073955117231544</v>
      </c>
      <c r="I42" s="405">
        <f>+Balance!G43-Balance!F43</f>
        <v>738729</v>
      </c>
      <c r="J42" s="108">
        <f>IF(I42=0,0,(IF(Balance!F43=0,100%,I42/Balance!F43)))</f>
        <v>3.9221663950421312E-4</v>
      </c>
      <c r="K42" s="405">
        <f>+Balance!H43-Balance!G43</f>
        <v>647269974</v>
      </c>
      <c r="L42" s="108">
        <f>IF(K42=0,0,(IF(Balance!G43=0,100%,K42/Balance!G43)))</f>
        <v>0.34352316077112782</v>
      </c>
    </row>
    <row r="43" spans="1:12" x14ac:dyDescent="0.25">
      <c r="A43" s="80"/>
      <c r="B43" s="82" t="str">
        <f>+Balance!B44</f>
        <v>Impuestos, gravámenes y tasas</v>
      </c>
      <c r="C43" s="405">
        <f>+Balance!D44-Balance!C44</f>
        <v>136469198.21333373</v>
      </c>
      <c r="D43" s="108">
        <f>IF(C43=0,0,(IF(Balance!C44=0,100%,C43/Balance!C44)))</f>
        <v>0.27464314610030638</v>
      </c>
      <c r="E43" s="405">
        <f>+Balance!E44-Balance!D44</f>
        <v>571922941</v>
      </c>
      <c r="F43" s="108">
        <f>IF(E43=0,0,(IF(Balance!D44=0,100%,E43/Balance!D44)))</f>
        <v>0.9029901805880447</v>
      </c>
      <c r="G43" s="405">
        <f>+Balance!F44-Balance!E44</f>
        <v>466789041</v>
      </c>
      <c r="H43" s="108">
        <f>IF(G43=0,0,(IF(Balance!E44=0,100%,G43/Balance!E44)))</f>
        <v>0.38728405278235745</v>
      </c>
      <c r="I43" s="405">
        <f>+Balance!G44-Balance!F44</f>
        <v>-30054636.730497837</v>
      </c>
      <c r="J43" s="108">
        <f>IF(I43=0,0,(IF(Balance!F44=0,100%,I43/Balance!F44)))</f>
        <v>-1.797442689663591E-2</v>
      </c>
      <c r="K43" s="405">
        <f>+Balance!H44-Balance!G44</f>
        <v>1887087726.7552886</v>
      </c>
      <c r="L43" s="108">
        <f>IF(K43=0,0,(IF(Balance!G44=0,100%,K43/Balance!G44)))</f>
        <v>1.1492456316225095</v>
      </c>
    </row>
    <row r="44" spans="1:12" x14ac:dyDescent="0.25">
      <c r="A44" s="80"/>
      <c r="B44" s="82" t="str">
        <f>+Balance!B45</f>
        <v>Obligaciones laborales</v>
      </c>
      <c r="C44" s="405">
        <f>+Balance!D45-Balance!C45</f>
        <v>11464916</v>
      </c>
      <c r="D44" s="108">
        <f>IF(C44=0,0,(IF(Balance!C45=0,100%,C44/Balance!C45)))</f>
        <v>3.0611641226533211E-2</v>
      </c>
      <c r="E44" s="405">
        <f>+Balance!E45-Balance!D45</f>
        <v>230897471</v>
      </c>
      <c r="F44" s="108">
        <f>IF(E44=0,0,(IF(Balance!D45=0,100%,E44/Balance!D45)))</f>
        <v>0.59819099362635675</v>
      </c>
      <c r="G44" s="405">
        <f>+Balance!F45-Balance!E45</f>
        <v>7827265</v>
      </c>
      <c r="H44" s="108">
        <f>IF(G44=0,0,(IF(Balance!E45=0,100%,G44/Balance!E45)))</f>
        <v>1.2688259506314024E-2</v>
      </c>
      <c r="I44" s="405">
        <f>+Balance!G45-Balance!F45</f>
        <v>115790081</v>
      </c>
      <c r="J44" s="108">
        <f>IF(I44=0,0,(IF(Balance!F45=0,100%,I44/Balance!F45)))</f>
        <v>0.18534786917417972</v>
      </c>
      <c r="K44" s="405">
        <f>+Balance!H45-Balance!G45</f>
        <v>104277973</v>
      </c>
      <c r="L44" s="108">
        <f>IF(K44=0,0,(IF(Balance!G45=0,100%,K44/Balance!G45)))</f>
        <v>0.1408195645682597</v>
      </c>
    </row>
    <row r="45" spans="1:12" x14ac:dyDescent="0.25">
      <c r="A45" s="80"/>
      <c r="B45" s="82" t="str">
        <f>+Balance!B46</f>
        <v>Otros pasivos corto plazo</v>
      </c>
      <c r="C45" s="405">
        <f>+Balance!D46-Balance!C46</f>
        <v>1077220</v>
      </c>
      <c r="D45" s="108">
        <f>IF(C45=0,0,(IF(Balance!C46=0,100%,C45/Balance!C46)))</f>
        <v>1.5269205900369743E-2</v>
      </c>
      <c r="E45" s="405">
        <f>+Balance!E46-Balance!D46</f>
        <v>45761677</v>
      </c>
      <c r="F45" s="108">
        <f>IF(E45=0,0,(IF(Balance!D46=0,100%,E45/Balance!D46)))</f>
        <v>0.638899812955531</v>
      </c>
      <c r="G45" s="405">
        <f>+Balance!F46-Balance!E46</f>
        <v>-36652270</v>
      </c>
      <c r="H45" s="108">
        <f>IF(G45=0,0,(IF(Balance!E46=0,100%,G45/Balance!E46)))</f>
        <v>-0.31223335889683246</v>
      </c>
      <c r="I45" s="405">
        <f>+Balance!G46-Balance!F46</f>
        <v>52794031</v>
      </c>
      <c r="J45" s="108">
        <f>IF(I45=0,0,(IF(Balance!F46=0,100%,I45/Balance!F46)))</f>
        <v>0.65391626485389176</v>
      </c>
      <c r="K45" s="405">
        <f>+Balance!H46-Balance!G46</f>
        <v>209555804</v>
      </c>
      <c r="L45" s="108">
        <f>IF(K45=0,0,(IF(Balance!G46=0,100%,K45/Balance!G46)))</f>
        <v>1.5693633000953064</v>
      </c>
    </row>
    <row r="46" spans="1:12" x14ac:dyDescent="0.25">
      <c r="A46" s="80"/>
      <c r="B46" s="82"/>
      <c r="C46" s="83"/>
      <c r="D46" s="108"/>
      <c r="E46" s="115"/>
      <c r="F46" s="108"/>
      <c r="G46" s="115"/>
      <c r="H46" s="108"/>
      <c r="I46" s="115"/>
      <c r="J46" s="108"/>
      <c r="K46" s="115"/>
      <c r="L46" s="108"/>
    </row>
    <row r="47" spans="1:12" x14ac:dyDescent="0.25">
      <c r="A47" s="89"/>
      <c r="B47" s="90" t="s">
        <v>184</v>
      </c>
      <c r="C47" s="406">
        <f>+Balance!D48-Balance!C48</f>
        <v>206038157.31333399</v>
      </c>
      <c r="D47" s="407">
        <f>IF(C47=0,0,(IF(Balance!C48=0,100%,C47/Balance!C48)))</f>
        <v>7.2306022238193643E-2</v>
      </c>
      <c r="E47" s="406">
        <f>+Balance!E48-Balance!D48</f>
        <v>953544427.39999962</v>
      </c>
      <c r="F47" s="407">
        <f>IF(E47=0,0,(IF(Balance!D48=0,100%,E47/Balance!D48)))</f>
        <v>0.31206782970386771</v>
      </c>
      <c r="G47" s="406">
        <f>+Balance!F48-Balance!E48</f>
        <v>2466695462.4000006</v>
      </c>
      <c r="H47" s="407">
        <f>IF(G47=0,0,(IF(Balance!E48=0,100%,G47/Balance!E48)))</f>
        <v>0.61527223281528121</v>
      </c>
      <c r="I47" s="406">
        <f>+Balance!G48-Balance!F48</f>
        <v>561784438.56950188</v>
      </c>
      <c r="J47" s="407">
        <f>IF(I47=0,0,(IF(Balance!F48=0,100%,I47/Balance!F48)))</f>
        <v>8.6751253458954972E-2</v>
      </c>
      <c r="K47" s="406">
        <f>+Balance!H48-Balance!G48</f>
        <v>4457571395.2552872</v>
      </c>
      <c r="L47" s="407">
        <f>IF(K47=0,0,(IF(Balance!G48=0,100%,K47/Balance!G48)))</f>
        <v>0.63339438864937381</v>
      </c>
    </row>
    <row r="48" spans="1:12" x14ac:dyDescent="0.25">
      <c r="A48" s="80"/>
      <c r="B48" s="82"/>
      <c r="C48" s="83"/>
      <c r="D48" s="108"/>
      <c r="E48" s="115"/>
      <c r="F48" s="108"/>
      <c r="G48" s="115"/>
      <c r="H48" s="108"/>
      <c r="I48" s="115"/>
      <c r="J48" s="108"/>
      <c r="K48" s="115"/>
      <c r="L48" s="108"/>
    </row>
    <row r="49" spans="1:12" x14ac:dyDescent="0.25">
      <c r="A49" s="80"/>
      <c r="B49" s="82" t="str">
        <f>+Balance!B50</f>
        <v>Obligaciones financieras largo plazo</v>
      </c>
      <c r="C49" s="405">
        <f>+Balance!D50-Balance!C50</f>
        <v>733323322.89999986</v>
      </c>
      <c r="D49" s="108">
        <f>IF(C49=0,0,(IF(Balance!C50=0,100%,C49/Balance!C50)))</f>
        <v>0.48499637346253177</v>
      </c>
      <c r="E49" s="405">
        <f>+Balance!E50-Balance!D50</f>
        <v>135853324.5999999</v>
      </c>
      <c r="F49" s="108">
        <f>IF(E49=0,0,(IF(Balance!D50=0,100%,E49/Balance!D50)))</f>
        <v>6.050452717236534E-2</v>
      </c>
      <c r="G49" s="405">
        <f>+Balance!F50-Balance!E50</f>
        <v>1120529751.5999999</v>
      </c>
      <c r="H49" s="108">
        <f>IF(G49=0,0,(IF(Balance!E50=0,100%,G49/Balance!E50)))</f>
        <v>0.47057458270160929</v>
      </c>
      <c r="I49" s="405">
        <f>+Balance!G50-Balance!F50</f>
        <v>485010918.70000029</v>
      </c>
      <c r="J49" s="108">
        <f>IF(I49=0,0,(IF(Balance!F50=0,100%,I49/Balance!F50)))</f>
        <v>0.13850630193444541</v>
      </c>
      <c r="K49" s="405">
        <f>+Balance!H50-Balance!G50</f>
        <v>1038321077.4999995</v>
      </c>
      <c r="L49" s="108">
        <f>IF(K49=0,0,(IF(Balance!G50=0,100%,K49/Balance!G50)))</f>
        <v>0.26044393564234536</v>
      </c>
    </row>
    <row r="50" spans="1:12" x14ac:dyDescent="0.25">
      <c r="A50" s="80"/>
      <c r="B50" s="82" t="str">
        <f>+Balance!B51</f>
        <v>Bonos y papeles comerciales por pagar</v>
      </c>
      <c r="C50" s="405">
        <f>+Balance!D51-Balance!C51</f>
        <v>330355804</v>
      </c>
      <c r="D50" s="108">
        <f>IF(C50=0,0,(IF(Balance!C51=0,100%,C50/Balance!C51)))</f>
        <v>1</v>
      </c>
      <c r="E50" s="405">
        <f>+Balance!E51-Balance!D51</f>
        <v>-330355804</v>
      </c>
      <c r="F50" s="108">
        <f>IF(E50=0,0,(IF(Balance!D51=0,100%,E50/Balance!D51)))</f>
        <v>-1</v>
      </c>
      <c r="G50" s="405">
        <f>+Balance!F51-Balance!E51</f>
        <v>0</v>
      </c>
      <c r="H50" s="108">
        <f>IF(G50=0,0,(IF(Balance!E51=0,100%,G50/Balance!E51)))</f>
        <v>0</v>
      </c>
      <c r="I50" s="405">
        <f>+Balance!G51-Balance!F51</f>
        <v>0</v>
      </c>
      <c r="J50" s="108">
        <f>IF(I50=0,0,(IF(Balance!F51=0,100%,I50/Balance!F51)))</f>
        <v>0</v>
      </c>
      <c r="K50" s="405">
        <f>+Balance!H51-Balance!G51</f>
        <v>0</v>
      </c>
      <c r="L50" s="108">
        <f>IF(K50=0,0,(IF(Balance!G51=0,100%,K50/Balance!G51)))</f>
        <v>0</v>
      </c>
    </row>
    <row r="51" spans="1:12" x14ac:dyDescent="0.25">
      <c r="A51" s="80"/>
      <c r="B51" s="82" t="str">
        <f>+Balance!B52</f>
        <v>Obligaciones laborales largo plazo</v>
      </c>
      <c r="C51" s="405">
        <f>+Balance!D52-Balance!C52</f>
        <v>0</v>
      </c>
      <c r="D51" s="108">
        <f>IF(C51=0,0,(IF(Balance!C52=0,100%,C51/Balance!C52)))</f>
        <v>0</v>
      </c>
      <c r="E51" s="405">
        <f>+Balance!E52-Balance!D52</f>
        <v>0</v>
      </c>
      <c r="F51" s="108">
        <f>IF(E51=0,0,(IF(Balance!D52=0,100%,E51/Balance!D52)))</f>
        <v>0</v>
      </c>
      <c r="G51" s="405">
        <f>+Balance!F52-Balance!E52</f>
        <v>0</v>
      </c>
      <c r="H51" s="108">
        <f>IF(G51=0,0,(IF(Balance!E52=0,100%,G51/Balance!E52)))</f>
        <v>0</v>
      </c>
      <c r="I51" s="405">
        <f>+Balance!G52-Balance!F52</f>
        <v>0</v>
      </c>
      <c r="J51" s="108">
        <f>IF(I51=0,0,(IF(Balance!F52=0,100%,I51/Balance!F52)))</f>
        <v>0</v>
      </c>
      <c r="K51" s="405">
        <f>+Balance!H52-Balance!G52</f>
        <v>0</v>
      </c>
      <c r="L51" s="108">
        <f>IF(K51=0,0,(IF(Balance!G52=0,100%,K51/Balance!G52)))</f>
        <v>0</v>
      </c>
    </row>
    <row r="52" spans="1:12" x14ac:dyDescent="0.25">
      <c r="A52" s="80"/>
      <c r="B52" s="82" t="str">
        <f>+Balance!B53</f>
        <v>Pasivos estimados y provisiones</v>
      </c>
      <c r="C52" s="405">
        <f>+Balance!D53-Balance!C53</f>
        <v>0</v>
      </c>
      <c r="D52" s="108">
        <f>IF(C52=0,0,(IF(Balance!C53=0,100%,C52/Balance!C53)))</f>
        <v>0</v>
      </c>
      <c r="E52" s="405">
        <f>+Balance!E53-Balance!D53</f>
        <v>0</v>
      </c>
      <c r="F52" s="108">
        <f>IF(E52=0,0,(IF(Balance!D53=0,100%,E52/Balance!D53)))</f>
        <v>0</v>
      </c>
      <c r="G52" s="405">
        <f>+Balance!F53-Balance!E53</f>
        <v>0</v>
      </c>
      <c r="H52" s="108">
        <f>IF(G52=0,0,(IF(Balance!E53=0,100%,G52/Balance!E53)))</f>
        <v>0</v>
      </c>
      <c r="I52" s="405">
        <f>+Balance!G53-Balance!F53</f>
        <v>0</v>
      </c>
      <c r="J52" s="108">
        <f>IF(I52=0,0,(IF(Balance!F53=0,100%,I52/Balance!F53)))</f>
        <v>0</v>
      </c>
      <c r="K52" s="405">
        <f>+Balance!H53-Balance!G53</f>
        <v>0</v>
      </c>
      <c r="L52" s="108">
        <f>IF(K52=0,0,(IF(Balance!G53=0,100%,K52/Balance!G53)))</f>
        <v>0</v>
      </c>
    </row>
    <row r="53" spans="1:12" x14ac:dyDescent="0.25">
      <c r="A53" s="80"/>
      <c r="B53" s="82" t="str">
        <f>+Balance!B54</f>
        <v>Otros pasivos largo plazo</v>
      </c>
      <c r="C53" s="405">
        <f>+Balance!D54-Balance!C54</f>
        <v>0</v>
      </c>
      <c r="D53" s="108">
        <f>IF(C53=0,0,(IF(Balance!C54=0,100%,C53/Balance!C54)))</f>
        <v>0</v>
      </c>
      <c r="E53" s="405">
        <f>+Balance!E54-Balance!D54</f>
        <v>0</v>
      </c>
      <c r="F53" s="108">
        <f>IF(E53=0,0,(IF(Balance!D54=0,100%,E53/Balance!D54)))</f>
        <v>0</v>
      </c>
      <c r="G53" s="405">
        <f>+Balance!F54-Balance!E54</f>
        <v>0</v>
      </c>
      <c r="H53" s="108">
        <f>IF(G53=0,0,(IF(Balance!E54=0,100%,G53/Balance!E54)))</f>
        <v>0</v>
      </c>
      <c r="I53" s="405">
        <f>+Balance!G54-Balance!F54</f>
        <v>0</v>
      </c>
      <c r="J53" s="108">
        <f>IF(I53=0,0,(IF(Balance!F54=0,100%,I53/Balance!F54)))</f>
        <v>0</v>
      </c>
      <c r="K53" s="405">
        <f>+Balance!H54-Balance!G54</f>
        <v>0</v>
      </c>
      <c r="L53" s="108">
        <f>IF(K53=0,0,(IF(Balance!G54=0,100%,K53/Balance!G54)))</f>
        <v>0</v>
      </c>
    </row>
    <row r="54" spans="1:12" x14ac:dyDescent="0.25">
      <c r="A54" s="80"/>
      <c r="B54" s="82"/>
      <c r="C54" s="83"/>
      <c r="D54" s="108"/>
      <c r="E54" s="115"/>
      <c r="F54" s="108"/>
      <c r="G54" s="115"/>
      <c r="H54" s="108"/>
      <c r="I54" s="115"/>
      <c r="J54" s="108"/>
      <c r="K54" s="115"/>
      <c r="L54" s="108"/>
    </row>
    <row r="55" spans="1:12" x14ac:dyDescent="0.25">
      <c r="A55" s="80"/>
      <c r="B55" s="90" t="s">
        <v>185</v>
      </c>
      <c r="C55" s="406">
        <f>+Balance!D56-Balance!C56</f>
        <v>1063679126.8999999</v>
      </c>
      <c r="D55" s="407">
        <f>IF(C55=0,0,(IF(Balance!C56=0,100%,C55/Balance!C56)))</f>
        <v>0.70348303806047152</v>
      </c>
      <c r="E55" s="406">
        <f>+Balance!E56-Balance!D56</f>
        <v>-194502479.4000001</v>
      </c>
      <c r="F55" s="407">
        <f>IF(E55=0,0,(IF(Balance!D56=0,100%,E55/Balance!D56)))</f>
        <v>-7.5514494887706382E-2</v>
      </c>
      <c r="G55" s="406">
        <f>+Balance!F56-Balance!E56</f>
        <v>1120529751.5999999</v>
      </c>
      <c r="H55" s="407">
        <f>IF(G55=0,0,(IF(Balance!E56=0,100%,G55/Balance!E56)))</f>
        <v>0.47057458270160929</v>
      </c>
      <c r="I55" s="406">
        <f>+Balance!G56-Balance!F56</f>
        <v>485010918.70000029</v>
      </c>
      <c r="J55" s="407">
        <f>IF(I55=0,0,(IF(Balance!F56=0,100%,I55/Balance!F56)))</f>
        <v>0.13850630193444541</v>
      </c>
      <c r="K55" s="406">
        <f>+Balance!H56-Balance!G56</f>
        <v>1038321077.4999995</v>
      </c>
      <c r="L55" s="407">
        <f>IF(K55=0,0,(IF(Balance!G56=0,100%,K55/Balance!G56)))</f>
        <v>0.26044393564234536</v>
      </c>
    </row>
    <row r="56" spans="1:12" x14ac:dyDescent="0.25">
      <c r="A56" s="80"/>
      <c r="B56" s="82"/>
      <c r="C56" s="83"/>
      <c r="D56" s="108"/>
      <c r="E56" s="115"/>
      <c r="F56" s="108"/>
      <c r="G56" s="115"/>
      <c r="H56" s="108"/>
      <c r="I56" s="115"/>
      <c r="J56" s="108"/>
      <c r="K56" s="115"/>
      <c r="L56" s="108"/>
    </row>
    <row r="57" spans="1:12" x14ac:dyDescent="0.25">
      <c r="A57" s="80"/>
      <c r="B57" s="81" t="s">
        <v>186</v>
      </c>
      <c r="C57" s="406">
        <f>+Balance!D58-Balance!C58</f>
        <v>1269717284.2133341</v>
      </c>
      <c r="D57" s="407">
        <f>IF(C57=0,0,(IF(Balance!C58=0,100%,C57/Balance!C58)))</f>
        <v>0.291116211020232</v>
      </c>
      <c r="E57" s="406">
        <f>+Balance!E58-Balance!D58</f>
        <v>759041948</v>
      </c>
      <c r="F57" s="407">
        <f>IF(E57=0,0,(IF(Balance!D58=0,100%,E57/Balance!D58)))</f>
        <v>0.1347906607020006</v>
      </c>
      <c r="G57" s="406">
        <f>+Balance!F58-Balance!E58</f>
        <v>3587225214</v>
      </c>
      <c r="H57" s="407">
        <f>IF(G57=0,0,(IF(Balance!E58=0,100%,G57/Balance!E58)))</f>
        <v>0.56135412085349923</v>
      </c>
      <c r="I57" s="406">
        <f>+Balance!G58-Balance!F58</f>
        <v>1046795357.2695026</v>
      </c>
      <c r="J57" s="407">
        <f>IF(I57=0,0,(IF(Balance!F58=0,100%,I57/Balance!F58)))</f>
        <v>0.10491525621913182</v>
      </c>
      <c r="K57" s="406">
        <f>+Balance!H58-Balance!G58</f>
        <v>5495892472.7552853</v>
      </c>
      <c r="L57" s="407">
        <f>IF(K57=0,0,(IF(Balance!G58=0,100%,K57/Balance!G58)))</f>
        <v>0.49852405022861956</v>
      </c>
    </row>
    <row r="58" spans="1:12" x14ac:dyDescent="0.25">
      <c r="A58" s="80"/>
      <c r="B58" s="82"/>
      <c r="C58" s="83"/>
      <c r="D58" s="108"/>
      <c r="E58" s="115"/>
      <c r="F58" s="108"/>
      <c r="G58" s="115"/>
      <c r="H58" s="108"/>
      <c r="I58" s="115"/>
      <c r="J58" s="108"/>
      <c r="K58" s="115"/>
      <c r="L58" s="108"/>
    </row>
    <row r="59" spans="1:12" x14ac:dyDescent="0.25">
      <c r="A59" s="80"/>
      <c r="B59" s="81" t="s">
        <v>101</v>
      </c>
      <c r="C59" s="83"/>
      <c r="D59" s="108"/>
      <c r="E59" s="115"/>
      <c r="F59" s="108"/>
      <c r="G59" s="115"/>
      <c r="H59" s="108"/>
      <c r="I59" s="115"/>
      <c r="J59" s="108"/>
      <c r="K59" s="115"/>
      <c r="L59" s="108"/>
    </row>
    <row r="60" spans="1:12" x14ac:dyDescent="0.25">
      <c r="A60" s="80"/>
      <c r="B60" s="82"/>
      <c r="C60" s="83"/>
      <c r="D60" s="108"/>
      <c r="E60" s="115"/>
      <c r="F60" s="108"/>
      <c r="G60" s="115"/>
      <c r="H60" s="108"/>
      <c r="I60" s="115"/>
      <c r="J60" s="108"/>
      <c r="K60" s="115"/>
      <c r="L60" s="108"/>
    </row>
    <row r="61" spans="1:12" x14ac:dyDescent="0.25">
      <c r="A61" s="80"/>
      <c r="B61" s="82" t="str">
        <f>+Balance!B62</f>
        <v>Capital social</v>
      </c>
      <c r="C61" s="405">
        <f>+Balance!D62-Balance!C62</f>
        <v>0</v>
      </c>
      <c r="D61" s="108">
        <f>IF(C61=0,0,(IF(Balance!C62=0,100%,C61/Balance!C62)))</f>
        <v>0</v>
      </c>
      <c r="E61" s="405">
        <f>+Balance!E62-Balance!D62</f>
        <v>0</v>
      </c>
      <c r="F61" s="108">
        <f>IF(E61=0,0,(IF(Balance!D62=0,100%,E61/Balance!D62)))</f>
        <v>0</v>
      </c>
      <c r="G61" s="405">
        <f>+Balance!F62-Balance!E62</f>
        <v>0</v>
      </c>
      <c r="H61" s="108">
        <f>IF(G61=0,0,(IF(Balance!E62=0,100%,G61/Balance!E62)))</f>
        <v>0</v>
      </c>
      <c r="I61" s="405">
        <f>+Balance!G62-Balance!F62</f>
        <v>0</v>
      </c>
      <c r="J61" s="108">
        <f>IF(I61=0,0,(IF(Balance!F62=0,100%,I61/Balance!F62)))</f>
        <v>0</v>
      </c>
      <c r="K61" s="405">
        <f>+Balance!H62-Balance!G62</f>
        <v>0</v>
      </c>
      <c r="L61" s="108">
        <f>IF(K61=0,0,(IF(Balance!G62=0,100%,K61/Balance!G62)))</f>
        <v>0</v>
      </c>
    </row>
    <row r="62" spans="1:12" x14ac:dyDescent="0.25">
      <c r="A62" s="80"/>
      <c r="B62" s="82" t="str">
        <f>+Balance!B63</f>
        <v>Superávit de capital</v>
      </c>
      <c r="C62" s="405">
        <f>+Balance!D63-Balance!C63</f>
        <v>0</v>
      </c>
      <c r="D62" s="108">
        <f>IF(C62=0,0,(IF(Balance!C63=0,100%,C62/Balance!C63)))</f>
        <v>0</v>
      </c>
      <c r="E62" s="405">
        <f>+Balance!E63-Balance!D63</f>
        <v>0</v>
      </c>
      <c r="F62" s="108">
        <f>IF(E62=0,0,(IF(Balance!D63=0,100%,E62/Balance!D63)))</f>
        <v>0</v>
      </c>
      <c r="G62" s="405">
        <f>+Balance!F63-Balance!E63</f>
        <v>0</v>
      </c>
      <c r="H62" s="108">
        <f>IF(G62=0,0,(IF(Balance!E63=0,100%,G62/Balance!E63)))</f>
        <v>0</v>
      </c>
      <c r="I62" s="405">
        <f>+Balance!G63-Balance!F63</f>
        <v>0</v>
      </c>
      <c r="J62" s="108">
        <f>IF(I62=0,0,(IF(Balance!F63=0,100%,I62/Balance!F63)))</f>
        <v>0</v>
      </c>
      <c r="K62" s="405">
        <f>+Balance!H63-Balance!G63</f>
        <v>0</v>
      </c>
      <c r="L62" s="108">
        <f>IF(K62=0,0,(IF(Balance!G63=0,100%,K62/Balance!G63)))</f>
        <v>0</v>
      </c>
    </row>
    <row r="63" spans="1:12" x14ac:dyDescent="0.25">
      <c r="A63" s="80"/>
      <c r="B63" s="82" t="str">
        <f>+Balance!B64</f>
        <v>Reservas</v>
      </c>
      <c r="C63" s="405">
        <f>+Balance!D64-Balance!C64</f>
        <v>102264950</v>
      </c>
      <c r="D63" s="108">
        <f>IF(C63=0,0,(IF(Balance!C64=0,100%,C63/Balance!C64)))</f>
        <v>0.86098444773307858</v>
      </c>
      <c r="E63" s="405">
        <f>+Balance!E64-Balance!D64</f>
        <v>0</v>
      </c>
      <c r="F63" s="108">
        <f>IF(E63=0,0,(IF(Balance!D64=0,100%,E63/Balance!D64)))</f>
        <v>0</v>
      </c>
      <c r="G63" s="405">
        <f>+Balance!F64-Balance!E64</f>
        <v>65009985</v>
      </c>
      <c r="H63" s="108">
        <f>IF(G63=0,0,(IF(Balance!E64=0,100%,G63/Balance!E64)))</f>
        <v>0.29410730964369358</v>
      </c>
      <c r="I63" s="405">
        <f>+Balance!G64-Balance!F64</f>
        <v>141523886</v>
      </c>
      <c r="J63" s="108">
        <f>IF(I63=0,0,(IF(Balance!F64=0,100%,I63/Balance!F64)))</f>
        <v>0.49474932159379592</v>
      </c>
      <c r="K63" s="405">
        <f>+Balance!H64-Balance!G64</f>
        <v>270245058</v>
      </c>
      <c r="L63" s="108">
        <f>IF(K63=0,0,(IF(Balance!G64=0,100%,K63/Balance!G64)))</f>
        <v>0.63204042735938326</v>
      </c>
    </row>
    <row r="64" spans="1:12" x14ac:dyDescent="0.25">
      <c r="A64" s="80"/>
      <c r="B64" s="82" t="str">
        <f>+Balance!B65</f>
        <v>Revalorización del patrimonio</v>
      </c>
      <c r="C64" s="405">
        <f>+Balance!D65-Balance!C65</f>
        <v>0</v>
      </c>
      <c r="D64" s="108">
        <f>IF(C64=0,0,(IF(Balance!C65=0,100%,C64/Balance!C65)))</f>
        <v>0</v>
      </c>
      <c r="E64" s="405">
        <f>+Balance!E65-Balance!D65</f>
        <v>0</v>
      </c>
      <c r="F64" s="108">
        <f>IF(E64=0,0,(IF(Balance!D65=0,100%,E64/Balance!D65)))</f>
        <v>0</v>
      </c>
      <c r="G64" s="405">
        <f>+Balance!F65-Balance!E65</f>
        <v>0</v>
      </c>
      <c r="H64" s="108">
        <f>IF(G64=0,0,(IF(Balance!E65=0,100%,G64/Balance!E65)))</f>
        <v>0</v>
      </c>
      <c r="I64" s="405">
        <f>+Balance!G65-Balance!F65</f>
        <v>0</v>
      </c>
      <c r="J64" s="108">
        <f>IF(I64=0,0,(IF(Balance!F65=0,100%,I64/Balance!F65)))</f>
        <v>0</v>
      </c>
      <c r="K64" s="405">
        <f>+Balance!H65-Balance!G65</f>
        <v>0</v>
      </c>
      <c r="L64" s="108">
        <f>IF(K64=0,0,(IF(Balance!G65=0,100%,K64/Balance!G65)))</f>
        <v>0</v>
      </c>
    </row>
    <row r="65" spans="1:12" x14ac:dyDescent="0.25">
      <c r="A65" s="80"/>
      <c r="B65" s="82" t="str">
        <f>+Balance!B66</f>
        <v>Resultados del ejercicio</v>
      </c>
      <c r="C65" s="405">
        <f>+Balance!D66-Balance!C66</f>
        <v>134917402.78666508</v>
      </c>
      <c r="D65" s="108">
        <f>IF(C65=0,0,(IF(Balance!C66=0,100%,C65/Balance!C66)))</f>
        <v>0.22988473624197772</v>
      </c>
      <c r="E65" s="405">
        <f>+Balance!E66-Balance!D66</f>
        <v>1886898682.0000005</v>
      </c>
      <c r="F65" s="108">
        <f>IF(E65=0,0,(IF(Balance!D66=0,100%,E65/Balance!D66)))</f>
        <v>2.6141248973888804</v>
      </c>
      <c r="G65" s="405">
        <f>+Balance!F66-Balance!E66</f>
        <v>-401851384.50000048</v>
      </c>
      <c r="H65" s="108">
        <f>IF(G65=0,0,(IF(Balance!E66=0,100%,G65/Balance!E66)))</f>
        <v>-0.15404232479780572</v>
      </c>
      <c r="I65" s="405">
        <f>+Balance!G66-Balance!F66</f>
        <v>-940775902.76950121</v>
      </c>
      <c r="J65" s="108">
        <f>IF(I65=0,0,(IF(Balance!F66=0,100%,I65/Balance!F66)))</f>
        <v>-0.42629687116805437</v>
      </c>
      <c r="K65" s="405">
        <f>+Balance!H66-Balance!G66</f>
        <v>-204035847.75528908</v>
      </c>
      <c r="L65" s="108">
        <f>IF(K65=0,0,(IF(Balance!G66=0,100%,K65/Balance!G66)))</f>
        <v>-0.16115553221672449</v>
      </c>
    </row>
    <row r="66" spans="1:12" x14ac:dyDescent="0.25">
      <c r="A66" s="80"/>
      <c r="B66" s="82" t="str">
        <f>+Balance!B67</f>
        <v>Resultado de ejercicios anteriores</v>
      </c>
      <c r="C66" s="405">
        <f>+Balance!D67-Balance!C67</f>
        <v>64395567</v>
      </c>
      <c r="D66" s="108">
        <f>IF(C66=0,0,(IF(Balance!C67=0,100%,C66/Balance!C67)))</f>
        <v>4.8488061945938132E-2</v>
      </c>
      <c r="E66" s="405">
        <f>+Balance!E67-Balance!D67</f>
        <v>1064476923.5</v>
      </c>
      <c r="F66" s="108">
        <f>IF(E66=0,0,(IF(Balance!D67=0,100%,E66/Balance!D67)))</f>
        <v>0.76445445388809341</v>
      </c>
      <c r="G66" s="405">
        <f>+Balance!F67-Balance!E67</f>
        <v>936943797.5</v>
      </c>
      <c r="H66" s="108">
        <f>IF(G66=0,0,(IF(Balance!E67=0,100%,G66/Balance!E67)))</f>
        <v>0.3813453477830801</v>
      </c>
      <c r="I66" s="405">
        <f>+Balance!G67-Balance!F67</f>
        <v>1231489245</v>
      </c>
      <c r="J66" s="108">
        <f>IF(I66=0,0,(IF(Balance!F67=0,100%,I66/Balance!F67)))</f>
        <v>0.36285512879722898</v>
      </c>
      <c r="K66" s="405">
        <f>+Balance!H67-Balance!G67</f>
        <v>1059192390</v>
      </c>
      <c r="L66" s="108">
        <f>IF(K66=0,0,(IF(Balance!G67=0,100%,K66/Balance!G67)))</f>
        <v>0.22899595004845619</v>
      </c>
    </row>
    <row r="67" spans="1:12" x14ac:dyDescent="0.25">
      <c r="A67" s="80"/>
      <c r="B67" s="82" t="str">
        <f>+Balance!B68</f>
        <v>Superávit por valorización</v>
      </c>
      <c r="C67" s="405">
        <f>+Balance!D68-Balance!C68</f>
        <v>0.5</v>
      </c>
      <c r="D67" s="108">
        <f>IF(C67=0,0,(IF(Balance!C68=0,100%,C67/Balance!C68)))</f>
        <v>3.2010077755827121E-10</v>
      </c>
      <c r="E67" s="405">
        <f>+Balance!E68-Balance!D68</f>
        <v>0.5</v>
      </c>
      <c r="F67" s="108">
        <f>IF(E67=0,0,(IF(Balance!D68=0,100%,E67/Balance!D68)))</f>
        <v>3.201007774558067E-10</v>
      </c>
      <c r="G67" s="405">
        <f>+Balance!F68-Balance!E68</f>
        <v>0</v>
      </c>
      <c r="H67" s="108">
        <f>IF(G67=0,0,(IF(Balance!E68=0,100%,G67/Balance!E68)))</f>
        <v>0</v>
      </c>
      <c r="I67" s="405">
        <f>+Balance!G68-Balance!F68</f>
        <v>0</v>
      </c>
      <c r="J67" s="108">
        <f>IF(I67=0,0,(IF(Balance!F68=0,100%,I67/Balance!F68)))</f>
        <v>0</v>
      </c>
      <c r="K67" s="405">
        <f>+Balance!H68-Balance!G68</f>
        <v>0</v>
      </c>
      <c r="L67" s="108">
        <f>IF(K67=0,0,(IF(Balance!G68=0,100%,K67/Balance!G68)))</f>
        <v>0</v>
      </c>
    </row>
    <row r="68" spans="1:12" x14ac:dyDescent="0.25">
      <c r="A68" s="80"/>
      <c r="B68" s="82" t="str">
        <f>+Balance!B69</f>
        <v>Otras cuentas de patrimonio</v>
      </c>
      <c r="C68" s="405">
        <f>+Balance!D69-Balance!C69</f>
        <v>0</v>
      </c>
      <c r="D68" s="108">
        <f>IF(C68=0,0,(IF(Balance!C69=0,100%,C68/Balance!C69)))</f>
        <v>0</v>
      </c>
      <c r="E68" s="405">
        <f>+Balance!E69-Balance!D69</f>
        <v>0</v>
      </c>
      <c r="F68" s="108">
        <f>IF(E68=0,0,(IF(Balance!D69=0,100%,E68/Balance!D69)))</f>
        <v>0</v>
      </c>
      <c r="G68" s="405">
        <f>+Balance!F69-Balance!E69</f>
        <v>0</v>
      </c>
      <c r="H68" s="108">
        <f>IF(G68=0,0,(IF(Balance!E69=0,100%,G68/Balance!E69)))</f>
        <v>0</v>
      </c>
      <c r="I68" s="405">
        <f>+Balance!G69-Balance!F69</f>
        <v>0</v>
      </c>
      <c r="J68" s="108">
        <f>IF(I68=0,0,(IF(Balance!F69=0,100%,I68/Balance!F69)))</f>
        <v>0</v>
      </c>
      <c r="K68" s="405">
        <f>+Balance!H69-Balance!G69</f>
        <v>0</v>
      </c>
      <c r="L68" s="108">
        <f>IF(K68=0,0,(IF(Balance!G69=0,100%,K68/Balance!G69)))</f>
        <v>0</v>
      </c>
    </row>
    <row r="69" spans="1:12" x14ac:dyDescent="0.25">
      <c r="A69" s="80"/>
      <c r="B69" s="82"/>
      <c r="C69" s="83"/>
      <c r="D69" s="108"/>
      <c r="E69" s="115"/>
      <c r="F69" s="108"/>
      <c r="G69" s="115"/>
      <c r="H69" s="108"/>
      <c r="I69" s="115"/>
      <c r="J69" s="108"/>
      <c r="K69" s="115"/>
      <c r="L69" s="108"/>
    </row>
    <row r="70" spans="1:12" x14ac:dyDescent="0.25">
      <c r="A70" s="80"/>
      <c r="B70" s="81" t="s">
        <v>187</v>
      </c>
      <c r="C70" s="406">
        <f>+Balance!D71-Balance!C71</f>
        <v>301577920.28666496</v>
      </c>
      <c r="D70" s="407">
        <f>IF(C70=0,0,(IF(Balance!C71=0,100%,C70/Balance!C71)))</f>
        <v>6.5621089640151731E-2</v>
      </c>
      <c r="E70" s="406">
        <f>+Balance!E71-Balance!D71</f>
        <v>2951375606.000001</v>
      </c>
      <c r="F70" s="407">
        <f>IF(E70=0,0,(IF(Balance!D71=0,100%,E70/Balance!D71)))</f>
        <v>0.60265057049226267</v>
      </c>
      <c r="G70" s="406">
        <f>+Balance!F71-Balance!E71</f>
        <v>600102397.99999905</v>
      </c>
      <c r="H70" s="407">
        <f>IF(G70=0,0,(IF(Balance!E71=0,100%,G70/Balance!E71)))</f>
        <v>7.6458823020809641E-2</v>
      </c>
      <c r="I70" s="406">
        <f>+Balance!G71-Balance!F71</f>
        <v>432237228.23049831</v>
      </c>
      <c r="J70" s="407">
        <f>IF(I70=0,0,(IF(Balance!F71=0,100%,I70/Balance!F71)))</f>
        <v>5.115958277659112E-2</v>
      </c>
      <c r="K70" s="406">
        <f>+Balance!H71-Balance!G71</f>
        <v>1125401600.2447109</v>
      </c>
      <c r="L70" s="407">
        <f>IF(K70=0,0,(IF(Balance!G71=0,100%,K70/Balance!G71)))</f>
        <v>0.12671957244443571</v>
      </c>
    </row>
    <row r="71" spans="1:12" x14ac:dyDescent="0.25">
      <c r="A71" s="80"/>
      <c r="B71" s="82"/>
      <c r="C71" s="83"/>
      <c r="D71" s="108"/>
      <c r="E71" s="115"/>
      <c r="F71" s="108"/>
      <c r="G71" s="115"/>
      <c r="H71" s="108"/>
      <c r="I71" s="115"/>
      <c r="J71" s="108"/>
      <c r="K71" s="115"/>
      <c r="L71" s="108"/>
    </row>
    <row r="72" spans="1:12" x14ac:dyDescent="0.25">
      <c r="A72" s="80"/>
      <c r="B72" s="81" t="s">
        <v>188</v>
      </c>
      <c r="C72" s="406">
        <f>+Balance!D73-Balance!C73</f>
        <v>1571295204.5</v>
      </c>
      <c r="D72" s="407">
        <f>IF(C72=0,0,(IF(Balance!C73=0,100%,C72/Balance!C73)))</f>
        <v>0.17542073200937025</v>
      </c>
      <c r="E72" s="406">
        <f>+Balance!E73-Balance!D73</f>
        <v>3710417554</v>
      </c>
      <c r="F72" s="407">
        <f>IF(E72=0,0,(IF(Balance!D73=0,100%,E72/Balance!D73)))</f>
        <v>0.35241352970802481</v>
      </c>
      <c r="G72" s="406">
        <f>+Balance!F73-Balance!E73</f>
        <v>4187327612</v>
      </c>
      <c r="H72" s="407">
        <f>IF(G72=0,0,(IF(Balance!E73=0,100%,G72/Balance!E73)))</f>
        <v>0.2940744012593049</v>
      </c>
      <c r="I72" s="406">
        <f>+Balance!G73-Balance!F73</f>
        <v>1479032585.5</v>
      </c>
      <c r="J72" s="407">
        <f>IF(I72=0,0,(IF(Balance!F73=0,100%,I72/Balance!F73)))</f>
        <v>8.0267322537215233E-2</v>
      </c>
      <c r="K72" s="406">
        <f>+Balance!H73-Balance!G73</f>
        <v>6621294072.9999962</v>
      </c>
      <c r="L72" s="407">
        <f>IF(K72=0,0,(IF(Balance!G73=0,100%,K72/Balance!G73)))</f>
        <v>0.33263862119033277</v>
      </c>
    </row>
    <row r="73" spans="1:12" x14ac:dyDescent="0.25">
      <c r="A73" s="80"/>
      <c r="B73" s="107"/>
      <c r="C73" s="83"/>
      <c r="D73" s="83"/>
      <c r="E73" s="83"/>
      <c r="F73" s="83"/>
      <c r="G73" s="83"/>
      <c r="H73" s="83"/>
      <c r="I73" s="83"/>
      <c r="J73" s="83"/>
      <c r="K73" s="83"/>
      <c r="L73" s="83"/>
    </row>
    <row r="75" spans="1:12" hidden="1" x14ac:dyDescent="0.25">
      <c r="B75" s="109" t="s">
        <v>200</v>
      </c>
      <c r="C75" s="229">
        <f t="shared" ref="C75:L75" si="0">MAX(C10:C15)</f>
        <v>964766535</v>
      </c>
      <c r="D75" s="230">
        <f t="shared" si="0"/>
        <v>1.3422013097338936</v>
      </c>
      <c r="E75" s="229">
        <f t="shared" si="0"/>
        <v>1185879014</v>
      </c>
      <c r="F75" s="230">
        <f t="shared" si="0"/>
        <v>2.2257240880940974</v>
      </c>
      <c r="G75" s="229">
        <f t="shared" si="0"/>
        <v>431847839</v>
      </c>
      <c r="H75" s="230">
        <f t="shared" si="0"/>
        <v>1.5375802190105627</v>
      </c>
      <c r="I75" s="229">
        <f t="shared" si="0"/>
        <v>1308986554</v>
      </c>
      <c r="J75" s="230">
        <f t="shared" si="0"/>
        <v>0.96665817149019173</v>
      </c>
      <c r="K75" s="229">
        <f t="shared" si="0"/>
        <v>4622733191</v>
      </c>
      <c r="L75" s="230">
        <f t="shared" si="0"/>
        <v>2.6172855113590248</v>
      </c>
    </row>
    <row r="76" spans="1:12" hidden="1" x14ac:dyDescent="0.25">
      <c r="B76" s="109" t="s">
        <v>201</v>
      </c>
      <c r="C76" s="229">
        <f t="shared" ref="C76:L76" si="1">MAX(C19:C30)</f>
        <v>242546532</v>
      </c>
      <c r="D76" s="230">
        <f t="shared" si="1"/>
        <v>0.29161643543817023</v>
      </c>
      <c r="E76" s="229">
        <f t="shared" si="1"/>
        <v>609566879</v>
      </c>
      <c r="F76" s="230">
        <f t="shared" si="1"/>
        <v>0.24949150090291716</v>
      </c>
      <c r="G76" s="229">
        <f t="shared" si="1"/>
        <v>1254533985</v>
      </c>
      <c r="H76" s="230">
        <f t="shared" si="1"/>
        <v>1.0270442391275099</v>
      </c>
      <c r="I76" s="229">
        <f t="shared" si="1"/>
        <v>373374423</v>
      </c>
      <c r="J76" s="230">
        <f t="shared" si="1"/>
        <v>0.18731073656294078</v>
      </c>
      <c r="K76" s="229">
        <f t="shared" si="1"/>
        <v>280702439</v>
      </c>
      <c r="L76" s="230">
        <f t="shared" si="1"/>
        <v>0.117272544626204</v>
      </c>
    </row>
    <row r="77" spans="1:12" hidden="1" x14ac:dyDescent="0.25">
      <c r="B77" s="109" t="s">
        <v>89</v>
      </c>
      <c r="C77" s="109">
        <f t="shared" ref="C77:L77" si="2">MAX(C40:C45)*AND(MAX(C49:C53))</f>
        <v>314281424.10000002</v>
      </c>
      <c r="D77" s="230">
        <f t="shared" si="2"/>
        <v>0.57695911390515187</v>
      </c>
      <c r="E77" s="109">
        <f t="shared" si="2"/>
        <v>571922941</v>
      </c>
      <c r="F77" s="230">
        <f t="shared" si="2"/>
        <v>0.9029901805880447</v>
      </c>
      <c r="G77" s="109">
        <f t="shared" si="2"/>
        <v>1067195733</v>
      </c>
      <c r="H77" s="230">
        <f t="shared" si="2"/>
        <v>2.0678523712804813</v>
      </c>
      <c r="I77" s="109">
        <f t="shared" si="2"/>
        <v>214654412</v>
      </c>
      <c r="J77" s="230">
        <f t="shared" si="2"/>
        <v>0.65391626485389176</v>
      </c>
      <c r="K77" s="109">
        <f t="shared" si="2"/>
        <v>1887087726.7552886</v>
      </c>
      <c r="L77" s="230">
        <f t="shared" si="2"/>
        <v>1.5693633000953064</v>
      </c>
    </row>
    <row r="78" spans="1:12" hidden="1" x14ac:dyDescent="0.25">
      <c r="B78" s="109" t="s">
        <v>101</v>
      </c>
      <c r="C78" s="229">
        <f t="shared" ref="C78:L78" si="3">MAX(C61:C68)</f>
        <v>134917402.78666508</v>
      </c>
      <c r="D78" s="230">
        <f t="shared" si="3"/>
        <v>0.86098444773307858</v>
      </c>
      <c r="E78" s="229">
        <f t="shared" si="3"/>
        <v>1886898682.0000005</v>
      </c>
      <c r="F78" s="230">
        <f t="shared" si="3"/>
        <v>2.6141248973888804</v>
      </c>
      <c r="G78" s="229">
        <f t="shared" si="3"/>
        <v>936943797.5</v>
      </c>
      <c r="H78" s="230">
        <f t="shared" si="3"/>
        <v>0.3813453477830801</v>
      </c>
      <c r="I78" s="229">
        <f t="shared" si="3"/>
        <v>1231489245</v>
      </c>
      <c r="J78" s="230">
        <f t="shared" si="3"/>
        <v>0.49474932159379592</v>
      </c>
      <c r="K78" s="229">
        <f t="shared" si="3"/>
        <v>1059192390</v>
      </c>
      <c r="L78" s="230">
        <f t="shared" si="3"/>
        <v>0.63204042735938326</v>
      </c>
    </row>
    <row r="80" spans="1:12" x14ac:dyDescent="0.25"/>
  </sheetData>
  <sheetProtection selectLockedCells="1" selectUnlockedCells="1"/>
  <mergeCells count="8">
    <mergeCell ref="B3:L3"/>
    <mergeCell ref="C6:D6"/>
    <mergeCell ref="K6:L6"/>
    <mergeCell ref="B4:L4"/>
    <mergeCell ref="B6:B7"/>
    <mergeCell ref="I6:J6"/>
    <mergeCell ref="E6:F6"/>
    <mergeCell ref="G6:H6"/>
  </mergeCells>
  <phoneticPr fontId="5" type="noConversion"/>
  <conditionalFormatting sqref="C41:C46 C48">
    <cfRule type="cellIs" dxfId="95" priority="76" stopIfTrue="1" operator="equal">
      <formula>$C$77</formula>
    </cfRule>
  </conditionalFormatting>
  <conditionalFormatting sqref="D41:D46 D48">
    <cfRule type="cellIs" dxfId="94" priority="75" stopIfTrue="1" operator="equal">
      <formula>$D$77</formula>
    </cfRule>
  </conditionalFormatting>
  <conditionalFormatting sqref="K41:K46 K48">
    <cfRule type="cellIs" dxfId="93" priority="74" stopIfTrue="1" operator="equal">
      <formula>$K$77</formula>
    </cfRule>
  </conditionalFormatting>
  <conditionalFormatting sqref="L41:L46 L48">
    <cfRule type="cellIs" dxfId="92" priority="73" stopIfTrue="1" operator="equal">
      <formula>$L$77</formula>
    </cfRule>
  </conditionalFormatting>
  <conditionalFormatting sqref="C62:C68">
    <cfRule type="cellIs" dxfId="91" priority="72" stopIfTrue="1" operator="equal">
      <formula>$C$78</formula>
    </cfRule>
  </conditionalFormatting>
  <conditionalFormatting sqref="D62:D68">
    <cfRule type="cellIs" dxfId="90" priority="71" stopIfTrue="1" operator="equal">
      <formula>$D$78</formula>
    </cfRule>
  </conditionalFormatting>
  <conditionalFormatting sqref="K62:K68">
    <cfRule type="cellIs" dxfId="89" priority="70" stopIfTrue="1" operator="equal">
      <formula>$K$78</formula>
    </cfRule>
  </conditionalFormatting>
  <conditionalFormatting sqref="L62:L68">
    <cfRule type="cellIs" dxfId="88" priority="69" stopIfTrue="1" operator="equal">
      <formula>$L$78</formula>
    </cfRule>
  </conditionalFormatting>
  <conditionalFormatting sqref="I41:I46 I48">
    <cfRule type="cellIs" dxfId="87" priority="64" stopIfTrue="1" operator="equal">
      <formula>$K$77</formula>
    </cfRule>
  </conditionalFormatting>
  <conditionalFormatting sqref="J41:J46 J48">
    <cfRule type="cellIs" dxfId="86" priority="63" stopIfTrue="1" operator="equal">
      <formula>$L$77</formula>
    </cfRule>
  </conditionalFormatting>
  <conditionalFormatting sqref="I62:I68">
    <cfRule type="cellIs" dxfId="85" priority="62" stopIfTrue="1" operator="equal">
      <formula>$K$78</formula>
    </cfRule>
  </conditionalFormatting>
  <conditionalFormatting sqref="J62:J68">
    <cfRule type="cellIs" dxfId="84" priority="61" stopIfTrue="1" operator="equal">
      <formula>$L$78</formula>
    </cfRule>
  </conditionalFormatting>
  <conditionalFormatting sqref="G41:G46 G48">
    <cfRule type="cellIs" dxfId="83" priority="56" stopIfTrue="1" operator="equal">
      <formula>$K$77</formula>
    </cfRule>
  </conditionalFormatting>
  <conditionalFormatting sqref="H41:H46 H48">
    <cfRule type="cellIs" dxfId="82" priority="55" stopIfTrue="1" operator="equal">
      <formula>$L$77</formula>
    </cfRule>
  </conditionalFormatting>
  <conditionalFormatting sqref="G62:G68">
    <cfRule type="cellIs" dxfId="81" priority="54" stopIfTrue="1" operator="equal">
      <formula>$K$78</formula>
    </cfRule>
  </conditionalFormatting>
  <conditionalFormatting sqref="H62:H68">
    <cfRule type="cellIs" dxfId="80" priority="53" stopIfTrue="1" operator="equal">
      <formula>$L$78</formula>
    </cfRule>
  </conditionalFormatting>
  <conditionalFormatting sqref="E41:E46 E48">
    <cfRule type="cellIs" dxfId="79" priority="48" stopIfTrue="1" operator="equal">
      <formula>$K$77</formula>
    </cfRule>
  </conditionalFormatting>
  <conditionalFormatting sqref="F41:F46 F48">
    <cfRule type="cellIs" dxfId="78" priority="47" stopIfTrue="1" operator="equal">
      <formula>$L$77</formula>
    </cfRule>
  </conditionalFormatting>
  <conditionalFormatting sqref="E62:E68">
    <cfRule type="cellIs" dxfId="77" priority="46" stopIfTrue="1" operator="equal">
      <formula>$K$78</formula>
    </cfRule>
  </conditionalFormatting>
  <conditionalFormatting sqref="F62:F68">
    <cfRule type="cellIs" dxfId="76" priority="45" stopIfTrue="1" operator="equal">
      <formula>$L$78</formula>
    </cfRule>
  </conditionalFormatting>
  <conditionalFormatting sqref="C49:C53">
    <cfRule type="cellIs" dxfId="75" priority="20" stopIfTrue="1" operator="equal">
      <formula>$C$77</formula>
    </cfRule>
  </conditionalFormatting>
  <conditionalFormatting sqref="D49:D53">
    <cfRule type="cellIs" dxfId="74" priority="19" stopIfTrue="1" operator="equal">
      <formula>$D$77</formula>
    </cfRule>
  </conditionalFormatting>
  <conditionalFormatting sqref="K49:K53">
    <cfRule type="cellIs" dxfId="73" priority="18" stopIfTrue="1" operator="equal">
      <formula>$K$77</formula>
    </cfRule>
  </conditionalFormatting>
  <conditionalFormatting sqref="L49:L53">
    <cfRule type="cellIs" dxfId="72" priority="17" stopIfTrue="1" operator="equal">
      <formula>$L$77</formula>
    </cfRule>
  </conditionalFormatting>
  <conditionalFormatting sqref="I49:I53">
    <cfRule type="cellIs" dxfId="71" priority="16" stopIfTrue="1" operator="equal">
      <formula>$K$77</formula>
    </cfRule>
  </conditionalFormatting>
  <conditionalFormatting sqref="J49:J53">
    <cfRule type="cellIs" dxfId="70" priority="15" stopIfTrue="1" operator="equal">
      <formula>$L$77</formula>
    </cfRule>
  </conditionalFormatting>
  <conditionalFormatting sqref="G49:G53">
    <cfRule type="cellIs" dxfId="69" priority="14" stopIfTrue="1" operator="equal">
      <formula>$K$77</formula>
    </cfRule>
  </conditionalFormatting>
  <conditionalFormatting sqref="H49:H53">
    <cfRule type="cellIs" dxfId="68" priority="13" stopIfTrue="1" operator="equal">
      <formula>$L$77</formula>
    </cfRule>
  </conditionalFormatting>
  <conditionalFormatting sqref="E49:E53">
    <cfRule type="cellIs" dxfId="67" priority="12" stopIfTrue="1" operator="equal">
      <formula>$K$77</formula>
    </cfRule>
  </conditionalFormatting>
  <conditionalFormatting sqref="F49:F53">
    <cfRule type="cellIs" dxfId="66" priority="11" stopIfTrue="1" operator="equal">
      <formula>$L$77</formula>
    </cfRule>
  </conditionalFormatting>
  <conditionalFormatting sqref="C61:C68">
    <cfRule type="cellIs" dxfId="65" priority="10" stopIfTrue="1" operator="equal">
      <formula>$C$77</formula>
    </cfRule>
  </conditionalFormatting>
  <conditionalFormatting sqref="D61:D68">
    <cfRule type="cellIs" dxfId="64" priority="9" stopIfTrue="1" operator="equal">
      <formula>$D$77</formula>
    </cfRule>
  </conditionalFormatting>
  <conditionalFormatting sqref="K61:K68">
    <cfRule type="cellIs" dxfId="63" priority="8" stopIfTrue="1" operator="equal">
      <formula>$K$77</formula>
    </cfRule>
  </conditionalFormatting>
  <conditionalFormatting sqref="L61:L68">
    <cfRule type="cellIs" dxfId="62" priority="7" stopIfTrue="1" operator="equal">
      <formula>$L$77</formula>
    </cfRule>
  </conditionalFormatting>
  <conditionalFormatting sqref="I61:I68">
    <cfRule type="cellIs" dxfId="61" priority="6" stopIfTrue="1" operator="equal">
      <formula>$K$77</formula>
    </cfRule>
  </conditionalFormatting>
  <conditionalFormatting sqref="J61:J68">
    <cfRule type="cellIs" dxfId="60" priority="5" stopIfTrue="1" operator="equal">
      <formula>$L$77</formula>
    </cfRule>
  </conditionalFormatting>
  <conditionalFormatting sqref="G61:G68">
    <cfRule type="cellIs" dxfId="59" priority="4" stopIfTrue="1" operator="equal">
      <formula>$K$77</formula>
    </cfRule>
  </conditionalFormatting>
  <conditionalFormatting sqref="H61:H68">
    <cfRule type="cellIs" dxfId="58" priority="3" stopIfTrue="1" operator="equal">
      <formula>$L$77</formula>
    </cfRule>
  </conditionalFormatting>
  <conditionalFormatting sqref="E61:E68">
    <cfRule type="cellIs" dxfId="57" priority="2" stopIfTrue="1" operator="equal">
      <formula>$K$77</formula>
    </cfRule>
  </conditionalFormatting>
  <conditionalFormatting sqref="F61:F68">
    <cfRule type="cellIs" dxfId="56" priority="1" stopIfTrue="1" operator="equal">
      <formula>$L$77</formula>
    </cfRule>
  </conditionalFormatting>
  <printOptions horizontalCentered="1" verticalCentered="1"/>
  <pageMargins left="0.74803149606299213" right="0.74803149606299213" top="0.47244094488188981" bottom="0.68" header="0" footer="0"/>
  <pageSetup scale="75"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58"/>
  <sheetViews>
    <sheetView workbookViewId="0"/>
  </sheetViews>
  <sheetFormatPr baseColWidth="10" defaultColWidth="0" defaultRowHeight="14.4" zeroHeight="1" x14ac:dyDescent="0.35"/>
  <cols>
    <col min="1" max="1" width="2.5546875" customWidth="1"/>
    <col min="2" max="10" width="11.44140625" customWidth="1"/>
    <col min="11" max="11" width="4.33203125" customWidth="1"/>
  </cols>
  <sheetData>
    <row r="1" spans="1:11" x14ac:dyDescent="0.35">
      <c r="A1" s="255"/>
      <c r="B1" s="255"/>
      <c r="C1" s="175"/>
      <c r="D1" s="175"/>
      <c r="E1" s="175"/>
      <c r="F1" s="175"/>
      <c r="G1" s="175"/>
      <c r="H1" s="175"/>
      <c r="I1" s="175"/>
      <c r="J1" s="175"/>
      <c r="K1" s="175"/>
    </row>
    <row r="2" spans="1:11" x14ac:dyDescent="0.35">
      <c r="A2" s="255"/>
      <c r="B2" s="175"/>
      <c r="C2" s="175"/>
      <c r="D2" s="175"/>
      <c r="E2" s="175"/>
      <c r="F2" s="175"/>
      <c r="G2" s="175"/>
      <c r="H2" s="175"/>
      <c r="I2" s="175"/>
      <c r="J2" s="175"/>
      <c r="K2" s="175"/>
    </row>
    <row r="3" spans="1:11" ht="18" x14ac:dyDescent="0.35">
      <c r="A3" s="175"/>
      <c r="B3" s="460" t="s">
        <v>26</v>
      </c>
      <c r="C3" s="461"/>
      <c r="D3" s="461"/>
      <c r="E3" s="461"/>
      <c r="F3" s="461"/>
      <c r="G3" s="461"/>
      <c r="H3" s="461"/>
      <c r="I3" s="461"/>
      <c r="J3" s="462"/>
      <c r="K3" s="175"/>
    </row>
    <row r="4" spans="1:11" x14ac:dyDescent="0.35">
      <c r="A4" s="175"/>
      <c r="B4" s="175"/>
      <c r="C4" s="175"/>
      <c r="D4" s="175"/>
      <c r="E4" s="175"/>
      <c r="F4" s="175"/>
      <c r="G4" s="175"/>
      <c r="H4" s="175"/>
      <c r="I4" s="175"/>
      <c r="J4" s="175"/>
      <c r="K4" s="175"/>
    </row>
    <row r="5" spans="1:11" x14ac:dyDescent="0.35">
      <c r="A5" s="175"/>
      <c r="B5" s="180" t="s">
        <v>27</v>
      </c>
      <c r="C5" s="175"/>
      <c r="D5" s="175"/>
      <c r="E5" s="175"/>
      <c r="F5" s="175"/>
      <c r="G5" s="175"/>
      <c r="H5" s="175"/>
      <c r="I5" s="175"/>
      <c r="J5" s="175"/>
      <c r="K5" s="175"/>
    </row>
    <row r="6" spans="1:11" ht="25.5" customHeight="1" x14ac:dyDescent="0.35">
      <c r="A6" s="175"/>
      <c r="B6" s="459" t="s">
        <v>28</v>
      </c>
      <c r="C6" s="459"/>
      <c r="D6" s="459"/>
      <c r="E6" s="459"/>
      <c r="F6" s="459"/>
      <c r="G6" s="459"/>
      <c r="H6" s="459"/>
      <c r="I6" s="459"/>
      <c r="J6" s="459"/>
      <c r="K6" s="175"/>
    </row>
    <row r="7" spans="1:11" ht="25.2" customHeight="1" x14ac:dyDescent="0.35">
      <c r="A7" s="175"/>
      <c r="B7" s="459" t="s">
        <v>29</v>
      </c>
      <c r="C7" s="459"/>
      <c r="D7" s="459"/>
      <c r="E7" s="459"/>
      <c r="F7" s="459"/>
      <c r="G7" s="459"/>
      <c r="H7" s="459"/>
      <c r="I7" s="459"/>
      <c r="J7" s="459"/>
      <c r="K7" s="175"/>
    </row>
    <row r="8" spans="1:11" ht="25.2" customHeight="1" x14ac:dyDescent="0.35">
      <c r="A8" s="175"/>
      <c r="B8" s="459" t="s">
        <v>30</v>
      </c>
      <c r="C8" s="459"/>
      <c r="D8" s="459"/>
      <c r="E8" s="459"/>
      <c r="F8" s="459"/>
      <c r="G8" s="459"/>
      <c r="H8" s="459"/>
      <c r="I8" s="459"/>
      <c r="J8" s="459"/>
      <c r="K8" s="175"/>
    </row>
    <row r="9" spans="1:11" ht="25.2" customHeight="1" x14ac:dyDescent="0.35">
      <c r="A9" s="175"/>
      <c r="B9" s="459" t="s">
        <v>31</v>
      </c>
      <c r="C9" s="459"/>
      <c r="D9" s="459"/>
      <c r="E9" s="459"/>
      <c r="F9" s="459"/>
      <c r="G9" s="459"/>
      <c r="H9" s="459"/>
      <c r="I9" s="459"/>
      <c r="J9" s="459"/>
      <c r="K9" s="175"/>
    </row>
    <row r="10" spans="1:11" ht="25.2" customHeight="1" x14ac:dyDescent="0.35">
      <c r="A10" s="175"/>
      <c r="B10" s="459" t="s">
        <v>32</v>
      </c>
      <c r="C10" s="459"/>
      <c r="D10" s="459"/>
      <c r="E10" s="459"/>
      <c r="F10" s="459"/>
      <c r="G10" s="459"/>
      <c r="H10" s="459"/>
      <c r="I10" s="459"/>
      <c r="J10" s="459"/>
      <c r="K10" s="175"/>
    </row>
    <row r="11" spans="1:11" ht="25.2" customHeight="1" x14ac:dyDescent="0.35">
      <c r="A11" s="175"/>
      <c r="B11" s="459" t="s">
        <v>33</v>
      </c>
      <c r="C11" s="459"/>
      <c r="D11" s="459"/>
      <c r="E11" s="459"/>
      <c r="F11" s="459"/>
      <c r="G11" s="459"/>
      <c r="H11" s="459"/>
      <c r="I11" s="459"/>
      <c r="J11" s="459"/>
      <c r="K11" s="175"/>
    </row>
    <row r="12" spans="1:11" ht="25.2" customHeight="1" x14ac:dyDescent="0.35">
      <c r="A12" s="175"/>
      <c r="B12" s="459" t="s">
        <v>34</v>
      </c>
      <c r="C12" s="459"/>
      <c r="D12" s="459"/>
      <c r="E12" s="459"/>
      <c r="F12" s="459"/>
      <c r="G12" s="459"/>
      <c r="H12" s="459"/>
      <c r="I12" s="459"/>
      <c r="J12" s="459"/>
      <c r="K12" s="175"/>
    </row>
    <row r="13" spans="1:11" ht="25.2" customHeight="1" x14ac:dyDescent="0.35">
      <c r="A13" s="175"/>
      <c r="B13" s="459" t="s">
        <v>35</v>
      </c>
      <c r="C13" s="459"/>
      <c r="D13" s="459"/>
      <c r="E13" s="459"/>
      <c r="F13" s="459"/>
      <c r="G13" s="459"/>
      <c r="H13" s="459"/>
      <c r="I13" s="459"/>
      <c r="J13" s="459"/>
      <c r="K13" s="175"/>
    </row>
    <row r="14" spans="1:11" ht="55.2" customHeight="1" x14ac:dyDescent="0.35">
      <c r="A14" s="175"/>
      <c r="B14" s="459" t="s">
        <v>36</v>
      </c>
      <c r="C14" s="459"/>
      <c r="D14" s="459"/>
      <c r="E14" s="459"/>
      <c r="F14" s="459"/>
      <c r="G14" s="459"/>
      <c r="H14" s="459"/>
      <c r="I14" s="459"/>
      <c r="J14" s="459"/>
      <c r="K14" s="175"/>
    </row>
    <row r="15" spans="1:11" ht="40.200000000000003" customHeight="1" x14ac:dyDescent="0.35">
      <c r="A15" s="175"/>
      <c r="B15" s="459" t="s">
        <v>37</v>
      </c>
      <c r="C15" s="459"/>
      <c r="D15" s="459"/>
      <c r="E15" s="459"/>
      <c r="F15" s="459"/>
      <c r="G15" s="459"/>
      <c r="H15" s="459"/>
      <c r="I15" s="459"/>
      <c r="J15" s="459"/>
      <c r="K15" s="175"/>
    </row>
    <row r="16" spans="1:11" ht="56.25" customHeight="1" x14ac:dyDescent="0.35">
      <c r="A16" s="175"/>
      <c r="B16" s="459" t="s">
        <v>38</v>
      </c>
      <c r="C16" s="459"/>
      <c r="D16" s="459"/>
      <c r="E16" s="459"/>
      <c r="F16" s="459"/>
      <c r="G16" s="459"/>
      <c r="H16" s="459"/>
      <c r="I16" s="459"/>
      <c r="J16" s="459"/>
      <c r="K16" s="175"/>
    </row>
    <row r="17" spans="1:11" ht="42.75" customHeight="1" x14ac:dyDescent="0.35">
      <c r="A17" s="175"/>
      <c r="B17" s="459" t="s">
        <v>39</v>
      </c>
      <c r="C17" s="459"/>
      <c r="D17" s="459"/>
      <c r="E17" s="459"/>
      <c r="F17" s="459"/>
      <c r="G17" s="459"/>
      <c r="H17" s="459"/>
      <c r="I17" s="459"/>
      <c r="J17" s="459"/>
      <c r="K17" s="175"/>
    </row>
    <row r="18" spans="1:11" x14ac:dyDescent="0.35">
      <c r="A18" s="175"/>
      <c r="B18" s="175"/>
      <c r="C18" s="175"/>
      <c r="D18" s="175"/>
      <c r="E18" s="175"/>
      <c r="F18" s="175"/>
      <c r="G18" s="175"/>
      <c r="H18" s="175"/>
      <c r="I18" s="175"/>
      <c r="J18" s="175"/>
      <c r="K18" s="175"/>
    </row>
    <row r="19" spans="1:11" x14ac:dyDescent="0.35">
      <c r="A19" s="175"/>
      <c r="B19" s="180" t="s">
        <v>40</v>
      </c>
      <c r="C19" s="175"/>
      <c r="D19" s="175"/>
      <c r="E19" s="175"/>
      <c r="F19" s="175"/>
      <c r="G19" s="175"/>
      <c r="H19" s="175"/>
      <c r="I19" s="175"/>
      <c r="J19" s="175"/>
      <c r="K19" s="175"/>
    </row>
    <row r="20" spans="1:11" ht="55.2" customHeight="1" x14ac:dyDescent="0.35">
      <c r="A20" s="175"/>
      <c r="B20" s="459" t="s">
        <v>41</v>
      </c>
      <c r="C20" s="459"/>
      <c r="D20" s="459"/>
      <c r="E20" s="459"/>
      <c r="F20" s="459"/>
      <c r="G20" s="459"/>
      <c r="H20" s="459"/>
      <c r="I20" s="459"/>
      <c r="J20" s="459"/>
      <c r="K20" s="175"/>
    </row>
    <row r="21" spans="1:11" ht="40.200000000000003" customHeight="1" x14ac:dyDescent="0.35">
      <c r="A21" s="175"/>
      <c r="B21" s="458" t="s">
        <v>42</v>
      </c>
      <c r="C21" s="458"/>
      <c r="D21" s="458"/>
      <c r="E21" s="458"/>
      <c r="F21" s="458"/>
      <c r="G21" s="458"/>
      <c r="H21" s="458"/>
      <c r="I21" s="458"/>
      <c r="J21" s="458"/>
      <c r="K21" s="175"/>
    </row>
    <row r="22" spans="1:11" ht="40.200000000000003" customHeight="1" x14ac:dyDescent="0.35">
      <c r="A22" s="175"/>
      <c r="B22" s="458" t="s">
        <v>43</v>
      </c>
      <c r="C22" s="458"/>
      <c r="D22" s="458"/>
      <c r="E22" s="458"/>
      <c r="F22" s="458"/>
      <c r="G22" s="458"/>
      <c r="H22" s="458"/>
      <c r="I22" s="458"/>
      <c r="J22" s="458"/>
      <c r="K22" s="175"/>
    </row>
    <row r="23" spans="1:11" ht="40.200000000000003" customHeight="1" x14ac:dyDescent="0.35">
      <c r="A23" s="175"/>
      <c r="B23" s="458" t="s">
        <v>44</v>
      </c>
      <c r="C23" s="458"/>
      <c r="D23" s="458"/>
      <c r="E23" s="458"/>
      <c r="F23" s="458"/>
      <c r="G23" s="458"/>
      <c r="H23" s="458"/>
      <c r="I23" s="458"/>
      <c r="J23" s="458"/>
      <c r="K23" s="175"/>
    </row>
    <row r="24" spans="1:11" ht="40.200000000000003" customHeight="1" x14ac:dyDescent="0.35">
      <c r="A24" s="175"/>
      <c r="B24" s="458" t="s">
        <v>45</v>
      </c>
      <c r="C24" s="458"/>
      <c r="D24" s="458"/>
      <c r="E24" s="458"/>
      <c r="F24" s="458"/>
      <c r="G24" s="458"/>
      <c r="H24" s="458"/>
      <c r="I24" s="458"/>
      <c r="J24" s="458"/>
      <c r="K24" s="175"/>
    </row>
    <row r="25" spans="1:11" ht="40.200000000000003" customHeight="1" x14ac:dyDescent="0.35">
      <c r="A25" s="175"/>
      <c r="B25" s="458" t="s">
        <v>46</v>
      </c>
      <c r="C25" s="458"/>
      <c r="D25" s="458"/>
      <c r="E25" s="458"/>
      <c r="F25" s="458"/>
      <c r="G25" s="458"/>
      <c r="H25" s="458"/>
      <c r="I25" s="458"/>
      <c r="J25" s="458"/>
      <c r="K25" s="175"/>
    </row>
    <row r="26" spans="1:11" ht="40.200000000000003" customHeight="1" x14ac:dyDescent="0.35">
      <c r="A26" s="175"/>
      <c r="B26" s="458" t="s">
        <v>47</v>
      </c>
      <c r="C26" s="458"/>
      <c r="D26" s="458"/>
      <c r="E26" s="458"/>
      <c r="F26" s="458"/>
      <c r="G26" s="458"/>
      <c r="H26" s="458"/>
      <c r="I26" s="458"/>
      <c r="J26" s="458"/>
      <c r="K26" s="175"/>
    </row>
    <row r="27" spans="1:11" ht="40.200000000000003" customHeight="1" x14ac:dyDescent="0.35">
      <c r="A27" s="175"/>
      <c r="B27" s="458" t="s">
        <v>48</v>
      </c>
      <c r="C27" s="458"/>
      <c r="D27" s="458"/>
      <c r="E27" s="458"/>
      <c r="F27" s="458"/>
      <c r="G27" s="458"/>
      <c r="H27" s="458"/>
      <c r="I27" s="458"/>
      <c r="J27" s="458"/>
      <c r="K27" s="175"/>
    </row>
    <row r="28" spans="1:11" ht="40.200000000000003" customHeight="1" x14ac:dyDescent="0.35">
      <c r="A28" s="175"/>
      <c r="B28" s="458" t="s">
        <v>49</v>
      </c>
      <c r="C28" s="458"/>
      <c r="D28" s="458"/>
      <c r="E28" s="458"/>
      <c r="F28" s="458"/>
      <c r="G28" s="458"/>
      <c r="H28" s="458"/>
      <c r="I28" s="458"/>
      <c r="J28" s="458"/>
      <c r="K28" s="175"/>
    </row>
    <row r="29" spans="1:11" ht="40.200000000000003" customHeight="1" x14ac:dyDescent="0.35">
      <c r="A29" s="175"/>
      <c r="B29" s="458" t="s">
        <v>50</v>
      </c>
      <c r="C29" s="458"/>
      <c r="D29" s="458"/>
      <c r="E29" s="458"/>
      <c r="F29" s="458"/>
      <c r="G29" s="458"/>
      <c r="H29" s="458"/>
      <c r="I29" s="458"/>
      <c r="J29" s="458"/>
      <c r="K29" s="175"/>
    </row>
    <row r="30" spans="1:11" ht="79.95" customHeight="1" x14ac:dyDescent="0.35">
      <c r="A30" s="175"/>
      <c r="B30" s="458" t="s">
        <v>51</v>
      </c>
      <c r="C30" s="458"/>
      <c r="D30" s="458"/>
      <c r="E30" s="458"/>
      <c r="F30" s="458"/>
      <c r="G30" s="458"/>
      <c r="H30" s="458"/>
      <c r="I30" s="458"/>
      <c r="J30" s="458"/>
      <c r="K30" s="175"/>
    </row>
    <row r="31" spans="1:11" ht="79.95" customHeight="1" x14ac:dyDescent="0.35">
      <c r="A31" s="175"/>
      <c r="B31" s="458" t="s">
        <v>52</v>
      </c>
      <c r="C31" s="458"/>
      <c r="D31" s="458"/>
      <c r="E31" s="458"/>
      <c r="F31" s="458"/>
      <c r="G31" s="458"/>
      <c r="H31" s="458"/>
      <c r="I31" s="458"/>
      <c r="J31" s="458"/>
      <c r="K31" s="175"/>
    </row>
    <row r="32" spans="1:11" ht="40.200000000000003" customHeight="1" x14ac:dyDescent="0.35">
      <c r="A32" s="175"/>
      <c r="B32" s="458" t="s">
        <v>53</v>
      </c>
      <c r="C32" s="458"/>
      <c r="D32" s="458"/>
      <c r="E32" s="458"/>
      <c r="F32" s="458"/>
      <c r="G32" s="458"/>
      <c r="H32" s="458"/>
      <c r="I32" s="458"/>
      <c r="J32" s="458"/>
      <c r="K32" s="175"/>
    </row>
    <row r="33" spans="1:11" ht="40.200000000000003" customHeight="1" x14ac:dyDescent="0.35">
      <c r="A33" s="175"/>
      <c r="B33" s="458" t="s">
        <v>54</v>
      </c>
      <c r="C33" s="458"/>
      <c r="D33" s="458"/>
      <c r="E33" s="458"/>
      <c r="F33" s="458"/>
      <c r="G33" s="458"/>
      <c r="H33" s="458"/>
      <c r="I33" s="458"/>
      <c r="J33" s="458"/>
      <c r="K33" s="175"/>
    </row>
    <row r="34" spans="1:11" ht="40.200000000000003" customHeight="1" x14ac:dyDescent="0.35">
      <c r="A34" s="175"/>
      <c r="B34" s="458" t="s">
        <v>55</v>
      </c>
      <c r="C34" s="458"/>
      <c r="D34" s="458"/>
      <c r="E34" s="458"/>
      <c r="F34" s="458"/>
      <c r="G34" s="458"/>
      <c r="H34" s="458"/>
      <c r="I34" s="458"/>
      <c r="J34" s="458"/>
      <c r="K34" s="175"/>
    </row>
    <row r="35" spans="1:11" ht="40.200000000000003" customHeight="1" x14ac:dyDescent="0.35">
      <c r="A35" s="175"/>
      <c r="B35" s="458" t="s">
        <v>56</v>
      </c>
      <c r="C35" s="458"/>
      <c r="D35" s="458"/>
      <c r="E35" s="458"/>
      <c r="F35" s="458"/>
      <c r="G35" s="458"/>
      <c r="H35" s="458"/>
      <c r="I35" s="458"/>
      <c r="J35" s="458"/>
      <c r="K35" s="175"/>
    </row>
    <row r="36" spans="1:11" ht="60" customHeight="1" x14ac:dyDescent="0.35">
      <c r="A36" s="175"/>
      <c r="B36" s="458" t="s">
        <v>57</v>
      </c>
      <c r="C36" s="458"/>
      <c r="D36" s="458"/>
      <c r="E36" s="458"/>
      <c r="F36" s="458"/>
      <c r="G36" s="458"/>
      <c r="H36" s="458"/>
      <c r="I36" s="458"/>
      <c r="J36" s="458"/>
      <c r="K36" s="175"/>
    </row>
    <row r="37" spans="1:11" ht="40.200000000000003" customHeight="1" x14ac:dyDescent="0.35">
      <c r="A37" s="175"/>
      <c r="B37" s="458" t="s">
        <v>58</v>
      </c>
      <c r="C37" s="458"/>
      <c r="D37" s="458"/>
      <c r="E37" s="458"/>
      <c r="F37" s="458"/>
      <c r="G37" s="458"/>
      <c r="H37" s="458"/>
      <c r="I37" s="458"/>
      <c r="J37" s="458"/>
      <c r="K37" s="175"/>
    </row>
    <row r="38" spans="1:11" ht="40.200000000000003" customHeight="1" x14ac:dyDescent="0.35">
      <c r="A38" s="175"/>
      <c r="B38" s="458" t="s">
        <v>59</v>
      </c>
      <c r="C38" s="458"/>
      <c r="D38" s="458"/>
      <c r="E38" s="458"/>
      <c r="F38" s="458"/>
      <c r="G38" s="458"/>
      <c r="H38" s="458"/>
      <c r="I38" s="458"/>
      <c r="J38" s="458"/>
      <c r="K38" s="175"/>
    </row>
    <row r="39" spans="1:11" ht="40.200000000000003" customHeight="1" x14ac:dyDescent="0.35">
      <c r="A39" s="175"/>
      <c r="B39" s="458" t="s">
        <v>60</v>
      </c>
      <c r="C39" s="458"/>
      <c r="D39" s="458"/>
      <c r="E39" s="458"/>
      <c r="F39" s="458"/>
      <c r="G39" s="458"/>
      <c r="H39" s="458"/>
      <c r="I39" s="458"/>
      <c r="J39" s="458"/>
      <c r="K39" s="175"/>
    </row>
    <row r="40" spans="1:11" ht="60" customHeight="1" x14ac:dyDescent="0.35">
      <c r="A40" s="175"/>
      <c r="B40" s="458" t="s">
        <v>61</v>
      </c>
      <c r="C40" s="458"/>
      <c r="D40" s="458"/>
      <c r="E40" s="458"/>
      <c r="F40" s="458"/>
      <c r="G40" s="458"/>
      <c r="H40" s="458"/>
      <c r="I40" s="458"/>
      <c r="J40" s="458"/>
      <c r="K40" s="175"/>
    </row>
    <row r="41" spans="1:11" hidden="1" x14ac:dyDescent="0.35">
      <c r="A41" s="175"/>
      <c r="B41" s="175"/>
      <c r="C41" s="175"/>
      <c r="D41" s="175"/>
      <c r="E41" s="175"/>
      <c r="F41" s="175"/>
      <c r="G41" s="175"/>
      <c r="H41" s="175"/>
      <c r="I41" s="175"/>
      <c r="J41" s="175"/>
      <c r="K41" s="175"/>
    </row>
    <row r="42" spans="1:11" hidden="1" x14ac:dyDescent="0.35">
      <c r="A42" s="175"/>
      <c r="B42" s="175"/>
      <c r="C42" s="175"/>
      <c r="D42" s="175"/>
      <c r="E42" s="175"/>
      <c r="F42" s="175"/>
      <c r="G42" s="175"/>
      <c r="H42" s="175"/>
      <c r="I42" s="175"/>
      <c r="J42" s="175"/>
      <c r="K42" s="175"/>
    </row>
    <row r="43" spans="1:11" hidden="1" x14ac:dyDescent="0.35">
      <c r="A43" s="175"/>
      <c r="B43" s="175"/>
      <c r="C43" s="175"/>
      <c r="D43" s="175"/>
      <c r="E43" s="175"/>
      <c r="F43" s="175"/>
      <c r="G43" s="175"/>
      <c r="H43" s="175"/>
      <c r="I43" s="175"/>
      <c r="J43" s="175"/>
      <c r="K43" s="175"/>
    </row>
    <row r="44" spans="1:11" hidden="1" x14ac:dyDescent="0.35">
      <c r="A44" s="175"/>
      <c r="B44" s="175"/>
      <c r="C44" s="175"/>
      <c r="D44" s="175"/>
      <c r="E44" s="175"/>
      <c r="F44" s="175"/>
      <c r="G44" s="175"/>
      <c r="H44" s="175"/>
      <c r="I44" s="175"/>
      <c r="J44" s="175"/>
      <c r="K44" s="175"/>
    </row>
    <row r="45" spans="1:11" hidden="1" x14ac:dyDescent="0.35">
      <c r="A45" s="175"/>
      <c r="B45" s="175"/>
      <c r="C45" s="175"/>
      <c r="D45" s="175"/>
      <c r="E45" s="175"/>
      <c r="F45" s="175"/>
      <c r="G45" s="175"/>
      <c r="H45" s="175"/>
      <c r="I45" s="175"/>
      <c r="J45" s="175"/>
      <c r="K45" s="175"/>
    </row>
    <row r="46" spans="1:11" hidden="1" x14ac:dyDescent="0.35">
      <c r="A46" s="175"/>
      <c r="B46" s="175"/>
      <c r="C46" s="175"/>
      <c r="D46" s="175"/>
      <c r="E46" s="175"/>
      <c r="F46" s="175"/>
      <c r="G46" s="175"/>
      <c r="H46" s="175"/>
      <c r="I46" s="175"/>
      <c r="J46" s="175"/>
      <c r="K46" s="175"/>
    </row>
    <row r="47" spans="1:11" hidden="1" x14ac:dyDescent="0.35">
      <c r="A47" s="175"/>
      <c r="B47" s="175"/>
      <c r="C47" s="175"/>
      <c r="D47" s="175"/>
      <c r="E47" s="175"/>
      <c r="F47" s="175"/>
      <c r="G47" s="175"/>
      <c r="H47" s="175"/>
      <c r="I47" s="175"/>
      <c r="J47" s="175"/>
      <c r="K47" s="175"/>
    </row>
    <row r="48" spans="1:11" hidden="1" x14ac:dyDescent="0.35">
      <c r="A48" s="175"/>
      <c r="B48" s="175"/>
      <c r="C48" s="175"/>
      <c r="D48" s="175"/>
      <c r="E48" s="175"/>
      <c r="F48" s="175"/>
      <c r="G48" s="175"/>
      <c r="H48" s="175"/>
      <c r="I48" s="175"/>
      <c r="J48" s="175"/>
      <c r="K48" s="175"/>
    </row>
    <row r="49" spans="1:11" hidden="1" x14ac:dyDescent="0.35">
      <c r="A49" s="175"/>
      <c r="B49" s="175"/>
      <c r="C49" s="175"/>
      <c r="D49" s="175"/>
      <c r="E49" s="175"/>
      <c r="F49" s="175"/>
      <c r="G49" s="175"/>
      <c r="H49" s="175"/>
      <c r="I49" s="175"/>
      <c r="J49" s="175"/>
      <c r="K49" s="175"/>
    </row>
    <row r="50" spans="1:11" hidden="1" x14ac:dyDescent="0.35">
      <c r="A50" s="175"/>
      <c r="B50" s="175"/>
      <c r="C50" s="175"/>
      <c r="D50" s="175"/>
      <c r="E50" s="175"/>
      <c r="F50" s="175"/>
      <c r="G50" s="175"/>
      <c r="H50" s="175"/>
      <c r="I50" s="175"/>
      <c r="J50" s="175"/>
      <c r="K50" s="175"/>
    </row>
    <row r="51" spans="1:11" hidden="1" x14ac:dyDescent="0.35">
      <c r="A51" s="175"/>
      <c r="B51" s="175"/>
      <c r="C51" s="175"/>
      <c r="D51" s="175"/>
      <c r="E51" s="175"/>
      <c r="F51" s="175"/>
      <c r="G51" s="175"/>
      <c r="H51" s="175"/>
      <c r="I51" s="175"/>
      <c r="J51" s="175"/>
      <c r="K51" s="175"/>
    </row>
    <row r="52" spans="1:11" hidden="1" x14ac:dyDescent="0.35">
      <c r="A52" s="175"/>
      <c r="B52" s="175"/>
      <c r="C52" s="175"/>
      <c r="D52" s="175"/>
      <c r="E52" s="175"/>
      <c r="F52" s="175"/>
      <c r="G52" s="175"/>
      <c r="H52" s="175"/>
      <c r="I52" s="175"/>
      <c r="J52" s="175"/>
      <c r="K52" s="175"/>
    </row>
    <row r="53" spans="1:11" hidden="1" x14ac:dyDescent="0.35">
      <c r="A53" s="175"/>
      <c r="B53" s="175"/>
      <c r="C53" s="175"/>
      <c r="D53" s="175"/>
      <c r="E53" s="175"/>
      <c r="F53" s="175"/>
      <c r="G53" s="175"/>
      <c r="H53" s="175"/>
      <c r="I53" s="175"/>
      <c r="J53" s="175"/>
      <c r="K53" s="175"/>
    </row>
    <row r="54" spans="1:11" hidden="1" x14ac:dyDescent="0.35">
      <c r="A54" s="175"/>
      <c r="B54" s="175"/>
      <c r="C54" s="175"/>
      <c r="D54" s="175"/>
      <c r="E54" s="175"/>
      <c r="F54" s="175"/>
      <c r="G54" s="175"/>
      <c r="H54" s="175"/>
      <c r="I54" s="175"/>
      <c r="J54" s="175"/>
      <c r="K54" s="175"/>
    </row>
    <row r="55" spans="1:11" hidden="1" x14ac:dyDescent="0.35">
      <c r="A55" s="175"/>
      <c r="B55" s="175"/>
      <c r="C55" s="175"/>
      <c r="D55" s="175"/>
      <c r="E55" s="175"/>
      <c r="F55" s="175"/>
      <c r="G55" s="175"/>
      <c r="H55" s="175"/>
      <c r="I55" s="175"/>
      <c r="J55" s="175"/>
      <c r="K55" s="175"/>
    </row>
    <row r="56" spans="1:11" hidden="1" x14ac:dyDescent="0.35">
      <c r="A56" s="175"/>
      <c r="B56" s="175"/>
      <c r="C56" s="175"/>
      <c r="D56" s="175"/>
      <c r="E56" s="175"/>
      <c r="F56" s="175"/>
      <c r="G56" s="175"/>
      <c r="H56" s="175"/>
      <c r="I56" s="175"/>
      <c r="J56" s="175"/>
      <c r="K56" s="175"/>
    </row>
    <row r="57" spans="1:11" hidden="1" x14ac:dyDescent="0.35">
      <c r="A57" s="175"/>
      <c r="B57" s="175"/>
      <c r="C57" s="175"/>
      <c r="D57" s="175"/>
      <c r="E57" s="175"/>
      <c r="F57" s="175"/>
      <c r="G57" s="175"/>
      <c r="H57" s="175"/>
      <c r="I57" s="175"/>
      <c r="J57" s="175"/>
      <c r="K57" s="175"/>
    </row>
    <row r="58" spans="1:11" hidden="1" x14ac:dyDescent="0.35">
      <c r="A58" s="175"/>
      <c r="B58" s="175"/>
      <c r="C58" s="175"/>
      <c r="D58" s="175"/>
      <c r="E58" s="175"/>
      <c r="F58" s="175"/>
      <c r="G58" s="175"/>
      <c r="H58" s="175"/>
      <c r="I58" s="175"/>
      <c r="J58" s="175"/>
      <c r="K58" s="175"/>
    </row>
  </sheetData>
  <sheetProtection selectLockedCells="1" selectUnlockedCells="1"/>
  <mergeCells count="34">
    <mergeCell ref="B3:J3"/>
    <mergeCell ref="B6:J6"/>
    <mergeCell ref="B7:J7"/>
    <mergeCell ref="B14:J14"/>
    <mergeCell ref="B15:J15"/>
    <mergeCell ref="B16:J16"/>
    <mergeCell ref="B17:J17"/>
    <mergeCell ref="B8:J8"/>
    <mergeCell ref="B9:J9"/>
    <mergeCell ref="B10:J10"/>
    <mergeCell ref="B11:J11"/>
    <mergeCell ref="B12:J12"/>
    <mergeCell ref="B13:J13"/>
    <mergeCell ref="B20:J20"/>
    <mergeCell ref="B21:J21"/>
    <mergeCell ref="B22:J22"/>
    <mergeCell ref="B23:J23"/>
    <mergeCell ref="B24:J24"/>
    <mergeCell ref="B25:J25"/>
    <mergeCell ref="B26:J26"/>
    <mergeCell ref="B27:J27"/>
    <mergeCell ref="B28:J28"/>
    <mergeCell ref="B29:J29"/>
    <mergeCell ref="B30:J30"/>
    <mergeCell ref="B31:J31"/>
    <mergeCell ref="B38:J38"/>
    <mergeCell ref="B39:J39"/>
    <mergeCell ref="B40:J40"/>
    <mergeCell ref="B32:J32"/>
    <mergeCell ref="B33:J33"/>
    <mergeCell ref="B34:J34"/>
    <mergeCell ref="B35:J35"/>
    <mergeCell ref="B36:J36"/>
    <mergeCell ref="B37:J3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0">
    <pageSetUpPr fitToPage="1"/>
  </sheetPr>
  <dimension ref="A1:I33"/>
  <sheetViews>
    <sheetView workbookViewId="0"/>
  </sheetViews>
  <sheetFormatPr baseColWidth="10" defaultColWidth="0" defaultRowHeight="13.8" zeroHeight="1" x14ac:dyDescent="0.25"/>
  <cols>
    <col min="1" max="1" width="4.44140625" style="109" customWidth="1"/>
    <col min="2" max="2" width="48.5546875" style="109" customWidth="1"/>
    <col min="3" max="3" width="15.5546875" style="109" customWidth="1"/>
    <col min="4" max="4" width="13.44140625" style="109" customWidth="1"/>
    <col min="5" max="5" width="17.44140625" style="109" bestFit="1" customWidth="1"/>
    <col min="6" max="6" width="13" style="109" bestFit="1" customWidth="1"/>
    <col min="7" max="7" width="17.44140625" style="109" bestFit="1" customWidth="1"/>
    <col min="8" max="8" width="13" style="109" bestFit="1" customWidth="1"/>
    <col min="9" max="9" width="4.5546875" style="109" customWidth="1"/>
    <col min="10" max="16384" width="11.44140625" style="109" hidden="1"/>
  </cols>
  <sheetData>
    <row r="1" spans="1:8" x14ac:dyDescent="0.25"/>
    <row r="2" spans="1:8" x14ac:dyDescent="0.25"/>
    <row r="3" spans="1:8" ht="27.75" customHeight="1" x14ac:dyDescent="0.25">
      <c r="B3" s="557" t="str">
        <f>+'AnVert. Resultados'!B3:F3</f>
        <v>K-LISTO</v>
      </c>
      <c r="C3" s="558"/>
      <c r="D3" s="558"/>
      <c r="E3" s="558"/>
      <c r="F3" s="558"/>
      <c r="G3" s="558"/>
      <c r="H3" s="559"/>
    </row>
    <row r="4" spans="1:8" x14ac:dyDescent="0.25">
      <c r="A4" s="80"/>
      <c r="B4" s="486" t="s">
        <v>588</v>
      </c>
      <c r="C4" s="487"/>
      <c r="D4" s="487"/>
      <c r="E4" s="487"/>
      <c r="F4" s="487"/>
      <c r="G4" s="487"/>
      <c r="H4" s="491"/>
    </row>
    <row r="5" spans="1:8" ht="14.4" thickBot="1" x14ac:dyDescent="0.3">
      <c r="A5" s="80"/>
      <c r="B5" s="252"/>
      <c r="C5" s="253"/>
      <c r="D5" s="253"/>
      <c r="E5" s="253"/>
      <c r="F5" s="254"/>
      <c r="G5" s="253"/>
      <c r="H5" s="254"/>
    </row>
    <row r="6" spans="1:8" x14ac:dyDescent="0.25">
      <c r="B6" s="125"/>
      <c r="C6" s="564" t="str">
        <f>+'AnHoriz Balance'!C6:D6</f>
        <v>2019 - 2018</v>
      </c>
      <c r="D6" s="565"/>
      <c r="E6" s="564" t="e">
        <f>+'AnHoriz Balance'!K6:L6</f>
        <v>#VALUE!</v>
      </c>
      <c r="F6" s="565"/>
      <c r="G6" s="564" t="e">
        <f>+'AnHoriz Balance'!K6:L6</f>
        <v>#VALUE!</v>
      </c>
      <c r="H6" s="565"/>
    </row>
    <row r="7" spans="1:8" x14ac:dyDescent="0.25">
      <c r="B7" s="130"/>
      <c r="C7" s="114" t="s">
        <v>585</v>
      </c>
      <c r="D7" s="114" t="s">
        <v>586</v>
      </c>
      <c r="E7" s="114" t="s">
        <v>585</v>
      </c>
      <c r="F7" s="114" t="s">
        <v>586</v>
      </c>
      <c r="G7" s="114" t="s">
        <v>585</v>
      </c>
      <c r="H7" s="114" t="s">
        <v>586</v>
      </c>
    </row>
    <row r="8" spans="1:8" x14ac:dyDescent="0.25">
      <c r="B8" s="119"/>
      <c r="C8" s="120"/>
      <c r="D8" s="120"/>
      <c r="E8" s="131"/>
      <c r="F8" s="120"/>
      <c r="G8" s="131"/>
      <c r="H8" s="120"/>
    </row>
    <row r="9" spans="1:8" x14ac:dyDescent="0.25">
      <c r="B9" s="127" t="str">
        <f>+'AnVert. Resultados'!B8</f>
        <v>Ventas (Ingresos operativos)</v>
      </c>
      <c r="C9" s="116">
        <f>+'Estado Resultados'!D8-'Estado Resultados'!C8</f>
        <v>2963326357</v>
      </c>
      <c r="D9" s="117">
        <f>+C9/'Estado Resultados'!C8</f>
        <v>0.33819435941394621</v>
      </c>
      <c r="E9" s="118" t="e">
        <f>+'Estado Resultados'!D8-'Estado Resultados'!B8</f>
        <v>#VALUE!</v>
      </c>
      <c r="F9" s="117" t="e">
        <f>+E9/'Estado Resultados'!B8</f>
        <v>#VALUE!</v>
      </c>
      <c r="G9" s="118">
        <f>+'Estado Resultados'!F8-'Estado Resultados'!D8</f>
        <v>10942963555</v>
      </c>
      <c r="H9" s="117">
        <f>+G9/'Estado Resultados'!D8</f>
        <v>0.93325996093508501</v>
      </c>
    </row>
    <row r="10" spans="1:8" x14ac:dyDescent="0.25">
      <c r="B10" s="121"/>
      <c r="C10" s="83"/>
      <c r="D10" s="108"/>
      <c r="E10" s="115"/>
      <c r="F10" s="108"/>
      <c r="G10" s="115"/>
      <c r="H10" s="108"/>
    </row>
    <row r="11" spans="1:8" x14ac:dyDescent="0.25">
      <c r="B11" s="121" t="str">
        <f>+'AnVert. Resultados'!B10</f>
        <v>Costo de ventas</v>
      </c>
      <c r="C11" s="83">
        <f>+'Estado Resultados'!D10-'Estado Resultados'!C10</f>
        <v>2051411120</v>
      </c>
      <c r="D11" s="108">
        <f>+C11/'Estado Resultados'!C10</f>
        <v>0.4559040783676559</v>
      </c>
      <c r="E11" s="115" t="e">
        <f>+'Estado Resultados'!D10-'Estado Resultados'!B10</f>
        <v>#VALUE!</v>
      </c>
      <c r="F11" s="108" t="e">
        <f>+E11/'Estado Resultados'!B10</f>
        <v>#VALUE!</v>
      </c>
      <c r="G11" s="115">
        <f>+'Estado Resultados'!F10-'Estado Resultados'!D10</f>
        <v>7371167215</v>
      </c>
      <c r="H11" s="108">
        <f>+G11/'Estado Resultados'!D10</f>
        <v>1.1251858775473451</v>
      </c>
    </row>
    <row r="12" spans="1:8" x14ac:dyDescent="0.25">
      <c r="B12" s="121"/>
      <c r="C12" s="83"/>
      <c r="D12" s="108"/>
      <c r="E12" s="115"/>
      <c r="F12" s="108"/>
      <c r="G12" s="115"/>
      <c r="H12" s="108"/>
    </row>
    <row r="13" spans="1:8" x14ac:dyDescent="0.25">
      <c r="B13" s="127" t="str">
        <f>+'AnVert. Resultados'!B12</f>
        <v>UTILIDAD BRUTA</v>
      </c>
      <c r="C13" s="116">
        <f>+'Estado Resultados'!D12-'Estado Resultados'!C12</f>
        <v>911915237</v>
      </c>
      <c r="D13" s="117">
        <f>+C13/'Estado Resultados'!C12</f>
        <v>0.2139368443814921</v>
      </c>
      <c r="E13" s="118" t="e">
        <f>+'Estado Resultados'!D12-'Estado Resultados'!B12</f>
        <v>#VALUE!</v>
      </c>
      <c r="F13" s="117" t="e">
        <f>+E13/'Estado Resultados'!B12</f>
        <v>#VALUE!</v>
      </c>
      <c r="G13" s="118">
        <f>+'Estado Resultados'!F12-'Estado Resultados'!D12</f>
        <v>3571796340</v>
      </c>
      <c r="H13" s="117">
        <f>+G13/'Estado Resultados'!D12</f>
        <v>0.69027430636196829</v>
      </c>
    </row>
    <row r="14" spans="1:8" x14ac:dyDescent="0.25">
      <c r="B14" s="121"/>
      <c r="C14" s="83"/>
      <c r="D14" s="108"/>
      <c r="E14" s="115"/>
      <c r="F14" s="108"/>
      <c r="G14" s="115"/>
      <c r="H14" s="108"/>
    </row>
    <row r="15" spans="1:8" x14ac:dyDescent="0.25">
      <c r="B15" s="121" t="str">
        <f>+'AnVert. Resultados'!B14</f>
        <v>Gastos de administración</v>
      </c>
      <c r="C15" s="83">
        <f>+'Estado Resultados'!D14-'Estado Resultados'!C14</f>
        <v>209364214.11927426</v>
      </c>
      <c r="D15" s="108">
        <f>+C15/'Estado Resultados'!C14</f>
        <v>0.21175216738251498</v>
      </c>
      <c r="E15" s="115" t="e">
        <f>+'Estado Resultados'!D14-'Estado Resultados'!B14</f>
        <v>#VALUE!</v>
      </c>
      <c r="F15" s="108" t="e">
        <f>+E15/'Estado Resultados'!B14</f>
        <v>#VALUE!</v>
      </c>
      <c r="G15" s="115">
        <f>+'Estado Resultados'!F14-'Estado Resultados'!D14</f>
        <v>546137970.1538589</v>
      </c>
      <c r="H15" s="108">
        <f>+G15/'Estado Resultados'!D14</f>
        <v>0.45584162449702886</v>
      </c>
    </row>
    <row r="16" spans="1:8" x14ac:dyDescent="0.25">
      <c r="B16" s="121" t="str">
        <f>+'AnVert. Resultados'!B15</f>
        <v>Gastos de ventas</v>
      </c>
      <c r="C16" s="83">
        <f>+'Estado Resultados'!D15-'Estado Resultados'!C15</f>
        <v>501263712.03362513</v>
      </c>
      <c r="D16" s="108">
        <f>+C16/'Estado Resultados'!C15</f>
        <v>0.21498266878766578</v>
      </c>
      <c r="E16" s="115" t="e">
        <f>+'Estado Resultados'!D15-'Estado Resultados'!B15</f>
        <v>#VALUE!</v>
      </c>
      <c r="F16" s="108" t="e">
        <f>+E16/'Estado Resultados'!B15</f>
        <v>#VALUE!</v>
      </c>
      <c r="G16" s="115">
        <f>+'Estado Resultados'!F15-'Estado Resultados'!D15</f>
        <v>1291358657.7168355</v>
      </c>
      <c r="H16" s="108">
        <f>+G16/'Estado Resultados'!D15</f>
        <v>0.45584162449702892</v>
      </c>
    </row>
    <row r="17" spans="2:8" x14ac:dyDescent="0.25">
      <c r="B17" s="121"/>
      <c r="C17" s="83"/>
      <c r="D17" s="108"/>
      <c r="E17" s="115"/>
      <c r="F17" s="108"/>
      <c r="G17" s="115"/>
      <c r="H17" s="108"/>
    </row>
    <row r="18" spans="2:8" x14ac:dyDescent="0.25">
      <c r="B18" s="127" t="str">
        <f>+'AnVert. Resultados'!B17</f>
        <v>UTILIDAD OPERATIVA (U.A.I.I)</v>
      </c>
      <c r="C18" s="116">
        <f>+'Estado Resultados'!D17-'Estado Resultados'!C17</f>
        <v>201287310.84710073</v>
      </c>
      <c r="D18" s="117">
        <f>+C18/'Estado Resultados'!C17</f>
        <v>0.21364130106205417</v>
      </c>
      <c r="E18" s="118" t="e">
        <f>+'Estado Resultados'!D17-'Estado Resultados'!B17</f>
        <v>#VALUE!</v>
      </c>
      <c r="F18" s="117" t="e">
        <f>+E18/'Estado Resultados'!B17</f>
        <v>#VALUE!</v>
      </c>
      <c r="G18" s="118">
        <f>+'Estado Resultados'!F17-'Estado Resultados'!D17</f>
        <v>1734299712.1293058</v>
      </c>
      <c r="H18" s="117">
        <f>+G18/'Estado Resultados'!D17</f>
        <v>1.5167102471336238</v>
      </c>
    </row>
    <row r="19" spans="2:8" x14ac:dyDescent="0.25">
      <c r="B19" s="121"/>
      <c r="C19" s="83"/>
      <c r="D19" s="108"/>
      <c r="E19" s="115"/>
      <c r="F19" s="108"/>
      <c r="G19" s="115"/>
      <c r="H19" s="108"/>
    </row>
    <row r="20" spans="2:8" x14ac:dyDescent="0.25">
      <c r="B20" s="121" t="str">
        <f>+'AnVert. Resultados'!B19</f>
        <v>Ingresos financieros</v>
      </c>
      <c r="C20" s="83">
        <f>+'Estado Resultados'!D19-'Estado Resultados'!C19</f>
        <v>33145638</v>
      </c>
      <c r="D20" s="108">
        <f>+C20/'Estado Resultados'!C19</f>
        <v>0.65163937278524042</v>
      </c>
      <c r="E20" s="115" t="e">
        <f>+'Estado Resultados'!D19-'Estado Resultados'!B19</f>
        <v>#VALUE!</v>
      </c>
      <c r="F20" s="108" t="e">
        <f>+E20/'Estado Resultados'!B19</f>
        <v>#VALUE!</v>
      </c>
      <c r="G20" s="115">
        <f>+'Estado Resultados'!F19-'Estado Resultados'!D19</f>
        <v>199703252</v>
      </c>
      <c r="H20" s="108">
        <f>+G20/'Estado Resultados'!D19</f>
        <v>2.3771185649817688</v>
      </c>
    </row>
    <row r="21" spans="2:8" x14ac:dyDescent="0.25">
      <c r="B21" s="121" t="str">
        <f>+'AnVert. Resultados'!B20</f>
        <v>Otros ingresos no operativos</v>
      </c>
      <c r="C21" s="83">
        <f>+'Estado Resultados'!D20-'Estado Resultados'!C20</f>
        <v>18652529</v>
      </c>
      <c r="D21" s="108">
        <f>+C21/'Estado Resultados'!C20</f>
        <v>0.10812442632987215</v>
      </c>
      <c r="E21" s="115" t="e">
        <f>+'Estado Resultados'!D20-'Estado Resultados'!B20</f>
        <v>#VALUE!</v>
      </c>
      <c r="F21" s="108" t="e">
        <f>+E21/'Estado Resultados'!B20</f>
        <v>#VALUE!</v>
      </c>
      <c r="G21" s="115">
        <f>+'Estado Resultados'!F20-'Estado Resultados'!D20</f>
        <v>-8500260</v>
      </c>
      <c r="H21" s="108">
        <f>+G21/'Estado Resultados'!D20</f>
        <v>-4.4466175126096852E-2</v>
      </c>
    </row>
    <row r="22" spans="2:8" x14ac:dyDescent="0.25">
      <c r="B22" s="121" t="str">
        <f>+'AnVert. Resultados'!B21</f>
        <v>Gastos financieros</v>
      </c>
      <c r="C22" s="83">
        <f>+'Estado Resultados'!D21-'Estado Resultados'!C21</f>
        <v>36974137.969952375</v>
      </c>
      <c r="D22" s="108">
        <f>+C22/'Estado Resultados'!C21</f>
        <v>0.21694699816158092</v>
      </c>
      <c r="E22" s="115" t="e">
        <f>+'Estado Resultados'!D21-'Estado Resultados'!B21</f>
        <v>#VALUE!</v>
      </c>
      <c r="F22" s="108" t="e">
        <f>+E22/'Estado Resultados'!B21</f>
        <v>#VALUE!</v>
      </c>
      <c r="G22" s="115">
        <f>+'Estado Resultados'!F21-'Estado Resultados'!D21</f>
        <v>94543147.271536529</v>
      </c>
      <c r="H22" s="108">
        <f>+G22/'Estado Resultados'!D21</f>
        <v>0.45584162449702892</v>
      </c>
    </row>
    <row r="23" spans="2:8" x14ac:dyDescent="0.25">
      <c r="B23" s="121" t="str">
        <f>+'AnVert. Resultados'!B22</f>
        <v>Otros egresos no operativos</v>
      </c>
      <c r="C23" s="83">
        <f>+'Estado Resultados'!D22-'Estado Resultados'!C22</f>
        <v>21945351.877149433</v>
      </c>
      <c r="D23" s="108">
        <f>+C23/'Estado Resultados'!C22</f>
        <v>0.17583189751141087</v>
      </c>
      <c r="E23" s="115" t="e">
        <f>+'Estado Resultados'!D22-'Estado Resultados'!B22</f>
        <v>#VALUE!</v>
      </c>
      <c r="F23" s="108" t="e">
        <f>+E23/'Estado Resultados'!B22</f>
        <v>#VALUE!</v>
      </c>
      <c r="G23" s="115">
        <f>+'Estado Resultados'!F22-'Estado Resultados'!D22</f>
        <v>66896608.857769191</v>
      </c>
      <c r="H23" s="108">
        <f>+G23/'Estado Resultados'!D22</f>
        <v>0.45584162449702886</v>
      </c>
    </row>
    <row r="24" spans="2:8" x14ac:dyDescent="0.25">
      <c r="B24" s="121"/>
      <c r="C24" s="83"/>
      <c r="D24" s="108"/>
      <c r="E24" s="115"/>
      <c r="F24" s="108"/>
      <c r="G24" s="115"/>
      <c r="H24" s="108"/>
    </row>
    <row r="25" spans="2:8" x14ac:dyDescent="0.25">
      <c r="B25" s="127" t="str">
        <f>+'AnVert. Resultados'!B24</f>
        <v>UTILIDAD ANTES DE IMPUESTOS (U.A.I)</v>
      </c>
      <c r="C25" s="116">
        <f>+'Estado Resultados'!D24-'Estado Resultados'!C24</f>
        <v>194165987.99999881</v>
      </c>
      <c r="D25" s="117">
        <f>+C25/'Estado Resultados'!C24</f>
        <v>0.22309956102504863</v>
      </c>
      <c r="E25" s="118" t="e">
        <f>+'Estado Resultados'!D24-'Estado Resultados'!B24</f>
        <v>#VALUE!</v>
      </c>
      <c r="F25" s="117" t="e">
        <f>+E25/'Estado Resultados'!B24</f>
        <v>#VALUE!</v>
      </c>
      <c r="G25" s="118">
        <f>+'Estado Resultados'!F24-'Estado Resultados'!D24</f>
        <v>1764062948</v>
      </c>
      <c r="H25" s="117">
        <f>+G25/'Estado Resultados'!D24</f>
        <v>1.657211073880255</v>
      </c>
    </row>
    <row r="26" spans="2:8" x14ac:dyDescent="0.25">
      <c r="B26" s="128"/>
      <c r="C26" s="132"/>
      <c r="D26" s="129"/>
      <c r="E26" s="133"/>
      <c r="F26" s="129"/>
      <c r="G26" s="133"/>
      <c r="H26" s="129"/>
    </row>
    <row r="27" spans="2:8" x14ac:dyDescent="0.25">
      <c r="B27" s="121" t="str">
        <f>+'AnVert. Resultados'!B26</f>
        <v>Provisión impuesto de renta</v>
      </c>
      <c r="C27" s="83">
        <f>+'Estado Resultados'!D26-'Estado Resultados'!C26</f>
        <v>59248585.213333726</v>
      </c>
      <c r="D27" s="108">
        <f>+C27/'Estado Resultados'!C26</f>
        <v>0.2090491410333726</v>
      </c>
      <c r="E27" s="115" t="e">
        <f>+'Estado Resultados'!D26-'Estado Resultados'!B26</f>
        <v>#VALUE!</v>
      </c>
      <c r="F27" s="108" t="e">
        <f>+E27/'Estado Resultados'!B26</f>
        <v>#VALUE!</v>
      </c>
      <c r="G27" s="115">
        <f>+'Estado Resultados'!F26-'Estado Resultados'!D26</f>
        <v>279015650</v>
      </c>
      <c r="H27" s="108">
        <f>+G27/'Estado Resultados'!D26</f>
        <v>0.81424483756872545</v>
      </c>
    </row>
    <row r="28" spans="2:8" x14ac:dyDescent="0.25">
      <c r="B28" s="128"/>
      <c r="C28" s="132"/>
      <c r="D28" s="129"/>
      <c r="E28" s="133"/>
      <c r="F28" s="129"/>
      <c r="G28" s="133"/>
      <c r="H28" s="129"/>
    </row>
    <row r="29" spans="2:8" x14ac:dyDescent="0.25">
      <c r="B29" s="127" t="str">
        <f>+'AnVert. Resultados'!B28</f>
        <v>UTILIDAD NETA</v>
      </c>
      <c r="C29" s="116">
        <f>+'Estado Resultados'!D28-'Estado Resultados'!C28</f>
        <v>134917402.78666508</v>
      </c>
      <c r="D29" s="117">
        <f>+C29/'Estado Resultados'!C28</f>
        <v>0.22988473624197772</v>
      </c>
      <c r="E29" s="118" t="e">
        <f>+'Estado Resultados'!D28-'Estado Resultados'!B28</f>
        <v>#VALUE!</v>
      </c>
      <c r="F29" s="117" t="e">
        <f>+E29/'Estado Resultados'!B28</f>
        <v>#VALUE!</v>
      </c>
      <c r="G29" s="118">
        <f>+'Estado Resultados'!F28-'Estado Resultados'!D28</f>
        <v>1485047298</v>
      </c>
      <c r="H29" s="117">
        <f>+G29/'Estado Resultados'!D28</f>
        <v>2.0573966967781701</v>
      </c>
    </row>
    <row r="31" spans="2:8" hidden="1" x14ac:dyDescent="0.25">
      <c r="B31" s="109" t="s">
        <v>589</v>
      </c>
      <c r="C31" s="229">
        <f t="shared" ref="C31:H31" si="0">MAX(C9:C29)</f>
        <v>2963326357</v>
      </c>
      <c r="D31" s="230">
        <f t="shared" si="0"/>
        <v>0.65163937278524042</v>
      </c>
      <c r="E31" s="229" t="e">
        <f t="shared" si="0"/>
        <v>#VALUE!</v>
      </c>
      <c r="F31" s="230" t="e">
        <f t="shared" si="0"/>
        <v>#VALUE!</v>
      </c>
      <c r="G31" s="229">
        <f t="shared" si="0"/>
        <v>10942963555</v>
      </c>
      <c r="H31" s="230">
        <f t="shared" si="0"/>
        <v>2.3771185649817688</v>
      </c>
    </row>
    <row r="32" spans="2:8" hidden="1" x14ac:dyDescent="0.25">
      <c r="B32" s="109" t="s">
        <v>590</v>
      </c>
      <c r="C32" s="229">
        <f>MIN(C9:C29)</f>
        <v>18652529</v>
      </c>
      <c r="D32" s="230">
        <f>MIN(D8:D29)</f>
        <v>0.10812442632987215</v>
      </c>
      <c r="E32" s="229" t="e">
        <f>MIN(E9:E29)</f>
        <v>#VALUE!</v>
      </c>
      <c r="F32" s="230" t="e">
        <f>MIN(F8:F29)</f>
        <v>#VALUE!</v>
      </c>
      <c r="G32" s="229">
        <f>MIN(G9:G29)</f>
        <v>-8500260</v>
      </c>
      <c r="H32" s="230">
        <f>MIN(H8:H29)</f>
        <v>-4.4466175126096852E-2</v>
      </c>
    </row>
    <row r="33" x14ac:dyDescent="0.25"/>
  </sheetData>
  <sheetProtection selectLockedCells="1" selectUnlockedCells="1"/>
  <mergeCells count="5">
    <mergeCell ref="C6:D6"/>
    <mergeCell ref="G6:H6"/>
    <mergeCell ref="B3:H3"/>
    <mergeCell ref="B4:H4"/>
    <mergeCell ref="E6:F6"/>
  </mergeCells>
  <conditionalFormatting sqref="C9:C29">
    <cfRule type="cellIs" dxfId="55" priority="11" stopIfTrue="1" operator="equal">
      <formula>$C$32</formula>
    </cfRule>
    <cfRule type="cellIs" dxfId="54" priority="12" stopIfTrue="1" operator="equal">
      <formula>$C$31</formula>
    </cfRule>
  </conditionalFormatting>
  <conditionalFormatting sqref="D9:D29">
    <cfRule type="cellIs" dxfId="53" priority="7" stopIfTrue="1" operator="equal">
      <formula>$D$32</formula>
    </cfRule>
    <cfRule type="cellIs" dxfId="52" priority="10" stopIfTrue="1" operator="equal">
      <formula>$D$31</formula>
    </cfRule>
  </conditionalFormatting>
  <conditionalFormatting sqref="G9:G29">
    <cfRule type="cellIs" dxfId="51" priority="6" stopIfTrue="1" operator="equal">
      <formula>$G$32</formula>
    </cfRule>
    <cfRule type="cellIs" dxfId="50" priority="9" stopIfTrue="1" operator="equal">
      <formula>$G$31</formula>
    </cfRule>
  </conditionalFormatting>
  <conditionalFormatting sqref="H9:H29">
    <cfRule type="cellIs" dxfId="49" priority="5" stopIfTrue="1" operator="equal">
      <formula>$H$32</formula>
    </cfRule>
    <cfRule type="cellIs" dxfId="48" priority="8" stopIfTrue="1" operator="equal">
      <formula>$H$31</formula>
    </cfRule>
  </conditionalFormatting>
  <conditionalFormatting sqref="E9:E29">
    <cfRule type="cellIs" dxfId="47" priority="2" stopIfTrue="1" operator="equal">
      <formula>$G$32</formula>
    </cfRule>
    <cfRule type="cellIs" dxfId="46" priority="4" stopIfTrue="1" operator="equal">
      <formula>$G$31</formula>
    </cfRule>
  </conditionalFormatting>
  <conditionalFormatting sqref="F9:F29">
    <cfRule type="cellIs" dxfId="45" priority="1" stopIfTrue="1" operator="equal">
      <formula>$H$32</formula>
    </cfRule>
    <cfRule type="cellIs" dxfId="44" priority="3" stopIfTrue="1" operator="equal">
      <formula>$H$31</formula>
    </cfRule>
  </conditionalFormatting>
  <printOptions horizontalCentered="1" verticalCentered="1"/>
  <pageMargins left="0.74803149606299213" right="0.74803149606299213" top="0.47244094488188981" bottom="0.68" header="0" footer="0"/>
  <pageSetup scale="75"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1:G51"/>
  <sheetViews>
    <sheetView workbookViewId="0"/>
  </sheetViews>
  <sheetFormatPr baseColWidth="10" defaultColWidth="0" defaultRowHeight="13.8" zeroHeight="1" x14ac:dyDescent="0.25"/>
  <cols>
    <col min="1" max="1" width="4.5546875" style="109" customWidth="1"/>
    <col min="2" max="2" width="58.5546875" style="109" bestFit="1" customWidth="1"/>
    <col min="3" max="3" width="14.5546875" style="109" customWidth="1"/>
    <col min="4" max="4" width="7.44140625" style="109" customWidth="1"/>
    <col min="5" max="5" width="14.5546875" style="109" customWidth="1"/>
    <col min="6" max="6" width="2.5546875" style="109" customWidth="1"/>
    <col min="7" max="7" width="4.5546875" style="109" customWidth="1"/>
    <col min="8" max="16384" width="11.44140625" style="109" hidden="1"/>
  </cols>
  <sheetData>
    <row r="1" spans="1:7" x14ac:dyDescent="0.25">
      <c r="A1" s="135"/>
      <c r="B1" s="135"/>
      <c r="C1" s="135"/>
      <c r="D1" s="135"/>
      <c r="E1" s="135"/>
      <c r="F1" s="135"/>
      <c r="G1" s="135"/>
    </row>
    <row r="2" spans="1:7" x14ac:dyDescent="0.25">
      <c r="A2" s="135"/>
      <c r="B2" s="135"/>
      <c r="C2" s="135"/>
      <c r="D2" s="135"/>
      <c r="E2" s="135"/>
      <c r="F2" s="135"/>
      <c r="G2" s="135"/>
    </row>
    <row r="3" spans="1:7" ht="25.2" customHeight="1" x14ac:dyDescent="0.25">
      <c r="A3" s="135"/>
      <c r="B3" s="566" t="str">
        <f>+'Estado Resultados'!B3:F3</f>
        <v>K-LISTO</v>
      </c>
      <c r="C3" s="567"/>
      <c r="D3" s="567"/>
      <c r="E3" s="567"/>
      <c r="F3" s="568"/>
      <c r="G3" s="135"/>
    </row>
    <row r="4" spans="1:7" ht="25.2" customHeight="1" x14ac:dyDescent="0.25">
      <c r="A4" s="135"/>
      <c r="B4" s="566" t="s">
        <v>591</v>
      </c>
      <c r="C4" s="567"/>
      <c r="D4" s="567"/>
      <c r="E4" s="567"/>
      <c r="F4" s="568"/>
      <c r="G4" s="135"/>
    </row>
    <row r="5" spans="1:7" x14ac:dyDescent="0.25">
      <c r="A5" s="135"/>
      <c r="B5" s="136"/>
      <c r="C5" s="135"/>
      <c r="D5" s="135"/>
      <c r="E5" s="135"/>
      <c r="F5" s="137"/>
      <c r="G5" s="135"/>
    </row>
    <row r="6" spans="1:7" x14ac:dyDescent="0.25">
      <c r="A6" s="135"/>
      <c r="B6" s="136"/>
      <c r="C6" s="138">
        <f>+'Resumen resultados'!D7</f>
        <v>2019</v>
      </c>
      <c r="D6" s="138"/>
      <c r="E6" s="138">
        <f>+'Resumen resultados'!H7</f>
        <v>2021</v>
      </c>
      <c r="F6" s="137"/>
      <c r="G6" s="135"/>
    </row>
    <row r="7" spans="1:7" x14ac:dyDescent="0.25">
      <c r="A7" s="135"/>
      <c r="B7" s="136"/>
      <c r="C7" s="135"/>
      <c r="D7" s="135"/>
      <c r="E7" s="135"/>
      <c r="F7" s="137"/>
      <c r="G7" s="135"/>
    </row>
    <row r="8" spans="1:7" x14ac:dyDescent="0.25">
      <c r="A8" s="135"/>
      <c r="B8" s="139" t="s">
        <v>592</v>
      </c>
      <c r="C8" s="140">
        <f>SUM(C9:C16)</f>
        <v>4595746915.2133341</v>
      </c>
      <c r="D8" s="135"/>
      <c r="E8" s="140">
        <f>SUM(E9:E16)</f>
        <v>4897324835.499999</v>
      </c>
      <c r="F8" s="141"/>
      <c r="G8" s="135"/>
    </row>
    <row r="9" spans="1:7" x14ac:dyDescent="0.25">
      <c r="A9" s="135"/>
      <c r="B9" s="136" t="str">
        <f>+Balance!B62</f>
        <v>Capital social</v>
      </c>
      <c r="C9" s="142">
        <f>+Balance!C62</f>
        <v>1000000000</v>
      </c>
      <c r="D9" s="135"/>
      <c r="E9" s="142">
        <f>+Balance!D62</f>
        <v>1000000000</v>
      </c>
      <c r="F9" s="143"/>
      <c r="G9" s="135"/>
    </row>
    <row r="10" spans="1:7" x14ac:dyDescent="0.25">
      <c r="A10" s="135"/>
      <c r="B10" s="136" t="str">
        <f>+Balance!B63</f>
        <v>Superávit de capital</v>
      </c>
      <c r="C10" s="142">
        <f>+Balance!C63</f>
        <v>0</v>
      </c>
      <c r="D10" s="135"/>
      <c r="E10" s="142">
        <f>+Balance!D63</f>
        <v>0</v>
      </c>
      <c r="F10" s="143"/>
      <c r="G10" s="135"/>
    </row>
    <row r="11" spans="1:7" x14ac:dyDescent="0.25">
      <c r="A11" s="135"/>
      <c r="B11" s="136" t="str">
        <f>+Balance!B64</f>
        <v>Reservas</v>
      </c>
      <c r="C11" s="142">
        <f>+Balance!C64</f>
        <v>118776768</v>
      </c>
      <c r="D11" s="135"/>
      <c r="E11" s="142">
        <f>+Balance!D64</f>
        <v>221041718</v>
      </c>
      <c r="F11" s="143"/>
      <c r="G11" s="135"/>
    </row>
    <row r="12" spans="1:7" x14ac:dyDescent="0.25">
      <c r="A12" s="135"/>
      <c r="B12" s="136" t="str">
        <f>+Balance!B65</f>
        <v>Revalorización del patrimonio</v>
      </c>
      <c r="C12" s="142">
        <f>+Balance!C65</f>
        <v>0</v>
      </c>
      <c r="D12" s="135"/>
      <c r="E12" s="142">
        <f>+Balance!D65</f>
        <v>0</v>
      </c>
      <c r="F12" s="143"/>
      <c r="G12" s="135"/>
    </row>
    <row r="13" spans="1:7" x14ac:dyDescent="0.25">
      <c r="A13" s="135"/>
      <c r="B13" s="136" t="str">
        <f>+Balance!B66</f>
        <v>Resultados del ejercicio</v>
      </c>
      <c r="C13" s="142">
        <f>+Balance!C66</f>
        <v>586891522.21333396</v>
      </c>
      <c r="D13" s="135"/>
      <c r="E13" s="142">
        <f>+Balance!D66</f>
        <v>721808924.99999905</v>
      </c>
      <c r="F13" s="143"/>
      <c r="G13" s="135"/>
    </row>
    <row r="14" spans="1:7" x14ac:dyDescent="0.25">
      <c r="A14" s="135"/>
      <c r="B14" s="136" t="str">
        <f>+Balance!B67</f>
        <v>Resultado de ejercicios anteriores</v>
      </c>
      <c r="C14" s="142">
        <f>+Balance!C67</f>
        <v>1328070548</v>
      </c>
      <c r="D14" s="135"/>
      <c r="E14" s="142">
        <f>+Balance!D67</f>
        <v>1392466115</v>
      </c>
      <c r="F14" s="143"/>
      <c r="G14" s="135"/>
    </row>
    <row r="15" spans="1:7" x14ac:dyDescent="0.25">
      <c r="A15" s="135"/>
      <c r="B15" s="136" t="str">
        <f>+Balance!B68</f>
        <v>Superávit por valorización</v>
      </c>
      <c r="C15" s="142">
        <f>+Balance!C68</f>
        <v>1562008077</v>
      </c>
      <c r="D15" s="135"/>
      <c r="E15" s="142">
        <f>+Balance!D68</f>
        <v>1562008077.5</v>
      </c>
      <c r="F15" s="143"/>
      <c r="G15" s="135"/>
    </row>
    <row r="16" spans="1:7" x14ac:dyDescent="0.25">
      <c r="A16" s="135"/>
      <c r="B16" s="136" t="str">
        <f>+Balance!B69</f>
        <v>Otras cuentas de patrimonio</v>
      </c>
      <c r="C16" s="142">
        <f>+Balance!C69</f>
        <v>0</v>
      </c>
      <c r="D16" s="135"/>
      <c r="E16" s="142">
        <f>+Balance!D69</f>
        <v>0</v>
      </c>
      <c r="F16" s="143"/>
      <c r="G16" s="135"/>
    </row>
    <row r="17" spans="1:7" x14ac:dyDescent="0.25">
      <c r="A17" s="135"/>
      <c r="B17" s="136"/>
      <c r="C17" s="142"/>
      <c r="D17" s="135"/>
      <c r="E17" s="142"/>
      <c r="F17" s="141"/>
      <c r="G17" s="135"/>
    </row>
    <row r="18" spans="1:7" x14ac:dyDescent="0.25">
      <c r="A18" s="135"/>
      <c r="B18" s="139" t="s">
        <v>593</v>
      </c>
      <c r="C18" s="140">
        <f>SUM(C19:C26)</f>
        <v>1308700447.7133331</v>
      </c>
      <c r="D18" s="135"/>
      <c r="E18" s="140">
        <f>SUM(E19:E26)</f>
        <v>2928665148.4999981</v>
      </c>
      <c r="F18" s="141"/>
      <c r="G18" s="135"/>
    </row>
    <row r="19" spans="1:7" x14ac:dyDescent="0.25">
      <c r="A19" s="135"/>
      <c r="B19" s="136" t="str">
        <f>+B9</f>
        <v>Capital social</v>
      </c>
      <c r="C19" s="142">
        <f>IF(C39&gt;C9,C39-C9,0)</f>
        <v>0</v>
      </c>
      <c r="D19" s="135"/>
      <c r="E19" s="142">
        <f>IF(E39&gt;E9,E39-E9,0)</f>
        <v>0</v>
      </c>
      <c r="F19" s="141"/>
      <c r="G19" s="135"/>
    </row>
    <row r="20" spans="1:7" x14ac:dyDescent="0.25">
      <c r="A20" s="135"/>
      <c r="B20" s="136" t="str">
        <f t="shared" ref="B20:B26" si="0">+B10</f>
        <v>Superávit de capital</v>
      </c>
      <c r="C20" s="142">
        <f>IF(C40&gt;C10,C40-C10,0)</f>
        <v>0</v>
      </c>
      <c r="D20" s="135"/>
      <c r="E20" s="142">
        <f>IF(E40&gt;E10,E40-E10,0)</f>
        <v>0</v>
      </c>
      <c r="F20" s="141"/>
      <c r="G20" s="135"/>
    </row>
    <row r="21" spans="1:7" x14ac:dyDescent="0.25">
      <c r="A21" s="135"/>
      <c r="B21" s="136" t="str">
        <f t="shared" si="0"/>
        <v>Reservas</v>
      </c>
      <c r="C21" s="142">
        <f>IF(C41&gt;C11,C41-C11,0)</f>
        <v>102264950</v>
      </c>
      <c r="D21" s="135"/>
      <c r="E21" s="142">
        <f>IF(E41&gt;E11,E41-E11,0)</f>
        <v>65009985</v>
      </c>
      <c r="F21" s="141"/>
      <c r="G21" s="135"/>
    </row>
    <row r="22" spans="1:7" x14ac:dyDescent="0.25">
      <c r="A22" s="135"/>
      <c r="B22" s="136" t="str">
        <f t="shared" si="0"/>
        <v>Revalorización del patrimonio</v>
      </c>
      <c r="C22" s="142">
        <f>IF(C42&gt;C12,C42-C12,0)</f>
        <v>0</v>
      </c>
      <c r="D22" s="135"/>
      <c r="E22" s="142">
        <f>IF(E42&gt;E12,E42-E12,0)</f>
        <v>0</v>
      </c>
      <c r="F22" s="141"/>
      <c r="G22" s="135"/>
    </row>
    <row r="23" spans="1:7" x14ac:dyDescent="0.25">
      <c r="A23" s="135"/>
      <c r="B23" s="136" t="str">
        <f t="shared" si="0"/>
        <v>Resultados del ejercicio</v>
      </c>
      <c r="C23" s="142">
        <f>+'Estado Resultados'!D28-C21</f>
        <v>619543974.99999905</v>
      </c>
      <c r="D23" s="135"/>
      <c r="E23" s="142">
        <f>+'Estado Resultados'!F28-E21</f>
        <v>2141846237.999999</v>
      </c>
      <c r="F23" s="141"/>
      <c r="G23" s="135"/>
    </row>
    <row r="24" spans="1:7" x14ac:dyDescent="0.25">
      <c r="A24" s="135"/>
      <c r="B24" s="136" t="str">
        <f t="shared" si="0"/>
        <v>Resultado de ejercicios anteriores</v>
      </c>
      <c r="C24" s="142">
        <f>+C13</f>
        <v>586891522.21333396</v>
      </c>
      <c r="D24" s="135"/>
      <c r="E24" s="142">
        <f>+E13</f>
        <v>721808924.99999905</v>
      </c>
      <c r="F24" s="141"/>
      <c r="G24" s="135"/>
    </row>
    <row r="25" spans="1:7" x14ac:dyDescent="0.25">
      <c r="A25" s="135"/>
      <c r="B25" s="136" t="str">
        <f t="shared" si="0"/>
        <v>Superávit por valorización</v>
      </c>
      <c r="C25" s="142">
        <f>IF(C45&gt;C15,C45-C15,0)</f>
        <v>0.5</v>
      </c>
      <c r="D25" s="135"/>
      <c r="E25" s="142">
        <f>IF(E45&gt;E15,E45-E15,0)</f>
        <v>0.5</v>
      </c>
      <c r="F25" s="141"/>
      <c r="G25" s="135"/>
    </row>
    <row r="26" spans="1:7" x14ac:dyDescent="0.25">
      <c r="A26" s="135"/>
      <c r="B26" s="136" t="str">
        <f t="shared" si="0"/>
        <v>Otras cuentas de patrimonio</v>
      </c>
      <c r="C26" s="142">
        <f>IF(C46&gt;C16,C46-C16,0)</f>
        <v>0</v>
      </c>
      <c r="D26" s="135"/>
      <c r="E26" s="142">
        <f>IF(E46&gt;E16,E46-E16,0)</f>
        <v>0</v>
      </c>
      <c r="F26" s="141"/>
      <c r="G26" s="135"/>
    </row>
    <row r="27" spans="1:7" x14ac:dyDescent="0.25">
      <c r="A27" s="135"/>
      <c r="B27" s="136"/>
      <c r="C27" s="142"/>
      <c r="D27" s="135"/>
      <c r="E27" s="142"/>
      <c r="F27" s="141"/>
      <c r="G27" s="135"/>
    </row>
    <row r="28" spans="1:7" x14ac:dyDescent="0.25">
      <c r="A28" s="135"/>
      <c r="B28" s="139" t="s">
        <v>594</v>
      </c>
      <c r="C28" s="140">
        <f>SUM(C29:C36)</f>
        <v>1007122527.426668</v>
      </c>
      <c r="D28" s="135"/>
      <c r="E28" s="140">
        <f>SUM(E29:E36)</f>
        <v>-622812856.00000191</v>
      </c>
      <c r="F28" s="141"/>
      <c r="G28" s="135"/>
    </row>
    <row r="29" spans="1:7" x14ac:dyDescent="0.25">
      <c r="A29" s="135"/>
      <c r="B29" s="136" t="str">
        <f t="shared" ref="B29:B36" si="1">+B19</f>
        <v>Capital social</v>
      </c>
      <c r="C29" s="142">
        <f>IF(C9&gt;C39,C9-C39,0)</f>
        <v>0</v>
      </c>
      <c r="D29" s="135"/>
      <c r="E29" s="142">
        <f>IF(E9&gt;E39,E9-E39,0)</f>
        <v>0</v>
      </c>
      <c r="F29" s="141"/>
      <c r="G29" s="135"/>
    </row>
    <row r="30" spans="1:7" x14ac:dyDescent="0.25">
      <c r="A30" s="135"/>
      <c r="B30" s="136" t="str">
        <f t="shared" si="1"/>
        <v>Superávit de capital</v>
      </c>
      <c r="C30" s="142">
        <f>IF(C10&gt;C40,C10-C40,0)</f>
        <v>0</v>
      </c>
      <c r="D30" s="135"/>
      <c r="E30" s="142">
        <f>IF(E10&gt;E40,E10-E40,0)</f>
        <v>0</v>
      </c>
      <c r="F30" s="141"/>
      <c r="G30" s="135"/>
    </row>
    <row r="31" spans="1:7" x14ac:dyDescent="0.25">
      <c r="A31" s="135"/>
      <c r="B31" s="136" t="str">
        <f t="shared" si="1"/>
        <v>Reservas</v>
      </c>
      <c r="C31" s="142">
        <f>IF(C11&gt;C41,C11-C41,0)</f>
        <v>0</v>
      </c>
      <c r="D31" s="135"/>
      <c r="E31" s="142">
        <f>IF(E11&gt;E41,E11-E41,0)</f>
        <v>0</v>
      </c>
      <c r="F31" s="141"/>
      <c r="G31" s="135"/>
    </row>
    <row r="32" spans="1:7" x14ac:dyDescent="0.25">
      <c r="A32" s="135"/>
      <c r="B32" s="136" t="str">
        <f t="shared" si="1"/>
        <v>Revalorización del patrimonio</v>
      </c>
      <c r="C32" s="142">
        <f>IF(C12&gt;C42,C12-C42,0)</f>
        <v>0</v>
      </c>
      <c r="D32" s="135"/>
      <c r="E32" s="142">
        <f>IF(E12&gt;E42,E12-E42,0)</f>
        <v>0</v>
      </c>
      <c r="F32" s="141"/>
      <c r="G32" s="135"/>
    </row>
    <row r="33" spans="1:7" x14ac:dyDescent="0.25">
      <c r="A33" s="135"/>
      <c r="B33" s="136" t="str">
        <f t="shared" si="1"/>
        <v>Resultados del ejercicio</v>
      </c>
      <c r="C33" s="142">
        <f>+C24-C21</f>
        <v>484626572.21333396</v>
      </c>
      <c r="D33" s="135"/>
      <c r="E33" s="142">
        <f>+E24-E21</f>
        <v>656798939.99999905</v>
      </c>
      <c r="F33" s="141"/>
      <c r="G33" s="135"/>
    </row>
    <row r="34" spans="1:7" x14ac:dyDescent="0.25">
      <c r="A34" s="135"/>
      <c r="B34" s="136" t="str">
        <f t="shared" si="1"/>
        <v>Resultado de ejercicios anteriores</v>
      </c>
      <c r="C34" s="142">
        <f>+C14+C24-C44</f>
        <v>522495955.21333408</v>
      </c>
      <c r="D34" s="135"/>
      <c r="E34" s="142">
        <f>+E14+E24-E44</f>
        <v>-1279611796.000001</v>
      </c>
      <c r="F34" s="141"/>
      <c r="G34" s="135"/>
    </row>
    <row r="35" spans="1:7" x14ac:dyDescent="0.25">
      <c r="A35" s="135"/>
      <c r="B35" s="136" t="str">
        <f t="shared" si="1"/>
        <v>Superávit por valorización</v>
      </c>
      <c r="C35" s="142">
        <f>IF(C15&gt;C45,C15-C45,0)</f>
        <v>0</v>
      </c>
      <c r="D35" s="135"/>
      <c r="E35" s="142">
        <f>IF(E15&gt;E45,E15-E45,0)</f>
        <v>0</v>
      </c>
      <c r="F35" s="141"/>
      <c r="G35" s="135"/>
    </row>
    <row r="36" spans="1:7" x14ac:dyDescent="0.25">
      <c r="A36" s="135"/>
      <c r="B36" s="136" t="str">
        <f t="shared" si="1"/>
        <v>Otras cuentas de patrimonio</v>
      </c>
      <c r="C36" s="142">
        <f>IF(C16&gt;C46,C16-C46,0)</f>
        <v>0</v>
      </c>
      <c r="D36" s="135"/>
      <c r="E36" s="142">
        <f>IF(E16&gt;E46,E16-E46,0)</f>
        <v>0</v>
      </c>
      <c r="F36" s="141"/>
      <c r="G36" s="135"/>
    </row>
    <row r="37" spans="1:7" x14ac:dyDescent="0.25">
      <c r="A37" s="135"/>
      <c r="B37" s="136"/>
      <c r="C37" s="142"/>
      <c r="D37" s="135"/>
      <c r="E37" s="142"/>
      <c r="F37" s="141"/>
      <c r="G37" s="135"/>
    </row>
    <row r="38" spans="1:7" x14ac:dyDescent="0.25">
      <c r="A38" s="135"/>
      <c r="B38" s="139" t="s">
        <v>595</v>
      </c>
      <c r="C38" s="140">
        <f>SUM(C39:C46)</f>
        <v>4897324835.499999</v>
      </c>
      <c r="D38" s="135"/>
      <c r="E38" s="140">
        <f>SUM(E39:E46)</f>
        <v>8448802839.499999</v>
      </c>
      <c r="F38" s="141"/>
      <c r="G38" s="135"/>
    </row>
    <row r="39" spans="1:7" x14ac:dyDescent="0.25">
      <c r="A39" s="135"/>
      <c r="B39" s="136" t="str">
        <f t="shared" ref="B39:B46" si="2">+B29</f>
        <v>Capital social</v>
      </c>
      <c r="C39" s="142">
        <f>+E9</f>
        <v>1000000000</v>
      </c>
      <c r="D39" s="135"/>
      <c r="E39" s="142">
        <f>+Balance!F62</f>
        <v>1000000000</v>
      </c>
      <c r="F39" s="141"/>
      <c r="G39" s="135"/>
    </row>
    <row r="40" spans="1:7" x14ac:dyDescent="0.25">
      <c r="A40" s="135"/>
      <c r="B40" s="136" t="str">
        <f t="shared" si="2"/>
        <v>Superávit de capital</v>
      </c>
      <c r="C40" s="142">
        <f t="shared" ref="C40:C46" si="3">+E10</f>
        <v>0</v>
      </c>
      <c r="D40" s="135"/>
      <c r="E40" s="142">
        <f>+Balance!F63</f>
        <v>0</v>
      </c>
      <c r="F40" s="141"/>
      <c r="G40" s="135"/>
    </row>
    <row r="41" spans="1:7" x14ac:dyDescent="0.25">
      <c r="A41" s="135"/>
      <c r="B41" s="136" t="str">
        <f t="shared" si="2"/>
        <v>Reservas</v>
      </c>
      <c r="C41" s="142">
        <f t="shared" si="3"/>
        <v>221041718</v>
      </c>
      <c r="D41" s="135"/>
      <c r="E41" s="142">
        <f>+Balance!F64</f>
        <v>286051703</v>
      </c>
      <c r="F41" s="141"/>
      <c r="G41" s="135"/>
    </row>
    <row r="42" spans="1:7" x14ac:dyDescent="0.25">
      <c r="A42" s="135"/>
      <c r="B42" s="136" t="str">
        <f t="shared" si="2"/>
        <v>Revalorización del patrimonio</v>
      </c>
      <c r="C42" s="142">
        <f t="shared" si="3"/>
        <v>0</v>
      </c>
      <c r="D42" s="135"/>
      <c r="E42" s="142">
        <f>+Balance!F65</f>
        <v>0</v>
      </c>
      <c r="F42" s="141"/>
      <c r="G42" s="135"/>
    </row>
    <row r="43" spans="1:7" x14ac:dyDescent="0.25">
      <c r="A43" s="135"/>
      <c r="B43" s="136" t="str">
        <f t="shared" si="2"/>
        <v>Resultados del ejercicio</v>
      </c>
      <c r="C43" s="142">
        <f t="shared" si="3"/>
        <v>721808924.99999905</v>
      </c>
      <c r="D43" s="135"/>
      <c r="E43" s="142">
        <f>+Balance!F66</f>
        <v>2206856222.499999</v>
      </c>
      <c r="F43" s="141"/>
      <c r="G43" s="135"/>
    </row>
    <row r="44" spans="1:7" x14ac:dyDescent="0.25">
      <c r="A44" s="135"/>
      <c r="B44" s="136" t="str">
        <f t="shared" si="2"/>
        <v>Resultado de ejercicios anteriores</v>
      </c>
      <c r="C44" s="142">
        <f t="shared" si="3"/>
        <v>1392466115</v>
      </c>
      <c r="D44" s="135"/>
      <c r="E44" s="142">
        <f>+Balance!F67</f>
        <v>3393886836</v>
      </c>
      <c r="F44" s="141"/>
      <c r="G44" s="135"/>
    </row>
    <row r="45" spans="1:7" x14ac:dyDescent="0.25">
      <c r="A45" s="135"/>
      <c r="B45" s="136" t="str">
        <f t="shared" si="2"/>
        <v>Superávit por valorización</v>
      </c>
      <c r="C45" s="142">
        <f t="shared" si="3"/>
        <v>1562008077.5</v>
      </c>
      <c r="D45" s="135"/>
      <c r="E45" s="142">
        <f>+Balance!F68</f>
        <v>1562008078</v>
      </c>
      <c r="F45" s="141"/>
      <c r="G45" s="135"/>
    </row>
    <row r="46" spans="1:7" x14ac:dyDescent="0.25">
      <c r="A46" s="135"/>
      <c r="B46" s="136" t="str">
        <f t="shared" si="2"/>
        <v>Otras cuentas de patrimonio</v>
      </c>
      <c r="C46" s="142">
        <f t="shared" si="3"/>
        <v>0</v>
      </c>
      <c r="D46" s="135"/>
      <c r="E46" s="142">
        <f>+Balance!F69</f>
        <v>0</v>
      </c>
      <c r="F46" s="141"/>
      <c r="G46" s="135"/>
    </row>
    <row r="47" spans="1:7" x14ac:dyDescent="0.25">
      <c r="A47" s="135"/>
      <c r="B47" s="144"/>
      <c r="C47" s="145"/>
      <c r="D47" s="145"/>
      <c r="E47" s="145"/>
      <c r="F47" s="146"/>
      <c r="G47" s="135"/>
    </row>
    <row r="48" spans="1:7" hidden="1" x14ac:dyDescent="0.25">
      <c r="A48" s="135"/>
      <c r="B48" s="135"/>
      <c r="C48" s="135"/>
      <c r="D48" s="135"/>
      <c r="E48" s="135"/>
      <c r="F48" s="135"/>
      <c r="G48" s="135"/>
    </row>
    <row r="49" spans="1:7" hidden="1" x14ac:dyDescent="0.25">
      <c r="A49" s="135"/>
      <c r="B49" s="135"/>
      <c r="C49" s="142">
        <f>+C8+C18-C28</f>
        <v>4897324835.499999</v>
      </c>
      <c r="D49" s="135"/>
      <c r="E49" s="142">
        <f>+E8+E18-E28</f>
        <v>8448802839.999999</v>
      </c>
      <c r="F49" s="135"/>
      <c r="G49" s="135"/>
    </row>
    <row r="50" spans="1:7" x14ac:dyDescent="0.25">
      <c r="A50" s="135"/>
      <c r="B50" s="135"/>
      <c r="C50" s="142">
        <f>+C38-C49</f>
        <v>0</v>
      </c>
      <c r="D50" s="135"/>
      <c r="E50" s="142">
        <f>+E38-E49</f>
        <v>-0.5</v>
      </c>
      <c r="F50" s="135"/>
      <c r="G50" s="135"/>
    </row>
    <row r="51" spans="1:7" hidden="1" x14ac:dyDescent="0.25">
      <c r="A51" s="135"/>
      <c r="B51" s="135"/>
      <c r="C51" s="135"/>
      <c r="D51" s="135"/>
      <c r="E51" s="135"/>
      <c r="F51" s="135"/>
      <c r="G51" s="135"/>
    </row>
  </sheetData>
  <sheetProtection password="F0F6" sheet="1" selectLockedCells="1" selectUnlockedCells="1"/>
  <mergeCells count="2">
    <mergeCell ref="B3:F3"/>
    <mergeCell ref="B4:F4"/>
  </mergeCells>
  <printOptions horizontalCentered="1"/>
  <pageMargins left="0.35433070866141736" right="0.31496062992125984" top="0.74803149606299213" bottom="0.74803149606299213" header="0.31496062992125984" footer="0.31496062992125984"/>
  <pageSetup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26393-6BF9-4E78-8051-446EC4A142A4}">
  <sheetPr codeName="Hoja22"/>
  <dimension ref="A1:N48"/>
  <sheetViews>
    <sheetView showGridLines="0" zoomScale="70" zoomScaleNormal="70" workbookViewId="0"/>
  </sheetViews>
  <sheetFormatPr baseColWidth="10" defaultColWidth="0" defaultRowHeight="14.4" zeroHeight="1" x14ac:dyDescent="0.35"/>
  <cols>
    <col min="1" max="1" width="4.109375" customWidth="1"/>
    <col min="2" max="2" width="32.109375" bestFit="1" customWidth="1"/>
    <col min="3" max="3" width="14.109375" bestFit="1" customWidth="1"/>
    <col min="4" max="4" width="6.109375" customWidth="1"/>
    <col min="5" max="5" width="13" bestFit="1" customWidth="1"/>
    <col min="6" max="6" width="5.109375" customWidth="1"/>
    <col min="7" max="7" width="13" bestFit="1" customWidth="1"/>
    <col min="8" max="8" width="5.5546875" customWidth="1"/>
    <col min="9" max="9" width="13" bestFit="1" customWidth="1"/>
    <col min="10" max="10" width="5" customWidth="1"/>
    <col min="11" max="11" width="15.33203125" bestFit="1" customWidth="1"/>
    <col min="12" max="12" width="4.44140625" customWidth="1"/>
    <col min="13" max="13" width="15.33203125" bestFit="1" customWidth="1"/>
    <col min="14" max="14" width="11.5546875" customWidth="1"/>
    <col min="15" max="16384" width="11.5546875" hidden="1"/>
  </cols>
  <sheetData>
    <row r="1" spans="1:13" ht="15" customHeight="1" x14ac:dyDescent="0.35">
      <c r="A1" s="151"/>
      <c r="B1" s="151"/>
      <c r="C1" s="152"/>
      <c r="D1" s="152"/>
      <c r="E1" s="152"/>
      <c r="F1" s="152"/>
      <c r="G1" s="152"/>
      <c r="H1" s="152"/>
      <c r="I1" s="1"/>
      <c r="J1" s="1"/>
      <c r="K1" s="1"/>
    </row>
    <row r="2" spans="1:13" ht="15" customHeight="1" x14ac:dyDescent="0.35">
      <c r="A2" s="151"/>
      <c r="B2" s="151"/>
      <c r="C2" s="152"/>
      <c r="D2" s="152"/>
      <c r="E2" s="152"/>
      <c r="F2" s="152"/>
      <c r="G2" s="152"/>
      <c r="H2" s="152"/>
      <c r="I2" s="1"/>
      <c r="J2" s="1"/>
      <c r="K2" s="1"/>
    </row>
    <row r="3" spans="1:13" ht="16.2" x14ac:dyDescent="0.35">
      <c r="A3" s="151"/>
      <c r="B3" s="569" t="str">
        <f>+'Cambios Patrimonio'!B3</f>
        <v>K-LISTO</v>
      </c>
      <c r="C3" s="570"/>
      <c r="D3" s="570"/>
      <c r="E3" s="570"/>
      <c r="F3" s="570"/>
      <c r="G3" s="570"/>
      <c r="H3" s="570"/>
      <c r="I3" s="570"/>
      <c r="J3" s="570"/>
      <c r="K3" s="570"/>
      <c r="L3" s="570"/>
      <c r="M3" s="570"/>
    </row>
    <row r="4" spans="1:13" ht="16.2" x14ac:dyDescent="0.35">
      <c r="A4" s="151"/>
      <c r="B4" s="569" t="s">
        <v>591</v>
      </c>
      <c r="C4" s="570"/>
      <c r="D4" s="570"/>
      <c r="E4" s="570"/>
      <c r="F4" s="570"/>
      <c r="G4" s="570"/>
      <c r="H4" s="570"/>
      <c r="I4" s="570"/>
      <c r="J4" s="570"/>
      <c r="K4" s="570"/>
      <c r="L4" s="570"/>
      <c r="M4" s="570"/>
    </row>
    <row r="5" spans="1:13" ht="16.2" x14ac:dyDescent="0.35">
      <c r="A5" s="151"/>
      <c r="B5" s="153"/>
      <c r="C5" s="153"/>
      <c r="D5" s="153"/>
      <c r="E5" s="153"/>
      <c r="F5" s="153"/>
      <c r="G5" s="153"/>
      <c r="H5" s="152"/>
      <c r="I5" s="1"/>
      <c r="J5" s="1"/>
      <c r="K5" s="1"/>
    </row>
    <row r="6" spans="1:13" s="427" customFormat="1" x14ac:dyDescent="0.35">
      <c r="C6" s="427">
        <f>+'Estados y analisis'!D5</f>
        <v>2019</v>
      </c>
      <c r="E6" s="427">
        <f>+'Estados y analisis'!E5</f>
        <v>2020</v>
      </c>
      <c r="G6" s="427">
        <f>+'Estados y analisis'!F5</f>
        <v>2021</v>
      </c>
      <c r="I6" s="427">
        <f>+'Estados y analisis'!G5</f>
        <v>2022</v>
      </c>
      <c r="K6" s="427">
        <f>+'Estados y analisis'!H5</f>
        <v>2023</v>
      </c>
      <c r="M6" s="427" t="s">
        <v>596</v>
      </c>
    </row>
    <row r="7" spans="1:13" s="427" customFormat="1" x14ac:dyDescent="0.35">
      <c r="C7" s="428"/>
      <c r="D7" s="428"/>
      <c r="E7" s="428"/>
      <c r="F7" s="428"/>
      <c r="G7" s="428"/>
      <c r="H7" s="428"/>
      <c r="I7" s="428"/>
      <c r="J7" s="428"/>
      <c r="K7" s="428"/>
      <c r="L7" s="428"/>
    </row>
    <row r="8" spans="1:13" s="427" customFormat="1" x14ac:dyDescent="0.35">
      <c r="B8" s="427" t="s">
        <v>592</v>
      </c>
      <c r="C8" s="430">
        <f>SUM(C9:C16)</f>
        <v>4595746915.2133341</v>
      </c>
      <c r="E8" s="430">
        <f>SUM(E9:E16)</f>
        <v>4897324835.499999</v>
      </c>
      <c r="G8" s="430">
        <f>SUM(G9:G16)</f>
        <v>7848700441.5</v>
      </c>
      <c r="I8" s="430">
        <f>SUM(I9:I16)</f>
        <v>8448802839.999999</v>
      </c>
      <c r="K8" s="430">
        <f>SUM(K9:K16)</f>
        <v>8881040067.7304974</v>
      </c>
      <c r="M8" s="430">
        <f>SUM(M9:M16)</f>
        <v>4595746915.2133341</v>
      </c>
    </row>
    <row r="9" spans="1:13" x14ac:dyDescent="0.35">
      <c r="B9" s="429" t="s">
        <v>102</v>
      </c>
      <c r="C9" s="1">
        <f>+'Estados y analisis'!C53</f>
        <v>1000000000</v>
      </c>
      <c r="E9" s="1">
        <f>+C39</f>
        <v>1000000000</v>
      </c>
      <c r="G9" s="1">
        <f>+E39</f>
        <v>1000000000</v>
      </c>
      <c r="I9" s="1">
        <f>+G39</f>
        <v>1000000000</v>
      </c>
      <c r="K9" s="1">
        <f>+I39</f>
        <v>1000000000</v>
      </c>
      <c r="M9" s="1">
        <f>+C9</f>
        <v>1000000000</v>
      </c>
    </row>
    <row r="10" spans="1:13" x14ac:dyDescent="0.35">
      <c r="B10" s="429" t="s">
        <v>103</v>
      </c>
      <c r="C10" s="1">
        <f>+'Estados y analisis'!C54</f>
        <v>0</v>
      </c>
      <c r="E10" s="1">
        <f t="shared" ref="E10:K16" si="0">+C40</f>
        <v>0</v>
      </c>
      <c r="G10" s="1">
        <f t="shared" si="0"/>
        <v>0</v>
      </c>
      <c r="I10" s="1">
        <f t="shared" si="0"/>
        <v>0</v>
      </c>
      <c r="K10" s="1">
        <f t="shared" si="0"/>
        <v>0</v>
      </c>
      <c r="M10" s="1">
        <f t="shared" ref="M10:M16" si="1">+C10</f>
        <v>0</v>
      </c>
    </row>
    <row r="11" spans="1:13" x14ac:dyDescent="0.35">
      <c r="B11" s="429" t="s">
        <v>104</v>
      </c>
      <c r="C11" s="1">
        <f>+'Estados y analisis'!C55</f>
        <v>118776768</v>
      </c>
      <c r="E11" s="1">
        <f t="shared" si="0"/>
        <v>221041718</v>
      </c>
      <c r="G11" s="1">
        <f t="shared" si="0"/>
        <v>221041718</v>
      </c>
      <c r="I11" s="1">
        <f t="shared" si="0"/>
        <v>286051703</v>
      </c>
      <c r="K11" s="1">
        <f t="shared" si="0"/>
        <v>427575589</v>
      </c>
      <c r="M11" s="1">
        <f t="shared" si="1"/>
        <v>118776768</v>
      </c>
    </row>
    <row r="12" spans="1:13" x14ac:dyDescent="0.35">
      <c r="B12" s="429" t="s">
        <v>105</v>
      </c>
      <c r="C12" s="1">
        <f>+'Estados y analisis'!C56</f>
        <v>0</v>
      </c>
      <c r="E12" s="1">
        <f t="shared" si="0"/>
        <v>0</v>
      </c>
      <c r="G12" s="1">
        <f t="shared" si="0"/>
        <v>0</v>
      </c>
      <c r="I12" s="1">
        <f t="shared" si="0"/>
        <v>0</v>
      </c>
      <c r="K12" s="1">
        <f t="shared" si="0"/>
        <v>0</v>
      </c>
      <c r="M12" s="1">
        <f t="shared" si="1"/>
        <v>0</v>
      </c>
    </row>
    <row r="13" spans="1:13" x14ac:dyDescent="0.35">
      <c r="B13" s="429" t="s">
        <v>106</v>
      </c>
      <c r="C13" s="1">
        <f>+'Estados y analisis'!C57</f>
        <v>586891522.21333396</v>
      </c>
      <c r="E13" s="1">
        <f t="shared" si="0"/>
        <v>721808924.99999905</v>
      </c>
      <c r="G13" s="1">
        <f t="shared" si="0"/>
        <v>2608707606.9999995</v>
      </c>
      <c r="I13" s="1">
        <f t="shared" si="0"/>
        <v>2206856222.999999</v>
      </c>
      <c r="K13" s="1">
        <f t="shared" si="0"/>
        <v>1266080319.7304978</v>
      </c>
      <c r="M13" s="1">
        <f t="shared" si="1"/>
        <v>586891522.21333396</v>
      </c>
    </row>
    <row r="14" spans="1:13" x14ac:dyDescent="0.35">
      <c r="B14" s="429" t="s">
        <v>107</v>
      </c>
      <c r="C14" s="1">
        <f>+'Estados y analisis'!C58</f>
        <v>1328070548</v>
      </c>
      <c r="E14" s="1">
        <f t="shared" si="0"/>
        <v>1392466115</v>
      </c>
      <c r="G14" s="1">
        <f t="shared" si="0"/>
        <v>2456943038.5</v>
      </c>
      <c r="I14" s="1">
        <f t="shared" si="0"/>
        <v>3393886836</v>
      </c>
      <c r="K14" s="1">
        <f t="shared" si="0"/>
        <v>4625376081</v>
      </c>
      <c r="M14" s="1">
        <f t="shared" si="1"/>
        <v>1328070548</v>
      </c>
    </row>
    <row r="15" spans="1:13" x14ac:dyDescent="0.35">
      <c r="B15" s="429" t="s">
        <v>108</v>
      </c>
      <c r="C15" s="1">
        <f>+'Estados y analisis'!C59</f>
        <v>1562008077</v>
      </c>
      <c r="E15" s="1">
        <f t="shared" si="0"/>
        <v>1562008077.5</v>
      </c>
      <c r="G15" s="1">
        <f t="shared" si="0"/>
        <v>1562008078</v>
      </c>
      <c r="I15" s="1">
        <f t="shared" si="0"/>
        <v>1562008078</v>
      </c>
      <c r="K15" s="1">
        <f t="shared" si="0"/>
        <v>1562008078</v>
      </c>
      <c r="M15" s="1">
        <f t="shared" si="1"/>
        <v>1562008077</v>
      </c>
    </row>
    <row r="16" spans="1:13" x14ac:dyDescent="0.35">
      <c r="B16" s="429" t="s">
        <v>109</v>
      </c>
      <c r="C16" s="1">
        <f>+'Estados y analisis'!C60</f>
        <v>0</v>
      </c>
      <c r="E16" s="1">
        <f t="shared" si="0"/>
        <v>0</v>
      </c>
      <c r="G16" s="1">
        <f t="shared" si="0"/>
        <v>0</v>
      </c>
      <c r="I16" s="1">
        <f t="shared" si="0"/>
        <v>0</v>
      </c>
      <c r="K16" s="1">
        <f t="shared" si="0"/>
        <v>0</v>
      </c>
      <c r="M16" s="1">
        <f t="shared" si="1"/>
        <v>0</v>
      </c>
    </row>
    <row r="17" spans="2:13" x14ac:dyDescent="0.35"/>
    <row r="18" spans="2:13" s="427" customFormat="1" x14ac:dyDescent="0.35">
      <c r="B18" s="427" t="s">
        <v>593</v>
      </c>
      <c r="C18" s="430">
        <f>SUM(C19:C26)</f>
        <v>301577920.28666508</v>
      </c>
      <c r="E18" s="430">
        <f>SUM(E19:E26)</f>
        <v>2951375606.0000005</v>
      </c>
      <c r="G18" s="430">
        <f>SUM(G19:G26)</f>
        <v>1001953782.5</v>
      </c>
      <c r="I18" s="430">
        <f>SUM(I19:I26)</f>
        <v>1373013131</v>
      </c>
      <c r="K18" s="430">
        <f>SUM(K19:K26)</f>
        <v>1329437448</v>
      </c>
      <c r="M18" s="430">
        <f>SUM(M19:M26)</f>
        <v>5410694752.7618752</v>
      </c>
    </row>
    <row r="19" spans="2:13" x14ac:dyDescent="0.35">
      <c r="B19" s="429" t="s">
        <v>102</v>
      </c>
      <c r="C19" s="1">
        <f>IF(C39&gt;C9,C39-C9,0)</f>
        <v>0</v>
      </c>
      <c r="E19" s="1">
        <f>IF(E39&gt;E9,E39-E9,0)</f>
        <v>0</v>
      </c>
      <c r="G19" s="1">
        <f>IF(G39&gt;G9,G39-G9,0)</f>
        <v>0</v>
      </c>
      <c r="I19" s="1">
        <f>IF(I39&gt;I9,I39-I9,0)</f>
        <v>0</v>
      </c>
      <c r="K19" s="1">
        <f>IF(K39&gt;K9,K39-K9,0)</f>
        <v>0</v>
      </c>
      <c r="M19" s="1">
        <f>IF(M39&gt;M9,M39-M9,0)</f>
        <v>0</v>
      </c>
    </row>
    <row r="20" spans="2:13" x14ac:dyDescent="0.35">
      <c r="B20" s="429" t="s">
        <v>103</v>
      </c>
      <c r="C20" s="1">
        <f t="shared" ref="C20:E26" si="2">IF(C40&gt;C10,C40-C10,0)</f>
        <v>0</v>
      </c>
      <c r="E20" s="1">
        <f t="shared" si="2"/>
        <v>0</v>
      </c>
      <c r="G20" s="1">
        <f t="shared" ref="G20" si="3">IF(G40&gt;G10,G40-G10,0)</f>
        <v>0</v>
      </c>
      <c r="I20" s="1">
        <f t="shared" ref="I20" si="4">IF(I40&gt;I10,I40-I10,0)</f>
        <v>0</v>
      </c>
      <c r="K20" s="1">
        <f t="shared" ref="K20:M20" si="5">IF(K40&gt;K10,K40-K10,0)</f>
        <v>0</v>
      </c>
      <c r="M20" s="1">
        <f t="shared" si="5"/>
        <v>0</v>
      </c>
    </row>
    <row r="21" spans="2:13" x14ac:dyDescent="0.35">
      <c r="B21" s="429" t="s">
        <v>104</v>
      </c>
      <c r="C21" s="1">
        <f t="shared" si="2"/>
        <v>102264950</v>
      </c>
      <c r="E21" s="1">
        <f t="shared" si="2"/>
        <v>0</v>
      </c>
      <c r="G21" s="1">
        <f t="shared" ref="G21" si="6">IF(G41&gt;G11,G41-G11,0)</f>
        <v>65009985</v>
      </c>
      <c r="I21" s="1">
        <f t="shared" ref="I21" si="7">IF(I41&gt;I11,I41-I11,0)</f>
        <v>141523886</v>
      </c>
      <c r="K21" s="1">
        <f t="shared" ref="K21:M21" si="8">IF(K41&gt;K11,K41-K11,0)</f>
        <v>270245058</v>
      </c>
      <c r="M21" s="1">
        <f t="shared" si="8"/>
        <v>579043879</v>
      </c>
    </row>
    <row r="22" spans="2:13" x14ac:dyDescent="0.35">
      <c r="B22" s="429" t="s">
        <v>105</v>
      </c>
      <c r="C22" s="1">
        <f t="shared" si="2"/>
        <v>0</v>
      </c>
      <c r="E22" s="1">
        <f t="shared" si="2"/>
        <v>0</v>
      </c>
      <c r="G22" s="1">
        <f t="shared" ref="G22" si="9">IF(G42&gt;G12,G42-G12,0)</f>
        <v>0</v>
      </c>
      <c r="I22" s="1">
        <f t="shared" ref="I22" si="10">IF(I42&gt;I12,I42-I12,0)</f>
        <v>0</v>
      </c>
      <c r="K22" s="1">
        <f t="shared" ref="K22:M22" si="11">IF(K42&gt;K12,K42-K12,0)</f>
        <v>0</v>
      </c>
      <c r="M22" s="1">
        <f t="shared" si="11"/>
        <v>0</v>
      </c>
    </row>
    <row r="23" spans="2:13" x14ac:dyDescent="0.35">
      <c r="B23" s="429" t="s">
        <v>106</v>
      </c>
      <c r="C23" s="1">
        <f t="shared" si="2"/>
        <v>134917402.78666508</v>
      </c>
      <c r="E23" s="1">
        <f t="shared" si="2"/>
        <v>1886898682.0000005</v>
      </c>
      <c r="G23" s="1">
        <f t="shared" ref="G23" si="12">IF(G43&gt;G13,G43-G13,0)</f>
        <v>0</v>
      </c>
      <c r="I23" s="1">
        <f t="shared" ref="I23" si="13">IF(I43&gt;I13,I43-I13,0)</f>
        <v>0</v>
      </c>
      <c r="K23" s="1">
        <f t="shared" ref="K23:M23" si="14">IF(K43&gt;K13,K43-K13,0)</f>
        <v>0</v>
      </c>
      <c r="M23" s="1">
        <f t="shared" si="14"/>
        <v>475152949.76187479</v>
      </c>
    </row>
    <row r="24" spans="2:13" x14ac:dyDescent="0.35">
      <c r="B24" s="429" t="s">
        <v>107</v>
      </c>
      <c r="C24" s="1">
        <f t="shared" si="2"/>
        <v>64395567</v>
      </c>
      <c r="E24" s="1">
        <f t="shared" si="2"/>
        <v>1064476923.5</v>
      </c>
      <c r="G24" s="1">
        <f t="shared" ref="G24" si="15">IF(G44&gt;G14,G44-G14,0)</f>
        <v>936943797.5</v>
      </c>
      <c r="I24" s="1">
        <f t="shared" ref="I24" si="16">IF(I44&gt;I14,I44-I14,0)</f>
        <v>1231489245</v>
      </c>
      <c r="K24" s="1">
        <f t="shared" ref="K24:M24" si="17">IF(K44&gt;K14,K44-K14,0)</f>
        <v>1059192390</v>
      </c>
      <c r="M24" s="1">
        <f t="shared" si="17"/>
        <v>4356497923</v>
      </c>
    </row>
    <row r="25" spans="2:13" x14ac:dyDescent="0.35">
      <c r="B25" s="429" t="s">
        <v>108</v>
      </c>
      <c r="C25" s="1">
        <f t="shared" si="2"/>
        <v>0.5</v>
      </c>
      <c r="E25" s="1">
        <f t="shared" si="2"/>
        <v>0.5</v>
      </c>
      <c r="G25" s="1">
        <f t="shared" ref="G25" si="18">IF(G45&gt;G15,G45-G15,0)</f>
        <v>0</v>
      </c>
      <c r="I25" s="1">
        <f t="shared" ref="I25" si="19">IF(I45&gt;I15,I45-I15,0)</f>
        <v>0</v>
      </c>
      <c r="K25" s="1">
        <f t="shared" ref="K25:M25" si="20">IF(K45&gt;K15,K45-K15,0)</f>
        <v>0</v>
      </c>
      <c r="M25" s="1">
        <f t="shared" si="20"/>
        <v>1</v>
      </c>
    </row>
    <row r="26" spans="2:13" x14ac:dyDescent="0.35">
      <c r="B26" s="429" t="s">
        <v>109</v>
      </c>
      <c r="C26" s="1">
        <f t="shared" si="2"/>
        <v>0</v>
      </c>
      <c r="E26" s="1">
        <f t="shared" si="2"/>
        <v>0</v>
      </c>
      <c r="G26" s="1">
        <f t="shared" ref="G26" si="21">IF(G46&gt;G16,G46-G16,0)</f>
        <v>0</v>
      </c>
      <c r="I26" s="1">
        <f t="shared" ref="I26" si="22">IF(I46&gt;I16,I46-I16,0)</f>
        <v>0</v>
      </c>
      <c r="K26" s="1">
        <f t="shared" ref="K26:M26" si="23">IF(K46&gt;K16,K46-K16,0)</f>
        <v>0</v>
      </c>
      <c r="M26" s="1">
        <f t="shared" si="23"/>
        <v>0</v>
      </c>
    </row>
    <row r="27" spans="2:13" x14ac:dyDescent="0.35"/>
    <row r="28" spans="2:13" s="427" customFormat="1" x14ac:dyDescent="0.35">
      <c r="B28" s="427" t="s">
        <v>594</v>
      </c>
      <c r="C28" s="430">
        <f>SUM(C29:C36)</f>
        <v>0</v>
      </c>
      <c r="E28" s="430">
        <f>SUM(E29:E36)</f>
        <v>0</v>
      </c>
      <c r="G28" s="430">
        <f>SUM(G29:G36)</f>
        <v>401851384.00000048</v>
      </c>
      <c r="I28" s="430">
        <f>SUM(I29:I36)</f>
        <v>940775903.26950121</v>
      </c>
      <c r="K28" s="430">
        <f>SUM(K29:K36)</f>
        <v>204035847.75528908</v>
      </c>
      <c r="M28" s="430">
        <f>SUM(M29:M36)</f>
        <v>0</v>
      </c>
    </row>
    <row r="29" spans="2:13" x14ac:dyDescent="0.35">
      <c r="B29" s="429" t="s">
        <v>102</v>
      </c>
      <c r="C29" s="1">
        <f>IF(C39&lt;C9,-(C39-C9),0)</f>
        <v>0</v>
      </c>
      <c r="E29" s="1">
        <f>IF(E39&lt;E9,-(E39-E9),0)</f>
        <v>0</v>
      </c>
      <c r="G29" s="1">
        <f>IF(G39&lt;G9,-(G39-G9),0)</f>
        <v>0</v>
      </c>
      <c r="I29" s="1">
        <f>IF(I39&lt;I9,-(I39-I9),0)</f>
        <v>0</v>
      </c>
      <c r="K29" s="1">
        <f>IF(K39&lt;K9,-(K39-K9),0)</f>
        <v>0</v>
      </c>
      <c r="M29" s="1">
        <f>IF(M39&lt;M9,-(M39-M9),0)</f>
        <v>0</v>
      </c>
    </row>
    <row r="30" spans="2:13" x14ac:dyDescent="0.35">
      <c r="B30" s="429" t="s">
        <v>103</v>
      </c>
      <c r="C30" s="1">
        <f t="shared" ref="C30:E36" si="24">IF(C40&lt;C10,-(C40-C10),0)</f>
        <v>0</v>
      </c>
      <c r="E30" s="1">
        <f t="shared" si="24"/>
        <v>0</v>
      </c>
      <c r="G30" s="1">
        <f t="shared" ref="G30" si="25">IF(G40&lt;G10,-(G40-G10),0)</f>
        <v>0</v>
      </c>
      <c r="I30" s="1">
        <f t="shared" ref="I30" si="26">IF(I40&lt;I10,-(I40-I10),0)</f>
        <v>0</v>
      </c>
      <c r="K30" s="1">
        <f t="shared" ref="K30:M30" si="27">IF(K40&lt;K10,-(K40-K10),0)</f>
        <v>0</v>
      </c>
      <c r="M30" s="1">
        <f t="shared" si="27"/>
        <v>0</v>
      </c>
    </row>
    <row r="31" spans="2:13" x14ac:dyDescent="0.35">
      <c r="B31" s="429" t="s">
        <v>104</v>
      </c>
      <c r="C31" s="1">
        <f t="shared" si="24"/>
        <v>0</v>
      </c>
      <c r="E31" s="1">
        <f t="shared" si="24"/>
        <v>0</v>
      </c>
      <c r="G31" s="1">
        <f t="shared" ref="G31" si="28">IF(G41&lt;G11,-(G41-G11),0)</f>
        <v>0</v>
      </c>
      <c r="I31" s="1">
        <f t="shared" ref="I31" si="29">IF(I41&lt;I11,-(I41-I11),0)</f>
        <v>0</v>
      </c>
      <c r="K31" s="1">
        <f t="shared" ref="K31:M31" si="30">IF(K41&lt;K11,-(K41-K11),0)</f>
        <v>0</v>
      </c>
      <c r="M31" s="1">
        <f t="shared" si="30"/>
        <v>0</v>
      </c>
    </row>
    <row r="32" spans="2:13" x14ac:dyDescent="0.35">
      <c r="B32" s="429" t="s">
        <v>105</v>
      </c>
      <c r="C32" s="1">
        <f t="shared" si="24"/>
        <v>0</v>
      </c>
      <c r="E32" s="1">
        <f t="shared" si="24"/>
        <v>0</v>
      </c>
      <c r="G32" s="1">
        <f t="shared" ref="G32" si="31">IF(G42&lt;G12,-(G42-G12),0)</f>
        <v>0</v>
      </c>
      <c r="I32" s="1">
        <f t="shared" ref="I32" si="32">IF(I42&lt;I12,-(I42-I12),0)</f>
        <v>0</v>
      </c>
      <c r="K32" s="1">
        <f t="shared" ref="K32:M32" si="33">IF(K42&lt;K12,-(K42-K12),0)</f>
        <v>0</v>
      </c>
      <c r="M32" s="1">
        <f t="shared" si="33"/>
        <v>0</v>
      </c>
    </row>
    <row r="33" spans="2:13" x14ac:dyDescent="0.35">
      <c r="B33" s="429" t="s">
        <v>106</v>
      </c>
      <c r="C33" s="1">
        <f t="shared" si="24"/>
        <v>0</v>
      </c>
      <c r="E33" s="1">
        <f t="shared" si="24"/>
        <v>0</v>
      </c>
      <c r="G33" s="1">
        <f t="shared" ref="G33" si="34">IF(G43&lt;G13,-(G43-G13),0)</f>
        <v>401851384.00000048</v>
      </c>
      <c r="I33" s="1">
        <f t="shared" ref="I33" si="35">IF(I43&lt;I13,-(I43-I13),0)</f>
        <v>940775903.26950121</v>
      </c>
      <c r="K33" s="1">
        <f t="shared" ref="K33:M33" si="36">IF(K43&lt;K13,-(K43-K13),0)</f>
        <v>204035847.75528908</v>
      </c>
      <c r="M33" s="1">
        <f t="shared" si="36"/>
        <v>0</v>
      </c>
    </row>
    <row r="34" spans="2:13" x14ac:dyDescent="0.35">
      <c r="B34" s="429" t="s">
        <v>107</v>
      </c>
      <c r="C34" s="1">
        <f t="shared" si="24"/>
        <v>0</v>
      </c>
      <c r="E34" s="1">
        <f t="shared" si="24"/>
        <v>0</v>
      </c>
      <c r="G34" s="1">
        <f t="shared" ref="G34" si="37">IF(G44&lt;G14,-(G44-G14),0)</f>
        <v>0</v>
      </c>
      <c r="I34" s="1">
        <f t="shared" ref="I34" si="38">IF(I44&lt;I14,-(I44-I14),0)</f>
        <v>0</v>
      </c>
      <c r="K34" s="1">
        <f t="shared" ref="K34:M34" si="39">IF(K44&lt;K14,-(K44-K14),0)</f>
        <v>0</v>
      </c>
      <c r="M34" s="1">
        <f t="shared" si="39"/>
        <v>0</v>
      </c>
    </row>
    <row r="35" spans="2:13" x14ac:dyDescent="0.35">
      <c r="B35" s="429" t="s">
        <v>108</v>
      </c>
      <c r="C35" s="1">
        <f t="shared" si="24"/>
        <v>0</v>
      </c>
      <c r="E35" s="1">
        <f t="shared" si="24"/>
        <v>0</v>
      </c>
      <c r="G35" s="1">
        <f t="shared" ref="G35" si="40">IF(G45&lt;G15,-(G45-G15),0)</f>
        <v>0</v>
      </c>
      <c r="I35" s="1">
        <f t="shared" ref="I35" si="41">IF(I45&lt;I15,-(I45-I15),0)</f>
        <v>0</v>
      </c>
      <c r="K35" s="1">
        <f t="shared" ref="K35:M35" si="42">IF(K45&lt;K15,-(K45-K15),0)</f>
        <v>0</v>
      </c>
      <c r="M35" s="1">
        <f t="shared" si="42"/>
        <v>0</v>
      </c>
    </row>
    <row r="36" spans="2:13" x14ac:dyDescent="0.35">
      <c r="B36" s="429" t="s">
        <v>109</v>
      </c>
      <c r="C36" s="1">
        <f t="shared" si="24"/>
        <v>0</v>
      </c>
      <c r="E36" s="1">
        <f t="shared" si="24"/>
        <v>0</v>
      </c>
      <c r="G36" s="1">
        <f t="shared" ref="G36" si="43">IF(G46&lt;G16,-(G46-G16),0)</f>
        <v>0</v>
      </c>
      <c r="I36" s="1">
        <f t="shared" ref="I36" si="44">IF(I46&lt;I16,-(I46-I16),0)</f>
        <v>0</v>
      </c>
      <c r="K36" s="1">
        <f t="shared" ref="K36:M36" si="45">IF(K46&lt;K16,-(K46-K16),0)</f>
        <v>0</v>
      </c>
      <c r="M36" s="1">
        <f t="shared" si="45"/>
        <v>0</v>
      </c>
    </row>
    <row r="37" spans="2:13" x14ac:dyDescent="0.35"/>
    <row r="38" spans="2:13" s="427" customFormat="1" x14ac:dyDescent="0.35">
      <c r="B38" s="427" t="s">
        <v>595</v>
      </c>
      <c r="C38" s="430">
        <f>SUM(C39:C46)</f>
        <v>4897324835.499999</v>
      </c>
      <c r="E38" s="430">
        <f>SUM(E39:E46)</f>
        <v>7848700441.5</v>
      </c>
      <c r="G38" s="430">
        <f>SUM(G39:G46)</f>
        <v>8448802839.999999</v>
      </c>
      <c r="I38" s="430">
        <f>SUM(I39:I46)</f>
        <v>8881040067.7304974</v>
      </c>
      <c r="K38" s="430">
        <f>SUM(K39:K46)</f>
        <v>10006441667.975208</v>
      </c>
      <c r="M38" s="430">
        <f>SUM(M39:M46)</f>
        <v>10006441667.975208</v>
      </c>
    </row>
    <row r="39" spans="2:13" x14ac:dyDescent="0.35">
      <c r="B39" s="429" t="s">
        <v>102</v>
      </c>
      <c r="C39" s="1">
        <f>+'Estados y analisis'!D53</f>
        <v>1000000000</v>
      </c>
      <c r="E39" s="1">
        <f>+'Estados y analisis'!E53</f>
        <v>1000000000</v>
      </c>
      <c r="G39" s="1">
        <f>+'Estados y analisis'!F53</f>
        <v>1000000000</v>
      </c>
      <c r="I39" s="1">
        <f>+'Estados y analisis'!G53</f>
        <v>1000000000</v>
      </c>
      <c r="K39" s="1">
        <f>+'Estados y analisis'!H53</f>
        <v>1000000000</v>
      </c>
      <c r="M39" s="1">
        <f>+K39</f>
        <v>1000000000</v>
      </c>
    </row>
    <row r="40" spans="2:13" x14ac:dyDescent="0.35">
      <c r="B40" s="429" t="s">
        <v>103</v>
      </c>
      <c r="C40" s="1">
        <f>+'Estados y analisis'!D54</f>
        <v>0</v>
      </c>
      <c r="E40" s="1">
        <f>+'Estados y analisis'!E54</f>
        <v>0</v>
      </c>
      <c r="G40" s="1">
        <f>+'Estados y analisis'!F54</f>
        <v>0</v>
      </c>
      <c r="I40" s="1">
        <f>+'Estados y analisis'!G54</f>
        <v>0</v>
      </c>
      <c r="K40" s="1">
        <f>+'Estados y analisis'!H54</f>
        <v>0</v>
      </c>
      <c r="M40" s="1">
        <f t="shared" ref="M40:M46" si="46">+K40</f>
        <v>0</v>
      </c>
    </row>
    <row r="41" spans="2:13" x14ac:dyDescent="0.35">
      <c r="B41" s="429" t="s">
        <v>104</v>
      </c>
      <c r="C41" s="1">
        <f>+'Estados y analisis'!D55</f>
        <v>221041718</v>
      </c>
      <c r="E41" s="1">
        <f>+'Estados y analisis'!E55</f>
        <v>221041718</v>
      </c>
      <c r="G41" s="1">
        <f>+'Estados y analisis'!F55</f>
        <v>286051703</v>
      </c>
      <c r="I41" s="1">
        <f>+'Estados y analisis'!G55</f>
        <v>427575589</v>
      </c>
      <c r="K41" s="1">
        <f>+'Estados y analisis'!H55</f>
        <v>697820647</v>
      </c>
      <c r="M41" s="1">
        <f t="shared" si="46"/>
        <v>697820647</v>
      </c>
    </row>
    <row r="42" spans="2:13" x14ac:dyDescent="0.35">
      <c r="B42" s="429" t="s">
        <v>105</v>
      </c>
      <c r="C42" s="1">
        <f>+'Estados y analisis'!D56</f>
        <v>0</v>
      </c>
      <c r="E42" s="1">
        <f>+'Estados y analisis'!E56</f>
        <v>0</v>
      </c>
      <c r="G42" s="1">
        <f>+'Estados y analisis'!F56</f>
        <v>0</v>
      </c>
      <c r="I42" s="1">
        <f>+'Estados y analisis'!G56</f>
        <v>0</v>
      </c>
      <c r="K42" s="1">
        <f>+'Estados y analisis'!H56</f>
        <v>0</v>
      </c>
      <c r="M42" s="1">
        <f t="shared" si="46"/>
        <v>0</v>
      </c>
    </row>
    <row r="43" spans="2:13" x14ac:dyDescent="0.35">
      <c r="B43" s="429" t="s">
        <v>106</v>
      </c>
      <c r="C43" s="1">
        <f>+'Estados y analisis'!D57</f>
        <v>721808924.99999905</v>
      </c>
      <c r="E43" s="1">
        <f>+'Estados y analisis'!E57</f>
        <v>2608707606.9999995</v>
      </c>
      <c r="G43" s="1">
        <f>+'Estados y analisis'!F57</f>
        <v>2206856222.999999</v>
      </c>
      <c r="I43" s="1">
        <f>+'Estados y analisis'!G57</f>
        <v>1266080319.7304978</v>
      </c>
      <c r="K43" s="1">
        <f>+'Estados y analisis'!H57</f>
        <v>1062044471.9752088</v>
      </c>
      <c r="M43" s="1">
        <f t="shared" si="46"/>
        <v>1062044471.9752088</v>
      </c>
    </row>
    <row r="44" spans="2:13" x14ac:dyDescent="0.35">
      <c r="B44" s="429" t="s">
        <v>107</v>
      </c>
      <c r="C44" s="1">
        <f>+'Estados y analisis'!D58</f>
        <v>1392466115</v>
      </c>
      <c r="E44" s="1">
        <f>+'Estados y analisis'!E58</f>
        <v>2456943038.5</v>
      </c>
      <c r="G44" s="1">
        <f>+'Estados y analisis'!F58</f>
        <v>3393886836</v>
      </c>
      <c r="I44" s="1">
        <f>+'Estados y analisis'!G58</f>
        <v>4625376081</v>
      </c>
      <c r="K44" s="1">
        <f>+'Estados y analisis'!H58</f>
        <v>5684568471</v>
      </c>
      <c r="M44" s="1">
        <f t="shared" si="46"/>
        <v>5684568471</v>
      </c>
    </row>
    <row r="45" spans="2:13" x14ac:dyDescent="0.35">
      <c r="B45" s="429" t="s">
        <v>108</v>
      </c>
      <c r="C45" s="1">
        <f>+'Estados y analisis'!D59</f>
        <v>1562008077.5</v>
      </c>
      <c r="E45" s="1">
        <f>+'Estados y analisis'!E59</f>
        <v>1562008078</v>
      </c>
      <c r="G45" s="1">
        <f>+'Estados y analisis'!F59</f>
        <v>1562008078</v>
      </c>
      <c r="I45" s="1">
        <f>+'Estados y analisis'!G59</f>
        <v>1562008078</v>
      </c>
      <c r="K45" s="1">
        <f>+'Estados y analisis'!H59</f>
        <v>1562008078</v>
      </c>
      <c r="M45" s="1">
        <f t="shared" si="46"/>
        <v>1562008078</v>
      </c>
    </row>
    <row r="46" spans="2:13" x14ac:dyDescent="0.35">
      <c r="B46" s="429" t="s">
        <v>109</v>
      </c>
      <c r="C46" s="1">
        <f>+'Estados y analisis'!D60</f>
        <v>0</v>
      </c>
      <c r="E46" s="1">
        <f>+'Estados y analisis'!E60</f>
        <v>0</v>
      </c>
      <c r="G46" s="1">
        <f>+'Estados y analisis'!F60</f>
        <v>0</v>
      </c>
      <c r="I46" s="1">
        <f>+'Estados y analisis'!G60</f>
        <v>0</v>
      </c>
      <c r="K46" s="1">
        <f>+'Estados y analisis'!H60</f>
        <v>0</v>
      </c>
      <c r="M46" s="1">
        <f t="shared" si="46"/>
        <v>0</v>
      </c>
    </row>
    <row r="47" spans="2:13" x14ac:dyDescent="0.35"/>
    <row r="48" spans="2:13" x14ac:dyDescent="0.35"/>
  </sheetData>
  <mergeCells count="2">
    <mergeCell ref="B3:M3"/>
    <mergeCell ref="B4:M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3"/>
  <dimension ref="A1:K76"/>
  <sheetViews>
    <sheetView topLeftCell="A49" workbookViewId="0">
      <selection activeCell="E55" sqref="E55"/>
    </sheetView>
  </sheetViews>
  <sheetFormatPr baseColWidth="10" defaultColWidth="0" defaultRowHeight="14.4" zeroHeight="1" x14ac:dyDescent="0.35"/>
  <cols>
    <col min="1" max="1" width="2.5546875" customWidth="1"/>
    <col min="2" max="2" width="40.5546875" customWidth="1"/>
    <col min="3" max="3" width="15.33203125" style="1" bestFit="1" customWidth="1"/>
    <col min="4" max="4" width="6.5546875" style="1" customWidth="1"/>
    <col min="5" max="5" width="40.5546875" style="1" customWidth="1"/>
    <col min="6" max="6" width="15.33203125" style="1" bestFit="1" customWidth="1"/>
    <col min="7" max="7" width="2.5546875" style="1" customWidth="1"/>
    <col min="8" max="8" width="4.5546875" style="1" customWidth="1"/>
    <col min="9" max="11" width="0" style="1" hidden="1" customWidth="1"/>
    <col min="12" max="16384" width="11.44140625" hidden="1"/>
  </cols>
  <sheetData>
    <row r="1" spans="1:8" ht="15" customHeight="1" x14ac:dyDescent="0.35">
      <c r="A1" s="151"/>
      <c r="B1" s="151"/>
      <c r="C1" s="152"/>
      <c r="D1" s="152"/>
      <c r="E1" s="152"/>
      <c r="F1" s="152"/>
      <c r="G1" s="152"/>
      <c r="H1" s="152"/>
    </row>
    <row r="2" spans="1:8" ht="15" customHeight="1" x14ac:dyDescent="0.35">
      <c r="A2" s="151"/>
      <c r="B2" s="151"/>
      <c r="C2" s="152"/>
      <c r="D2" s="152"/>
      <c r="E2" s="152"/>
      <c r="F2" s="152"/>
      <c r="G2" s="152"/>
      <c r="H2" s="152"/>
    </row>
    <row r="3" spans="1:8" ht="16.2" x14ac:dyDescent="0.35">
      <c r="A3" s="151"/>
      <c r="B3" s="571" t="str">
        <f>+'Cambios Patrimonio'!B3</f>
        <v>K-LISTO</v>
      </c>
      <c r="C3" s="572"/>
      <c r="D3" s="572"/>
      <c r="E3" s="572"/>
      <c r="F3" s="572"/>
      <c r="G3" s="573"/>
      <c r="H3" s="152"/>
    </row>
    <row r="4" spans="1:8" ht="16.2" x14ac:dyDescent="0.35">
      <c r="A4" s="151"/>
      <c r="B4" s="569" t="s">
        <v>597</v>
      </c>
      <c r="C4" s="570"/>
      <c r="D4" s="570"/>
      <c r="E4" s="570"/>
      <c r="F4" s="570"/>
      <c r="G4" s="574"/>
      <c r="H4" s="152"/>
    </row>
    <row r="5" spans="1:8" ht="16.2" x14ac:dyDescent="0.35">
      <c r="A5" s="151"/>
      <c r="B5" s="575" t="str">
        <f>+'Estados y analisis'!Y5</f>
        <v>2023 - 2022</v>
      </c>
      <c r="C5" s="576"/>
      <c r="D5" s="576"/>
      <c r="E5" s="576"/>
      <c r="F5" s="576"/>
      <c r="G5" s="577"/>
      <c r="H5" s="152"/>
    </row>
    <row r="6" spans="1:8" ht="16.2" x14ac:dyDescent="0.35">
      <c r="A6" s="151"/>
      <c r="B6" s="153"/>
      <c r="C6" s="153"/>
      <c r="D6" s="153"/>
      <c r="E6" s="153"/>
      <c r="F6" s="153"/>
      <c r="G6" s="153"/>
      <c r="H6" s="152"/>
    </row>
    <row r="7" spans="1:8" ht="16.2" x14ac:dyDescent="0.35">
      <c r="A7" s="151"/>
      <c r="B7" s="154" t="s">
        <v>598</v>
      </c>
      <c r="C7" s="153"/>
      <c r="D7" s="153"/>
      <c r="E7" s="154" t="s">
        <v>599</v>
      </c>
      <c r="F7" s="153"/>
      <c r="G7" s="153"/>
      <c r="H7" s="152"/>
    </row>
    <row r="8" spans="1:8" ht="16.2" x14ac:dyDescent="0.35">
      <c r="A8" s="151"/>
      <c r="B8" s="155"/>
      <c r="C8" s="153"/>
      <c r="D8" s="153"/>
      <c r="E8" s="155"/>
      <c r="F8" s="153"/>
      <c r="G8" s="153"/>
      <c r="H8" s="152"/>
    </row>
    <row r="9" spans="1:8" x14ac:dyDescent="0.35">
      <c r="A9" s="151"/>
      <c r="B9" s="147" t="s">
        <v>600</v>
      </c>
      <c r="C9" s="152"/>
      <c r="D9" s="152"/>
      <c r="E9" s="147" t="s">
        <v>601</v>
      </c>
      <c r="F9" s="152"/>
      <c r="G9" s="152"/>
      <c r="H9" s="152"/>
    </row>
    <row r="10" spans="1:8" ht="7.2" customHeight="1" x14ac:dyDescent="0.35">
      <c r="A10" s="151"/>
      <c r="B10" s="151"/>
      <c r="C10" s="152"/>
      <c r="D10" s="152"/>
      <c r="E10" s="151"/>
      <c r="F10" s="152"/>
      <c r="G10" s="152"/>
      <c r="H10" s="152"/>
    </row>
    <row r="11" spans="1:8" x14ac:dyDescent="0.35">
      <c r="A11" s="151"/>
      <c r="B11" s="151" t="str">
        <f>IF(C11&gt;0,Balance!B11," ")</f>
        <v>Disponible</v>
      </c>
      <c r="C11" s="152">
        <f>IF('Estados y analisis'!Y6&lt;0,-'Estados y analisis'!Y6,0)</f>
        <v>58187550</v>
      </c>
      <c r="D11" s="152"/>
      <c r="E11" s="151" t="str">
        <f>IF(F11&gt;0,Balance!B11," ")</f>
        <v xml:space="preserve"> </v>
      </c>
      <c r="F11" s="152">
        <f>IF('Estados y analisis'!Y6&gt;0,'Estados y analisis'!Y6,0)</f>
        <v>0</v>
      </c>
      <c r="G11" s="152"/>
      <c r="H11" s="152"/>
    </row>
    <row r="12" spans="1:8" x14ac:dyDescent="0.35">
      <c r="A12" s="151"/>
      <c r="B12" s="151" t="str">
        <f>IF(C12&gt;0,Balance!B12," ")</f>
        <v>Inversiones</v>
      </c>
      <c r="C12" s="152">
        <f>IF('Estados y analisis'!Y7&lt;0,-'Estados y analisis'!Y7,0)</f>
        <v>4565889</v>
      </c>
      <c r="D12" s="152"/>
      <c r="E12" s="151" t="str">
        <f>IF(F12&gt;0,Balance!B12," ")</f>
        <v xml:space="preserve"> </v>
      </c>
      <c r="F12" s="152">
        <f>IF('Estados y analisis'!Y7&gt;0,'Estados y analisis'!Y7,0)</f>
        <v>0</v>
      </c>
      <c r="G12" s="152"/>
      <c r="H12" s="152"/>
    </row>
    <row r="13" spans="1:8" x14ac:dyDescent="0.35">
      <c r="A13" s="151"/>
      <c r="B13" s="151" t="str">
        <f>IF(C13&gt;0,Balance!B13," ")</f>
        <v xml:space="preserve"> </v>
      </c>
      <c r="C13" s="152">
        <f>IF('Estados y analisis'!Y8&lt;0,-'Estados y analisis'!Y8,0)</f>
        <v>0</v>
      </c>
      <c r="D13" s="152"/>
      <c r="E13" s="151" t="str">
        <f>IF(F13&gt;0,Balance!B13," ")</f>
        <v>Deudores (cartera)</v>
      </c>
      <c r="F13" s="152">
        <f>IF('Estados y analisis'!Y8&gt;0,'Estados y analisis'!Y8,0)</f>
        <v>4622733191</v>
      </c>
      <c r="G13" s="152"/>
      <c r="H13" s="152"/>
    </row>
    <row r="14" spans="1:8" x14ac:dyDescent="0.35">
      <c r="A14" s="151"/>
      <c r="B14" s="151" t="str">
        <f>IF(C14&gt;0,Balance!B14," ")</f>
        <v xml:space="preserve"> </v>
      </c>
      <c r="C14" s="152">
        <f>IF('Estados y analisis'!Y9&lt;0,-'Estados y analisis'!Y9,0)</f>
        <v>0</v>
      </c>
      <c r="D14" s="152"/>
      <c r="E14" s="151" t="str">
        <f>IF(F14&gt;0,Balance!B14," ")</f>
        <v>Inventarios</v>
      </c>
      <c r="F14" s="152">
        <f>IF('Estados y analisis'!Y9&gt;0,'Estados y analisis'!Y9,0)</f>
        <v>366073306</v>
      </c>
      <c r="G14" s="152"/>
      <c r="H14" s="152"/>
    </row>
    <row r="15" spans="1:8" x14ac:dyDescent="0.35">
      <c r="A15" s="151"/>
      <c r="B15" s="151" t="str">
        <f>IF(C15&gt;0,Balance!B15," ")</f>
        <v xml:space="preserve"> </v>
      </c>
      <c r="C15" s="152">
        <f>IF('Estados y analisis'!Y10&lt;0,-'Estados y analisis'!Y10,0)</f>
        <v>0</v>
      </c>
      <c r="D15" s="152"/>
      <c r="E15" s="151" t="str">
        <f>IF(F15&gt;0,Balance!B15," ")</f>
        <v>Diferidos</v>
      </c>
      <c r="F15" s="152">
        <f>IF('Estados y analisis'!Y10&gt;0,'Estados y analisis'!Y10,0)</f>
        <v>542545010</v>
      </c>
      <c r="G15" s="152"/>
      <c r="H15" s="152"/>
    </row>
    <row r="16" spans="1:8" x14ac:dyDescent="0.35">
      <c r="A16" s="151"/>
      <c r="B16" s="151" t="str">
        <f>IF(C16&gt;0,Balance!B16," ")</f>
        <v>Otros activos corrientes</v>
      </c>
      <c r="C16" s="152">
        <f>IF('Estados y analisis'!Y11&lt;0,-'Estados y analisis'!Y11,0)</f>
        <v>419311776</v>
      </c>
      <c r="D16" s="152"/>
      <c r="E16" s="151" t="str">
        <f>IF(F16&gt;0,Balance!B16," ")</f>
        <v xml:space="preserve"> </v>
      </c>
      <c r="F16" s="152">
        <f>IF('Estados y analisis'!Y11&gt;0,'Estados y analisis'!Y11,0)</f>
        <v>0</v>
      </c>
      <c r="G16" s="152"/>
      <c r="H16" s="152"/>
    </row>
    <row r="17" spans="1:10" x14ac:dyDescent="0.35">
      <c r="A17" s="151"/>
      <c r="B17" s="151" t="str">
        <f>IF(C17&gt;0,Balance!B41," ")</f>
        <v>Obligaciones financieras corto plazo</v>
      </c>
      <c r="C17" s="152">
        <f>IF('Estados y analisis'!Y34&gt;0,'Estados y analisis'!Y34,0)</f>
        <v>444994747.50000024</v>
      </c>
      <c r="D17" s="152"/>
      <c r="E17" s="151" t="str">
        <f>IF(F17&gt;0,Balance!B41," ")</f>
        <v xml:space="preserve"> </v>
      </c>
      <c r="F17" s="152">
        <f>IF('Estados y analisis'!Y34&lt;0,-'Estados y analisis'!Y34,0)</f>
        <v>0</v>
      </c>
      <c r="G17" s="152"/>
      <c r="H17" s="152"/>
    </row>
    <row r="18" spans="1:10" x14ac:dyDescent="0.35">
      <c r="A18" s="151"/>
      <c r="B18" s="151" t="str">
        <f>IF(C18&gt;0,Balance!B42," ")</f>
        <v>Proveedores</v>
      </c>
      <c r="C18" s="152">
        <f>IF('Estados y analisis'!Y35&gt;0,'Estados y analisis'!Y35,0)</f>
        <v>1164385170</v>
      </c>
      <c r="D18" s="152"/>
      <c r="E18" s="151" t="str">
        <f>IF(F18&gt;0,Balance!B42," ")</f>
        <v xml:space="preserve"> </v>
      </c>
      <c r="F18" s="152">
        <f>IF('Estados y analisis'!Y35&lt;0,-'Estados y analisis'!Y35,0)</f>
        <v>0</v>
      </c>
      <c r="G18" s="152"/>
      <c r="H18" s="152"/>
    </row>
    <row r="19" spans="1:10" x14ac:dyDescent="0.35">
      <c r="A19" s="151"/>
      <c r="B19" s="151" t="str">
        <f>IF(C19&gt;0,Balance!B43," ")</f>
        <v>Cuentas y gastos por pagar</v>
      </c>
      <c r="C19" s="152">
        <f>IF('Estados y analisis'!Y36&gt;0,'Estados y analisis'!Y36,0)</f>
        <v>647269974</v>
      </c>
      <c r="D19" s="152"/>
      <c r="E19" s="151" t="str">
        <f>IF(F19&gt;0,Balance!B43," ")</f>
        <v xml:space="preserve"> </v>
      </c>
      <c r="F19" s="152">
        <f>IF('Estados y analisis'!Y36&lt;0,-'Estados y analisis'!Y36,0)</f>
        <v>0</v>
      </c>
      <c r="G19" s="152"/>
      <c r="H19" s="152"/>
    </row>
    <row r="20" spans="1:10" x14ac:dyDescent="0.35">
      <c r="A20" s="151"/>
      <c r="B20" s="151" t="str">
        <f>IF(C20&gt;0,Balance!B44," ")</f>
        <v>Impuestos, gravámenes y tasas</v>
      </c>
      <c r="C20" s="152">
        <f>IF('Estados y analisis'!Y37&gt;0,'Estados y analisis'!Y37,0)</f>
        <v>1887087726.7552886</v>
      </c>
      <c r="D20" s="152"/>
      <c r="E20" s="151" t="str">
        <f>IF(F20&gt;0,Balance!B44," ")</f>
        <v xml:space="preserve"> </v>
      </c>
      <c r="F20" s="152">
        <f>IF('Estados y analisis'!Y37&lt;0,-'Estados y analisis'!Y37,0)</f>
        <v>0</v>
      </c>
      <c r="G20" s="152"/>
      <c r="H20" s="152"/>
    </row>
    <row r="21" spans="1:10" x14ac:dyDescent="0.35">
      <c r="A21" s="151"/>
      <c r="B21" s="151" t="str">
        <f>IF(C21&gt;0,Balance!B45," ")</f>
        <v>Obligaciones laborales</v>
      </c>
      <c r="C21" s="152">
        <f>IF('Estados y analisis'!Y38&gt;0,'Estados y analisis'!Y38,0)</f>
        <v>104277973</v>
      </c>
      <c r="D21" s="152"/>
      <c r="E21" s="151" t="str">
        <f>IF(F21&gt;0,Balance!B45," ")</f>
        <v xml:space="preserve"> </v>
      </c>
      <c r="F21" s="152">
        <f>IF('Estados y analisis'!Y38&lt;0,-'Estados y analisis'!Y38,0)</f>
        <v>0</v>
      </c>
      <c r="G21" s="152"/>
      <c r="H21" s="152"/>
    </row>
    <row r="22" spans="1:10" x14ac:dyDescent="0.35">
      <c r="A22" s="151"/>
      <c r="B22" s="151" t="str">
        <f>IF(C22&gt;0,Balance!B46," ")</f>
        <v>Otros pasivos corto plazo</v>
      </c>
      <c r="C22" s="152">
        <f>IF('Estados y analisis'!Y39&gt;0,'Estados y analisis'!Y39,0)</f>
        <v>209555804</v>
      </c>
      <c r="D22" s="152"/>
      <c r="E22" s="151" t="str">
        <f>IF(F22&gt;0,Balance!B46," ")</f>
        <v xml:space="preserve"> </v>
      </c>
      <c r="F22" s="152">
        <f>IF('Estados y analisis'!Y39&lt;0,-'Estados y analisis'!Y39,0)</f>
        <v>0</v>
      </c>
      <c r="G22" s="152"/>
      <c r="H22" s="152"/>
    </row>
    <row r="23" spans="1:10" x14ac:dyDescent="0.35">
      <c r="A23" s="151"/>
      <c r="B23" s="151"/>
      <c r="C23" s="152"/>
      <c r="D23" s="152"/>
      <c r="E23" s="152"/>
      <c r="F23" s="152"/>
      <c r="G23" s="152"/>
      <c r="H23" s="152"/>
    </row>
    <row r="24" spans="1:10" x14ac:dyDescent="0.35">
      <c r="A24" s="151"/>
      <c r="B24" s="148" t="s">
        <v>602</v>
      </c>
      <c r="C24" s="149">
        <f>SUM(C11:C23)</f>
        <v>4939636610.2552891</v>
      </c>
      <c r="D24" s="149"/>
      <c r="E24" s="149" t="s">
        <v>603</v>
      </c>
      <c r="F24" s="149">
        <f>SUM(F11:F23)</f>
        <v>5531351507</v>
      </c>
      <c r="G24" s="152"/>
      <c r="H24" s="156"/>
      <c r="I24" s="54"/>
      <c r="J24" s="54"/>
    </row>
    <row r="25" spans="1:10" x14ac:dyDescent="0.35">
      <c r="A25" s="151"/>
      <c r="B25" s="151"/>
      <c r="C25" s="152"/>
      <c r="D25" s="152"/>
      <c r="E25" s="152"/>
      <c r="F25" s="152"/>
      <c r="G25" s="152"/>
      <c r="H25" s="152"/>
    </row>
    <row r="26" spans="1:10" x14ac:dyDescent="0.35">
      <c r="A26" s="151"/>
      <c r="B26" s="147" t="s">
        <v>604</v>
      </c>
      <c r="C26" s="152"/>
      <c r="D26" s="152"/>
      <c r="E26" s="152"/>
      <c r="F26" s="152"/>
      <c r="G26" s="152"/>
      <c r="H26" s="152"/>
    </row>
    <row r="27" spans="1:10" x14ac:dyDescent="0.35">
      <c r="A27" s="151"/>
      <c r="B27" s="151"/>
      <c r="C27" s="152"/>
      <c r="D27" s="152"/>
      <c r="E27" s="152"/>
      <c r="F27" s="152"/>
      <c r="G27" s="152"/>
      <c r="H27" s="152"/>
    </row>
    <row r="28" spans="1:10" x14ac:dyDescent="0.35">
      <c r="A28" s="151"/>
      <c r="B28" s="151" t="str">
        <f>+Balance!B20</f>
        <v>Muebles y enseres</v>
      </c>
      <c r="C28" s="152">
        <f>IF('Estados y analisis'!Y15&lt;0,-'Estados y analisis'!Y15,0)</f>
        <v>0</v>
      </c>
      <c r="D28" s="152"/>
      <c r="E28" s="151" t="str">
        <f t="shared" ref="E28:E34" si="0">+B28</f>
        <v>Muebles y enseres</v>
      </c>
      <c r="F28" s="152">
        <f>IF('Estados y analisis'!Y15&gt;0,'Estados y analisis'!Y15,0)</f>
        <v>0</v>
      </c>
      <c r="G28" s="152"/>
      <c r="H28" s="152"/>
    </row>
    <row r="29" spans="1:10" x14ac:dyDescent="0.35">
      <c r="A29" s="151"/>
      <c r="B29" s="151" t="str">
        <f>+Balance!B21</f>
        <v>Equipo de oficina</v>
      </c>
      <c r="C29" s="152">
        <f>IF('Estados y analisis'!Y16&lt;0,-'Estados y analisis'!Y16,0)</f>
        <v>0</v>
      </c>
      <c r="D29" s="152"/>
      <c r="E29" s="151" t="str">
        <f t="shared" si="0"/>
        <v>Equipo de oficina</v>
      </c>
      <c r="F29" s="152">
        <f>IF('Estados y analisis'!Y16&gt;0,'Estados y analisis'!Y16,0)</f>
        <v>0</v>
      </c>
      <c r="G29" s="152"/>
      <c r="H29" s="152"/>
    </row>
    <row r="30" spans="1:10" x14ac:dyDescent="0.35">
      <c r="A30" s="151"/>
      <c r="B30" s="151" t="str">
        <f>+Balance!B22</f>
        <v>Maquinaria</v>
      </c>
      <c r="C30" s="152">
        <f>IF('Estados y analisis'!Y17&lt;0,-'Estados y analisis'!Y17,0)</f>
        <v>0</v>
      </c>
      <c r="D30" s="152"/>
      <c r="E30" s="151" t="str">
        <f t="shared" si="0"/>
        <v>Maquinaria</v>
      </c>
      <c r="F30" s="152">
        <f>IF('Estados y analisis'!Y17&gt;0,'Estados y analisis'!Y17,0)</f>
        <v>0</v>
      </c>
      <c r="G30" s="152"/>
      <c r="H30" s="152"/>
    </row>
    <row r="31" spans="1:10" x14ac:dyDescent="0.35">
      <c r="A31" s="151"/>
      <c r="B31" s="151" t="str">
        <f>+Balance!B23</f>
        <v>Vehículos</v>
      </c>
      <c r="C31" s="152">
        <f>IF('Estados y analisis'!Y18&lt;0,-'Estados y analisis'!Y18,0)</f>
        <v>0</v>
      </c>
      <c r="D31" s="152"/>
      <c r="E31" s="151" t="str">
        <f t="shared" si="0"/>
        <v>Vehículos</v>
      </c>
      <c r="F31" s="152">
        <f>IF('Estados y analisis'!Y18&gt;0,'Estados y analisis'!Y18,0)</f>
        <v>0</v>
      </c>
      <c r="G31" s="152"/>
      <c r="H31" s="152"/>
    </row>
    <row r="32" spans="1:10" x14ac:dyDescent="0.35">
      <c r="A32" s="151"/>
      <c r="B32" s="151" t="str">
        <f>+Balance!B24</f>
        <v>Edificios</v>
      </c>
      <c r="C32" s="152">
        <f>IF('Estados y analisis'!Y19&lt;0,-'Estados y analisis'!Y19,0)</f>
        <v>0</v>
      </c>
      <c r="D32" s="152"/>
      <c r="E32" s="151" t="str">
        <f t="shared" si="0"/>
        <v>Edificios</v>
      </c>
      <c r="F32" s="152">
        <f>IF('Estados y analisis'!Y19&gt;0,'Estados y analisis'!Y19,0)</f>
        <v>0</v>
      </c>
      <c r="G32" s="152"/>
      <c r="H32" s="152"/>
    </row>
    <row r="33" spans="1:8" x14ac:dyDescent="0.35">
      <c r="A33" s="151"/>
      <c r="B33" s="151" t="str">
        <f>+Balance!B25</f>
        <v>Terrenos</v>
      </c>
      <c r="C33" s="152">
        <f>IF('Estados y analisis'!Y20&lt;0,-'Estados y analisis'!Y20,0)</f>
        <v>0</v>
      </c>
      <c r="D33" s="152"/>
      <c r="E33" s="151" t="str">
        <f t="shared" si="0"/>
        <v>Terrenos</v>
      </c>
      <c r="F33" s="152">
        <f>IF('Estados y analisis'!Y20&gt;0,'Estados y analisis'!Y20,0)</f>
        <v>0</v>
      </c>
      <c r="G33" s="152"/>
      <c r="H33" s="152"/>
    </row>
    <row r="34" spans="1:8" x14ac:dyDescent="0.35">
      <c r="A34" s="151"/>
      <c r="B34" s="151" t="str">
        <f>+Balance!B26</f>
        <v>Equipo de cómputo</v>
      </c>
      <c r="C34" s="152">
        <f>IF('Estados y analisis'!Y21&lt;0,-'Estados y analisis'!Y21,0)</f>
        <v>0</v>
      </c>
      <c r="D34" s="152"/>
      <c r="E34" s="151" t="str">
        <f t="shared" si="0"/>
        <v>Equipo de cómputo</v>
      </c>
      <c r="F34" s="152">
        <f>IF('Estados y analisis'!Y21&gt;0,'Estados y analisis'!Y21,0)</f>
        <v>0</v>
      </c>
      <c r="G34" s="152"/>
      <c r="H34" s="152"/>
    </row>
    <row r="35" spans="1:8" x14ac:dyDescent="0.35">
      <c r="A35" s="151"/>
      <c r="B35" s="151" t="str">
        <f>IF(C35&gt;0,Balance!B28," ")</f>
        <v>Propiedad planta y equipo</v>
      </c>
      <c r="C35" s="152">
        <f>IF('Estados y analisis'!Y23&lt;0,-'Estados y analisis'!Y23,0)</f>
        <v>150025903</v>
      </c>
      <c r="D35" s="152"/>
      <c r="E35" s="151" t="str">
        <f>IF(F35&gt;0,Balance!B28," ")</f>
        <v xml:space="preserve"> </v>
      </c>
      <c r="F35" s="152">
        <f>IF('Estados y analisis'!Y23&gt;0,'Estados y analisis'!Y23,0)</f>
        <v>0</v>
      </c>
      <c r="G35" s="152"/>
      <c r="H35" s="152"/>
    </row>
    <row r="36" spans="1:8" x14ac:dyDescent="0.35">
      <c r="A36" s="151"/>
      <c r="B36" s="151" t="str">
        <f>IF(C36&gt;0,Balance!B29," ")</f>
        <v xml:space="preserve"> </v>
      </c>
      <c r="C36" s="152">
        <f>IF('Estados y analisis'!Y24&lt;0,-'Estados y analisis'!Y24,0)</f>
        <v>0</v>
      </c>
      <c r="D36" s="152"/>
      <c r="E36" s="151" t="str">
        <f>IF(F36&gt;0,Balance!B29," ")</f>
        <v>Intangibles</v>
      </c>
      <c r="F36" s="152">
        <f>IF('Estados y analisis'!Y24&gt;0,'Estados y analisis'!Y24,0)</f>
        <v>277465182</v>
      </c>
      <c r="G36" s="152"/>
      <c r="H36" s="152"/>
    </row>
    <row r="37" spans="1:8" x14ac:dyDescent="0.35">
      <c r="A37" s="151"/>
      <c r="B37" s="151" t="str">
        <f>IF(C37&gt;0,Balance!B30," ")</f>
        <v xml:space="preserve"> </v>
      </c>
      <c r="C37" s="152">
        <f>IF('Estados y analisis'!Y25&lt;0,-'Estados y analisis'!Y25,0)</f>
        <v>0</v>
      </c>
      <c r="D37" s="152"/>
      <c r="E37" s="151" t="str">
        <f>IF(F37&gt;0,Balance!B30," ")</f>
        <v xml:space="preserve"> </v>
      </c>
      <c r="F37" s="152">
        <f>IF('Estados y analisis'!Y25&gt;0,'Estados y analisis'!Y25,0)</f>
        <v>0</v>
      </c>
      <c r="G37" s="152"/>
      <c r="H37" s="152"/>
    </row>
    <row r="38" spans="1:8" x14ac:dyDescent="0.35">
      <c r="A38" s="151"/>
      <c r="B38" s="151" t="str">
        <f>IF(C38&gt;0,Balance!B31," ")</f>
        <v xml:space="preserve"> </v>
      </c>
      <c r="C38" s="152">
        <f>IF('Estados y analisis'!Y26&lt;0,-'Estados y analisis'!Y26,0)</f>
        <v>0</v>
      </c>
      <c r="D38" s="152"/>
      <c r="E38" s="151" t="str">
        <f>IF(F38&gt;0,Balance!B31," ")</f>
        <v xml:space="preserve"> </v>
      </c>
      <c r="F38" s="152">
        <f>IF('Estados y analisis'!Y26&gt;0,'Estados y analisis'!Y26,0)</f>
        <v>0</v>
      </c>
      <c r="G38" s="152"/>
      <c r="H38" s="152"/>
    </row>
    <row r="39" spans="1:8" x14ac:dyDescent="0.35">
      <c r="A39" s="151"/>
      <c r="B39" s="151" t="str">
        <f>IF(C39&gt;0,Balance!B32," ")</f>
        <v xml:space="preserve"> </v>
      </c>
      <c r="C39" s="152">
        <f>IF('Estados y analisis'!Y27&lt;0,-'Estados y analisis'!Y27,0)</f>
        <v>0</v>
      </c>
      <c r="D39" s="152"/>
      <c r="E39" s="151" t="str">
        <f>IF(F39&gt;0,Balance!B32," ")</f>
        <v>Otros activos no corrientes</v>
      </c>
      <c r="F39" s="152">
        <f>IF('Estados y analisis'!Y27&gt;0,'Estados y analisis'!Y27,0)</f>
        <v>1444568502</v>
      </c>
      <c r="G39" s="152"/>
      <c r="H39" s="152"/>
    </row>
    <row r="40" spans="1:8" x14ac:dyDescent="0.35">
      <c r="A40" s="151"/>
      <c r="B40" s="151" t="str">
        <f>IF(C40&gt;0,Balance!B50," ")</f>
        <v>Obligaciones financieras largo plazo</v>
      </c>
      <c r="C40" s="152">
        <f>IF('Estados y analisis'!Y43&gt;0,'Estados y analisis'!Y43,0)</f>
        <v>1038321077.4999995</v>
      </c>
      <c r="D40" s="152"/>
      <c r="E40" s="151" t="str">
        <f>IF(F40&gt;0,Balance!B50," ")</f>
        <v xml:space="preserve"> </v>
      </c>
      <c r="F40" s="152">
        <f>IF('Estados y analisis'!Y43&lt;0,-'Estados y analisis'!Y43,0)</f>
        <v>0</v>
      </c>
      <c r="G40" s="152"/>
      <c r="H40" s="152"/>
    </row>
    <row r="41" spans="1:8" x14ac:dyDescent="0.35">
      <c r="A41" s="151"/>
      <c r="B41" s="151" t="str">
        <f>IF(C41&gt;0,Balance!B51," ")</f>
        <v xml:space="preserve"> </v>
      </c>
      <c r="C41" s="152">
        <f>IF('Estados y analisis'!Y44&gt;0,'Estados y analisis'!Y44,0)</f>
        <v>0</v>
      </c>
      <c r="D41" s="152"/>
      <c r="E41" s="151" t="str">
        <f>IF(F41&gt;0,Balance!B51," ")</f>
        <v xml:space="preserve"> </v>
      </c>
      <c r="F41" s="152">
        <f>IF('Estados y analisis'!Y44&lt;0,-'Estados y analisis'!Y44,0)</f>
        <v>0</v>
      </c>
      <c r="G41" s="152"/>
      <c r="H41" s="152"/>
    </row>
    <row r="42" spans="1:8" x14ac:dyDescent="0.35">
      <c r="A42" s="151"/>
      <c r="B42" s="151" t="str">
        <f>IF(C42&gt;0,Balance!B52," ")</f>
        <v xml:space="preserve"> </v>
      </c>
      <c r="C42" s="152">
        <f>IF('Estados y analisis'!Y45&gt;0,'Estados y analisis'!Y45,0)</f>
        <v>0</v>
      </c>
      <c r="D42" s="152"/>
      <c r="E42" s="151" t="str">
        <f>IF(F42&gt;0,Balance!B52," ")</f>
        <v xml:space="preserve"> </v>
      </c>
      <c r="F42" s="152">
        <f>IF('Estados y analisis'!Y45&lt;0,-'Estados y analisis'!Y45,0)</f>
        <v>0</v>
      </c>
      <c r="G42" s="152"/>
      <c r="H42" s="152"/>
    </row>
    <row r="43" spans="1:8" x14ac:dyDescent="0.35">
      <c r="A43" s="151"/>
      <c r="B43" s="151" t="str">
        <f>IF(C43&gt;0,Balance!B53," ")</f>
        <v xml:space="preserve"> </v>
      </c>
      <c r="C43" s="152">
        <f>IF('Estados y analisis'!Y46&gt;0,'Estados y analisis'!Y46,0)</f>
        <v>0</v>
      </c>
      <c r="D43" s="152"/>
      <c r="E43" s="151" t="str">
        <f>IF(F43&gt;0,Balance!B53," ")</f>
        <v xml:space="preserve"> </v>
      </c>
      <c r="F43" s="152">
        <f>IF('Estados y analisis'!Y46&lt;0,-'Estados y analisis'!Y46,0)</f>
        <v>0</v>
      </c>
      <c r="G43" s="152"/>
      <c r="H43" s="152"/>
    </row>
    <row r="44" spans="1:8" x14ac:dyDescent="0.35">
      <c r="A44" s="151"/>
      <c r="B44" s="151" t="str">
        <f>IF(C44&gt;0,Balance!B54," ")</f>
        <v xml:space="preserve"> </v>
      </c>
      <c r="C44" s="325">
        <f>IF('Estados y analisis'!Y47&gt;0,'Estados y analisis'!Y47,0)</f>
        <v>0</v>
      </c>
      <c r="D44" s="152"/>
      <c r="E44" s="151" t="str">
        <f>IF(F44&gt;0,Balance!B54," ")</f>
        <v xml:space="preserve"> </v>
      </c>
      <c r="F44" s="152">
        <f>IF('Estados y analisis'!Y47&lt;0,-'Estados y analisis'!Y47,0)</f>
        <v>0</v>
      </c>
      <c r="G44" s="152"/>
      <c r="H44" s="152"/>
    </row>
    <row r="45" spans="1:8" x14ac:dyDescent="0.35">
      <c r="A45" s="151"/>
      <c r="B45" s="151" t="str">
        <f>IF(C45&gt;0,Balance!B62," ")</f>
        <v xml:space="preserve"> </v>
      </c>
      <c r="C45" s="152">
        <f>IF('Estados y analisis'!Y53&gt;0,'Estados y analisis'!Y53,0)</f>
        <v>0</v>
      </c>
      <c r="D45" s="152"/>
      <c r="E45" s="151" t="str">
        <f>IF(F45&gt;0,Balance!B62," ")</f>
        <v xml:space="preserve"> </v>
      </c>
      <c r="F45" s="152">
        <f>IF('Estados y analisis'!Y53&lt;0,-'Estados y analisis'!Y53,0)</f>
        <v>0</v>
      </c>
      <c r="G45" s="152"/>
      <c r="H45" s="152"/>
    </row>
    <row r="46" spans="1:8" x14ac:dyDescent="0.35">
      <c r="A46" s="151"/>
      <c r="B46" s="151" t="str">
        <f>IF(C46&gt;0,Balance!B63," ")</f>
        <v xml:space="preserve"> </v>
      </c>
      <c r="C46" s="152">
        <f>IF('Estados y analisis'!Y54&gt;0,'Estados y analisis'!Y54,0)</f>
        <v>0</v>
      </c>
      <c r="D46" s="152"/>
      <c r="E46" s="151" t="str">
        <f>IF(F46&gt;0,Balance!B63," ")</f>
        <v xml:space="preserve"> </v>
      </c>
      <c r="F46" s="152">
        <f>IF('Estados y analisis'!Y54&lt;0,-'Estados y analisis'!Y54,0)</f>
        <v>0</v>
      </c>
      <c r="G46" s="152"/>
      <c r="H46" s="152"/>
    </row>
    <row r="47" spans="1:8" x14ac:dyDescent="0.35">
      <c r="A47" s="151"/>
      <c r="B47" s="151" t="str">
        <f>IF(C47&gt;0,Balance!B65," ")</f>
        <v xml:space="preserve"> </v>
      </c>
      <c r="C47" s="152">
        <f>IF('Estados y analisis'!Y56&gt;0,'Estados y analisis'!Y56,0)</f>
        <v>0</v>
      </c>
      <c r="D47" s="152"/>
      <c r="E47" s="151" t="str">
        <f>IF(F47&gt;0,Balance!B65," ")</f>
        <v xml:space="preserve"> </v>
      </c>
      <c r="F47" s="152">
        <f>IF('Estados y analisis'!Y56&lt;0,-'Estados y analisis'!Y56,0)</f>
        <v>0</v>
      </c>
      <c r="G47" s="152"/>
      <c r="H47" s="152"/>
    </row>
    <row r="48" spans="1:8" x14ac:dyDescent="0.35">
      <c r="A48" s="151"/>
      <c r="B48" s="151" t="str">
        <f>IF(C48&gt;0,Balance!B68," ")</f>
        <v xml:space="preserve"> </v>
      </c>
      <c r="C48" s="152">
        <f>IF('Estados y analisis'!Y59&gt;0,'Estados y analisis'!Y59,0)</f>
        <v>0</v>
      </c>
      <c r="D48" s="152"/>
      <c r="E48" s="151" t="str">
        <f>IF(F48&gt;0,Balance!B68," ")</f>
        <v xml:space="preserve"> </v>
      </c>
      <c r="F48" s="152">
        <f>IF('Estados y analisis'!Y59&lt;0,-'Estados y analisis'!Y59,0)</f>
        <v>0</v>
      </c>
      <c r="G48" s="152"/>
      <c r="H48" s="152"/>
    </row>
    <row r="49" spans="1:8" x14ac:dyDescent="0.35">
      <c r="A49" s="151"/>
      <c r="B49" s="151" t="str">
        <f>IF(C49&gt;0,Balance!B69," ")</f>
        <v xml:space="preserve"> </v>
      </c>
      <c r="C49" s="152">
        <f>IF('Estados y analisis'!Y60&gt;0,'Estados y analisis'!Y60,0)</f>
        <v>0</v>
      </c>
      <c r="D49" s="152"/>
      <c r="E49" s="151" t="str">
        <f>IF(F49&gt;0,Balance!B69," ")</f>
        <v xml:space="preserve"> </v>
      </c>
      <c r="F49" s="152">
        <f>IF('Estados y analisis'!Y60&lt;0,-'Estados y analisis'!Y60,0)</f>
        <v>0</v>
      </c>
      <c r="G49" s="152"/>
      <c r="H49" s="152"/>
    </row>
    <row r="50" spans="1:8" x14ac:dyDescent="0.35">
      <c r="A50" s="151"/>
      <c r="B50" s="151"/>
      <c r="C50" s="152"/>
      <c r="D50" s="152"/>
      <c r="E50" s="152"/>
      <c r="F50" s="152"/>
      <c r="G50" s="152"/>
      <c r="H50" s="152"/>
    </row>
    <row r="51" spans="1:8" x14ac:dyDescent="0.35">
      <c r="A51" s="151"/>
      <c r="B51" s="148" t="s">
        <v>605</v>
      </c>
      <c r="C51" s="149">
        <f>SUM(C35:C50)</f>
        <v>1188346980.4999995</v>
      </c>
      <c r="D51" s="149"/>
      <c r="E51" s="149" t="s">
        <v>606</v>
      </c>
      <c r="F51" s="149">
        <f>SUM(F35:F50)</f>
        <v>1722033684</v>
      </c>
      <c r="G51" s="152"/>
      <c r="H51" s="152"/>
    </row>
    <row r="52" spans="1:8" x14ac:dyDescent="0.35">
      <c r="A52" s="151"/>
      <c r="B52" s="151"/>
      <c r="C52" s="152"/>
      <c r="D52" s="152"/>
      <c r="E52" s="152"/>
      <c r="F52" s="152"/>
      <c r="G52" s="152"/>
      <c r="H52" s="152"/>
    </row>
    <row r="53" spans="1:8" x14ac:dyDescent="0.35">
      <c r="A53" s="151"/>
      <c r="B53" s="147" t="s">
        <v>607</v>
      </c>
      <c r="C53" s="152"/>
      <c r="D53" s="152"/>
      <c r="E53" s="152"/>
      <c r="F53" s="150"/>
      <c r="G53" s="152"/>
      <c r="H53" s="152"/>
    </row>
    <row r="54" spans="1:8" x14ac:dyDescent="0.35">
      <c r="A54" s="151"/>
      <c r="B54" s="151"/>
      <c r="C54" s="152"/>
      <c r="D54" s="152"/>
      <c r="E54" s="152"/>
      <c r="F54" s="152"/>
      <c r="G54" s="152"/>
      <c r="H54" s="152"/>
    </row>
    <row r="55" spans="1:8" x14ac:dyDescent="0.35">
      <c r="A55" s="151"/>
      <c r="B55" s="151" t="s">
        <v>608</v>
      </c>
      <c r="C55" s="152">
        <f>+'Estados y analisis'!H83</f>
        <v>1062044471.9752088</v>
      </c>
      <c r="D55" s="152"/>
      <c r="E55" s="152" t="s">
        <v>609</v>
      </c>
      <c r="F55" s="150">
        <f>+Variables!I79</f>
        <v>0</v>
      </c>
      <c r="G55" s="152"/>
      <c r="H55" s="152"/>
    </row>
    <row r="56" spans="1:8" x14ac:dyDescent="0.35">
      <c r="A56" s="151"/>
      <c r="B56" s="151" t="s">
        <v>610</v>
      </c>
      <c r="C56" s="152">
        <f>+Variables!I76</f>
        <v>280702439</v>
      </c>
      <c r="D56" s="152"/>
      <c r="E56" s="151"/>
      <c r="F56" s="152"/>
      <c r="G56" s="152"/>
      <c r="H56" s="152"/>
    </row>
    <row r="57" spans="1:8" x14ac:dyDescent="0.35">
      <c r="A57" s="151"/>
      <c r="B57" s="151"/>
      <c r="C57" s="152"/>
      <c r="D57" s="152"/>
      <c r="E57" s="152"/>
      <c r="F57" s="152"/>
      <c r="G57" s="152"/>
      <c r="H57" s="152"/>
    </row>
    <row r="58" spans="1:8" x14ac:dyDescent="0.35">
      <c r="A58" s="151"/>
      <c r="B58" s="148" t="s">
        <v>611</v>
      </c>
      <c r="C58" s="149">
        <f>SUM(C55:C57)</f>
        <v>1342746910.9752088</v>
      </c>
      <c r="D58" s="149"/>
      <c r="E58" s="149"/>
      <c r="F58" s="149"/>
      <c r="G58" s="152"/>
      <c r="H58" s="152"/>
    </row>
    <row r="59" spans="1:8" x14ac:dyDescent="0.35">
      <c r="A59" s="151"/>
      <c r="B59" s="151"/>
      <c r="C59" s="152"/>
      <c r="D59" s="152"/>
      <c r="E59" s="152"/>
      <c r="F59" s="152"/>
      <c r="G59" s="152"/>
      <c r="H59" s="152"/>
    </row>
    <row r="60" spans="1:8" ht="15.6" thickBot="1" x14ac:dyDescent="0.4">
      <c r="A60" s="151"/>
      <c r="B60" s="157" t="s">
        <v>612</v>
      </c>
      <c r="C60" s="158">
        <f>+C58+C51+C24</f>
        <v>7470730501.7304974</v>
      </c>
      <c r="D60" s="158"/>
      <c r="E60" s="157" t="s">
        <v>613</v>
      </c>
      <c r="F60" s="158">
        <f>+F58+F51+F24+F55</f>
        <v>7253385191</v>
      </c>
      <c r="G60" s="152"/>
      <c r="H60" s="152"/>
    </row>
    <row r="61" spans="1:8" ht="15" thickTop="1" x14ac:dyDescent="0.35">
      <c r="A61" s="151"/>
      <c r="B61" s="151"/>
      <c r="C61" s="152"/>
      <c r="D61" s="152"/>
      <c r="E61" s="152"/>
      <c r="F61" s="152"/>
      <c r="G61" s="152"/>
      <c r="H61" s="152"/>
    </row>
    <row r="62" spans="1:8" x14ac:dyDescent="0.35">
      <c r="A62" s="151"/>
      <c r="B62" s="159" t="s">
        <v>614</v>
      </c>
      <c r="C62" s="152"/>
      <c r="D62" s="152"/>
      <c r="E62" s="152"/>
      <c r="F62" s="152"/>
      <c r="G62" s="152"/>
      <c r="H62" s="152"/>
    </row>
    <row r="63" spans="1:8" x14ac:dyDescent="0.35">
      <c r="A63" s="151"/>
      <c r="B63" s="151"/>
      <c r="C63" s="152"/>
      <c r="D63" s="152"/>
      <c r="E63" s="152"/>
      <c r="F63" s="152"/>
      <c r="G63" s="152"/>
      <c r="H63" s="152"/>
    </row>
    <row r="64" spans="1:8" x14ac:dyDescent="0.35">
      <c r="A64" s="151"/>
      <c r="B64" s="151" t="s">
        <v>615</v>
      </c>
      <c r="C64" s="152"/>
      <c r="D64" s="152"/>
      <c r="E64" s="152"/>
      <c r="F64" s="152"/>
      <c r="G64" s="152"/>
      <c r="H64" s="152"/>
    </row>
    <row r="65" spans="1:8" x14ac:dyDescent="0.35">
      <c r="A65" s="151"/>
      <c r="B65" s="151" t="s">
        <v>616</v>
      </c>
      <c r="C65" s="152"/>
      <c r="D65" s="152"/>
      <c r="E65" s="152"/>
      <c r="F65" s="152"/>
      <c r="G65" s="152"/>
      <c r="H65" s="152"/>
    </row>
    <row r="66" spans="1:8" x14ac:dyDescent="0.35">
      <c r="A66" s="151"/>
      <c r="B66" s="151"/>
      <c r="C66" s="152"/>
      <c r="D66" s="152"/>
      <c r="E66" s="152"/>
      <c r="F66" s="152"/>
      <c r="G66" s="152"/>
      <c r="H66" s="152"/>
    </row>
    <row r="67" spans="1:8" x14ac:dyDescent="0.35">
      <c r="A67" s="151"/>
      <c r="B67" s="151"/>
      <c r="C67" s="152"/>
      <c r="D67" s="152"/>
      <c r="E67" s="152"/>
      <c r="F67" s="152"/>
      <c r="G67" s="152"/>
      <c r="H67" s="152"/>
    </row>
    <row r="68" spans="1:8" x14ac:dyDescent="0.35">
      <c r="A68" s="151"/>
      <c r="B68" s="151" t="str">
        <f>+B24</f>
        <v>TOTAL FUENTES DE CORTO PLAZO</v>
      </c>
      <c r="C68" s="152">
        <f>+C24</f>
        <v>4939636610.2552891</v>
      </c>
      <c r="D68" s="152"/>
      <c r="E68" s="152" t="str">
        <f>+E24</f>
        <v>TOTAL APLICACIONES DE CORTO PLAZO</v>
      </c>
      <c r="F68" s="152">
        <f>+F24</f>
        <v>5531351507</v>
      </c>
      <c r="G68" s="152"/>
      <c r="H68" s="152"/>
    </row>
    <row r="69" spans="1:8" x14ac:dyDescent="0.35">
      <c r="A69" s="151"/>
      <c r="B69" s="578" t="str">
        <f>"AL CORTO PLAZO "&amp;IF(C68&gt;F68,"CUMPLE EL "&amp;B62,"NO CUMPLE EL "&amp;B62)</f>
        <v>AL CORTO PLAZO NO CUMPLE EL PRINCIPIO DE CONFORMIDAD FINANCIERA</v>
      </c>
      <c r="C69" s="578"/>
      <c r="D69" s="578"/>
      <c r="E69" s="578"/>
      <c r="F69" s="578"/>
      <c r="G69" s="152"/>
      <c r="H69" s="152"/>
    </row>
    <row r="70" spans="1:8" x14ac:dyDescent="0.35">
      <c r="A70" s="151"/>
      <c r="B70" s="151"/>
      <c r="C70" s="152"/>
      <c r="D70" s="152"/>
      <c r="E70" s="152"/>
      <c r="F70" s="152"/>
      <c r="G70" s="152"/>
      <c r="H70" s="152"/>
    </row>
    <row r="71" spans="1:8" x14ac:dyDescent="0.35">
      <c r="A71" s="151"/>
      <c r="B71" s="151" t="str">
        <f>+B51</f>
        <v>TOTAL FUENTES DE LARGO PLAZO</v>
      </c>
      <c r="C71" s="152">
        <f>+C51</f>
        <v>1188346980.4999995</v>
      </c>
      <c r="D71" s="152"/>
      <c r="E71" s="152" t="str">
        <f>+E51</f>
        <v>TOTAL APLICACIONES DE LARGO PLAZO</v>
      </c>
      <c r="F71" s="152">
        <f>+F51</f>
        <v>1722033684</v>
      </c>
      <c r="G71" s="152"/>
      <c r="H71" s="152"/>
    </row>
    <row r="72" spans="1:8" x14ac:dyDescent="0.35">
      <c r="A72" s="151"/>
      <c r="B72" s="151" t="str">
        <f>+B58</f>
        <v>TOTAL GENERACION INTERNA RECURSOS</v>
      </c>
      <c r="C72" s="152">
        <f>+C58</f>
        <v>1342746910.9752088</v>
      </c>
      <c r="D72" s="152"/>
      <c r="E72" s="152" t="s">
        <v>617</v>
      </c>
      <c r="F72" s="152">
        <f>+F55</f>
        <v>0</v>
      </c>
      <c r="G72" s="152"/>
      <c r="H72" s="152"/>
    </row>
    <row r="73" spans="1:8" x14ac:dyDescent="0.35">
      <c r="A73" s="151"/>
      <c r="B73" s="179" t="s">
        <v>618</v>
      </c>
      <c r="C73" s="156">
        <f>+C72+C71</f>
        <v>2531093891.4752083</v>
      </c>
      <c r="D73" s="156"/>
      <c r="E73" s="179" t="s">
        <v>618</v>
      </c>
      <c r="F73" s="156">
        <f>+F72+F71</f>
        <v>1722033684</v>
      </c>
      <c r="G73" s="152"/>
      <c r="H73" s="152"/>
    </row>
    <row r="74" spans="1:8" x14ac:dyDescent="0.35">
      <c r="A74" s="151"/>
      <c r="B74" s="578" t="str">
        <f>"AL LARGO PLAZO "&amp;IF(C73&gt;F73,"CUMPLE EL "&amp;B62,"NO CUMPLE EL "&amp;B62)</f>
        <v>AL LARGO PLAZO CUMPLE EL PRINCIPIO DE CONFORMIDAD FINANCIERA</v>
      </c>
      <c r="C74" s="578"/>
      <c r="D74" s="578"/>
      <c r="E74" s="578"/>
      <c r="F74" s="578"/>
      <c r="G74" s="152"/>
      <c r="H74" s="152"/>
    </row>
    <row r="75" spans="1:8" x14ac:dyDescent="0.35">
      <c r="A75" s="151"/>
      <c r="B75" s="151"/>
      <c r="C75" s="152"/>
      <c r="D75" s="152"/>
      <c r="E75" s="152"/>
      <c r="F75" s="152"/>
      <c r="G75" s="152"/>
      <c r="H75" s="152"/>
    </row>
    <row r="76" spans="1:8" x14ac:dyDescent="0.35"/>
  </sheetData>
  <sheetProtection selectLockedCells="1" selectUnlockedCells="1"/>
  <mergeCells count="5">
    <mergeCell ref="B3:G3"/>
    <mergeCell ref="B4:G4"/>
    <mergeCell ref="B5:G5"/>
    <mergeCell ref="B69:F69"/>
    <mergeCell ref="B74:F74"/>
  </mergeCells>
  <conditionalFormatting sqref="F61">
    <cfRule type="cellIs" dxfId="43" priority="52" stopIfTrue="1" operator="notEqual">
      <formula>0</formula>
    </cfRule>
    <cfRule type="cellIs" dxfId="42" priority="53" stopIfTrue="1" operator="equal">
      <formula>0</formula>
    </cfRule>
  </conditionalFormatting>
  <conditionalFormatting sqref="F55 C55:C56 F53 C11:C22 F11:F22 C28:C49 F28:F49">
    <cfRule type="cellIs" dxfId="41" priority="51" stopIfTrue="1" operator="equal">
      <formula>0</formula>
    </cfRule>
  </conditionalFormatting>
  <conditionalFormatting sqref="B69:F69">
    <cfRule type="containsText" dxfId="40" priority="2" operator="containsText" text="NO">
      <formula>NOT(ISERROR(SEARCH("NO",B69)))</formula>
    </cfRule>
  </conditionalFormatting>
  <conditionalFormatting sqref="B74:F74">
    <cfRule type="containsText" dxfId="39" priority="1" operator="containsText" text="NO">
      <formula>NOT(ISERROR(SEARCH("NO",B74)))</formula>
    </cfRule>
  </conditionalFormatting>
  <printOptions horizontalCentered="1" verticalCentered="1"/>
  <pageMargins left="0.23622047244094491" right="0.23622047244094491" top="0.74803149606299213" bottom="0.74803149606299213" header="0.31496062992125984" footer="0.31496062992125984"/>
  <pageSetup scale="85" orientation="portrait"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4"/>
  <dimension ref="A1:AR75"/>
  <sheetViews>
    <sheetView zoomScale="80" zoomScaleNormal="80" workbookViewId="0"/>
  </sheetViews>
  <sheetFormatPr baseColWidth="10" defaultColWidth="0" defaultRowHeight="14.4" zeroHeight="1" x14ac:dyDescent="0.35"/>
  <cols>
    <col min="1" max="1" width="4.5546875" customWidth="1"/>
    <col min="2" max="2" width="7" bestFit="1" customWidth="1"/>
    <col min="3" max="3" width="12.44140625" bestFit="1" customWidth="1"/>
    <col min="4" max="14" width="11.44140625" customWidth="1"/>
    <col min="15" max="15" width="24.5546875" bestFit="1" customWidth="1"/>
    <col min="16" max="17" width="15.33203125" bestFit="1" customWidth="1"/>
    <col min="18" max="18" width="15.33203125" customWidth="1"/>
    <col min="19" max="19" width="15.33203125" bestFit="1" customWidth="1"/>
    <col min="20" max="21" width="15.33203125" customWidth="1"/>
    <col min="22" max="23" width="11.44140625" customWidth="1"/>
    <col min="24" max="24" width="2.5546875" customWidth="1"/>
    <col min="25" max="29" width="11.44140625" hidden="1" customWidth="1"/>
    <col min="30" max="31" width="0" hidden="1" customWidth="1"/>
    <col min="32" max="34" width="11.44140625" hidden="1" customWidth="1"/>
    <col min="35" max="36" width="11.44140625" hidden="1"/>
    <col min="38" max="44" width="11.44140625" hidden="1"/>
  </cols>
  <sheetData>
    <row r="1" spans="1:29" x14ac:dyDescent="0.35">
      <c r="A1" s="175"/>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row>
    <row r="2" spans="1:29" x14ac:dyDescent="0.35">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row>
    <row r="3" spans="1:29" x14ac:dyDescent="0.35">
      <c r="A3" s="175"/>
      <c r="B3" s="175"/>
      <c r="C3" s="175"/>
      <c r="D3" s="175"/>
      <c r="E3" s="175"/>
      <c r="F3" s="175"/>
      <c r="G3" s="175"/>
      <c r="H3" s="175"/>
      <c r="I3" s="175"/>
      <c r="J3" s="175"/>
      <c r="K3" s="175"/>
      <c r="L3" s="175"/>
      <c r="M3" s="175"/>
      <c r="N3" s="175"/>
      <c r="O3" s="579" t="str">
        <f>+Liquidez!B3</f>
        <v>K-LISTO</v>
      </c>
      <c r="P3" s="579"/>
      <c r="Q3" s="579"/>
      <c r="R3" s="579"/>
      <c r="S3" s="579"/>
      <c r="T3" s="579"/>
      <c r="U3" s="579"/>
      <c r="V3" s="579"/>
      <c r="W3" s="579"/>
      <c r="X3" s="175"/>
      <c r="Y3" s="175"/>
      <c r="Z3" s="175"/>
      <c r="AA3" s="175"/>
      <c r="AB3" s="175"/>
      <c r="AC3" s="175"/>
    </row>
    <row r="4" spans="1:29" x14ac:dyDescent="0.35">
      <c r="A4" s="175"/>
      <c r="B4" s="175"/>
      <c r="C4" s="175"/>
      <c r="D4" s="175"/>
      <c r="E4" s="175"/>
      <c r="F4" s="175"/>
      <c r="G4" s="175"/>
      <c r="H4" s="175"/>
      <c r="I4" s="175"/>
      <c r="J4" s="175"/>
      <c r="K4" s="175"/>
      <c r="L4" s="175"/>
      <c r="M4" s="175"/>
      <c r="N4" s="175"/>
      <c r="O4" s="579" t="s">
        <v>619</v>
      </c>
      <c r="P4" s="579"/>
      <c r="Q4" s="579"/>
      <c r="R4" s="579"/>
      <c r="S4" s="579"/>
      <c r="T4" s="579"/>
      <c r="U4" s="579"/>
      <c r="V4" s="579"/>
      <c r="W4" s="579"/>
      <c r="X4" s="175"/>
      <c r="Y4" s="175"/>
      <c r="Z4" s="175"/>
      <c r="AA4" s="175"/>
      <c r="AB4" s="175"/>
      <c r="AC4" s="175"/>
    </row>
    <row r="5" spans="1:29" x14ac:dyDescent="0.35">
      <c r="A5" s="175"/>
      <c r="B5" s="175"/>
      <c r="C5" s="175"/>
      <c r="D5" s="175"/>
      <c r="E5" s="175"/>
      <c r="F5" s="175"/>
      <c r="G5" s="175"/>
      <c r="H5" s="175"/>
      <c r="I5" s="175"/>
      <c r="J5" s="175"/>
      <c r="K5" s="175"/>
      <c r="L5" s="175"/>
      <c r="M5" s="175"/>
      <c r="N5" s="175"/>
      <c r="O5" s="579"/>
      <c r="P5" s="579"/>
      <c r="Q5" s="579"/>
      <c r="R5" s="579"/>
      <c r="S5" s="579"/>
      <c r="T5" s="579"/>
      <c r="U5" s="579"/>
      <c r="V5" s="579"/>
      <c r="W5" s="579"/>
      <c r="X5" s="175"/>
      <c r="Y5" s="175"/>
      <c r="Z5" s="175"/>
      <c r="AA5" s="175"/>
      <c r="AB5" s="175"/>
      <c r="AC5" s="175"/>
    </row>
    <row r="6" spans="1:29" x14ac:dyDescent="0.35">
      <c r="A6" s="175"/>
      <c r="B6" s="175"/>
      <c r="C6" s="175"/>
      <c r="D6" s="175"/>
      <c r="E6" s="175"/>
      <c r="F6" s="175"/>
      <c r="G6" s="175"/>
      <c r="H6" s="175"/>
      <c r="I6" s="175"/>
      <c r="J6" s="175"/>
      <c r="K6" s="175"/>
      <c r="L6" s="175"/>
      <c r="M6" s="175"/>
      <c r="N6" s="175"/>
      <c r="O6" s="57"/>
      <c r="P6" s="16">
        <f>+Liquidez!E7</f>
        <v>2018</v>
      </c>
      <c r="Q6" s="16">
        <f>+Liquidez!F7</f>
        <v>2019</v>
      </c>
      <c r="R6" s="16">
        <v>2020</v>
      </c>
      <c r="S6" s="16">
        <f>+Liquidez!H7</f>
        <v>2021</v>
      </c>
      <c r="T6" s="16">
        <f>+Liquidez!I7</f>
        <v>2022</v>
      </c>
      <c r="U6" s="16">
        <f>+Liquidez!J7</f>
        <v>2023</v>
      </c>
      <c r="V6" s="175"/>
      <c r="W6" s="175"/>
      <c r="X6" s="175"/>
      <c r="Y6" s="175"/>
      <c r="Z6" s="175"/>
      <c r="AA6" s="175"/>
      <c r="AB6" s="175"/>
      <c r="AC6" s="175"/>
    </row>
    <row r="7" spans="1:29" x14ac:dyDescent="0.35">
      <c r="A7" s="175"/>
      <c r="B7" s="175"/>
      <c r="C7" s="175"/>
      <c r="D7" s="175"/>
      <c r="E7" s="175"/>
      <c r="F7" s="175"/>
      <c r="G7" s="175"/>
      <c r="H7" s="175"/>
      <c r="I7" s="175"/>
      <c r="J7" s="175"/>
      <c r="K7" s="175"/>
      <c r="L7" s="175"/>
      <c r="M7" s="175"/>
      <c r="N7" s="175"/>
      <c r="O7" s="58"/>
      <c r="P7" s="58"/>
      <c r="Q7" s="58"/>
      <c r="R7" s="58"/>
      <c r="S7" s="58"/>
      <c r="T7" s="431"/>
      <c r="U7" s="431"/>
      <c r="V7" s="175"/>
      <c r="W7" s="175"/>
      <c r="X7" s="175"/>
      <c r="Y7" s="175"/>
      <c r="Z7" s="175"/>
      <c r="AA7" s="175"/>
      <c r="AB7" s="175"/>
      <c r="AC7" s="175"/>
    </row>
    <row r="8" spans="1:29" x14ac:dyDescent="0.35">
      <c r="A8" s="175"/>
      <c r="B8" s="175"/>
      <c r="C8" s="175"/>
      <c r="D8" s="175"/>
      <c r="E8" s="175"/>
      <c r="F8" s="175"/>
      <c r="G8" s="175"/>
      <c r="H8" s="175"/>
      <c r="I8" s="175"/>
      <c r="J8" s="175"/>
      <c r="K8" s="175"/>
      <c r="L8" s="175"/>
      <c r="M8" s="175"/>
      <c r="N8" s="175"/>
      <c r="O8" s="62" t="s">
        <v>620</v>
      </c>
      <c r="P8" s="63">
        <f>+Balance!C36</f>
        <v>8957294765</v>
      </c>
      <c r="Q8" s="63">
        <f>+Balance!D36</f>
        <v>10528589969.5</v>
      </c>
      <c r="R8" s="63">
        <f>+Balance!E36</f>
        <v>14239007523.5</v>
      </c>
      <c r="S8" s="63">
        <f>+Balance!F36</f>
        <v>18426335135.5</v>
      </c>
      <c r="T8" s="63">
        <f>+Balance!G36</f>
        <v>19905367721</v>
      </c>
      <c r="U8" s="63">
        <f>+Balance!H36</f>
        <v>26526661794</v>
      </c>
      <c r="V8" s="175"/>
      <c r="W8" s="175"/>
      <c r="X8" s="175"/>
      <c r="Y8" s="175"/>
      <c r="Z8" s="175"/>
      <c r="AA8" s="175"/>
      <c r="AB8" s="175"/>
      <c r="AC8" s="175"/>
    </row>
    <row r="9" spans="1:29" x14ac:dyDescent="0.35">
      <c r="A9" s="175"/>
      <c r="B9" s="175"/>
      <c r="C9" s="175"/>
      <c r="D9" s="175"/>
      <c r="E9" s="175"/>
      <c r="F9" s="175"/>
      <c r="G9" s="175"/>
      <c r="H9" s="175"/>
      <c r="I9" s="175"/>
      <c r="J9" s="175"/>
      <c r="K9" s="175"/>
      <c r="L9" s="175"/>
      <c r="M9" s="175"/>
      <c r="N9" s="175"/>
      <c r="O9" s="62" t="s">
        <v>621</v>
      </c>
      <c r="P9" s="63">
        <f>+Balance!C58</f>
        <v>4361547849.7866659</v>
      </c>
      <c r="Q9" s="63">
        <f>+Balance!D58</f>
        <v>5631265134</v>
      </c>
      <c r="R9" s="63">
        <f>+Balance!E58</f>
        <v>6390307082</v>
      </c>
      <c r="S9" s="63">
        <f>+Balance!F58</f>
        <v>9977532296</v>
      </c>
      <c r="T9" s="63">
        <f>+Balance!G58</f>
        <v>11024327653.269503</v>
      </c>
      <c r="U9" s="63">
        <f>+Balance!H58</f>
        <v>16520220126.024788</v>
      </c>
      <c r="V9" s="175"/>
      <c r="W9" s="175"/>
      <c r="X9" s="175"/>
      <c r="Y9" s="175"/>
      <c r="Z9" s="175"/>
      <c r="AA9" s="175"/>
      <c r="AB9" s="175"/>
      <c r="AC9" s="175"/>
    </row>
    <row r="10" spans="1:29" x14ac:dyDescent="0.35">
      <c r="A10" s="175"/>
      <c r="B10" s="175"/>
      <c r="C10" s="175"/>
      <c r="D10" s="175"/>
      <c r="E10" s="175"/>
      <c r="F10" s="175"/>
      <c r="G10" s="175"/>
      <c r="H10" s="175"/>
      <c r="I10" s="175"/>
      <c r="J10" s="175"/>
      <c r="K10" s="175"/>
      <c r="L10" s="175"/>
      <c r="M10" s="175"/>
      <c r="N10" s="175"/>
      <c r="O10" s="62" t="s">
        <v>428</v>
      </c>
      <c r="P10" s="63">
        <f>+Balance!C71</f>
        <v>4595746915.2133341</v>
      </c>
      <c r="Q10" s="63">
        <f>+Balance!D71</f>
        <v>4897324835.499999</v>
      </c>
      <c r="R10" s="63">
        <f>+Balance!E71</f>
        <v>7848700441.5</v>
      </c>
      <c r="S10" s="63">
        <f>+Balance!F71</f>
        <v>8448802839.499999</v>
      </c>
      <c r="T10" s="63">
        <f>+Balance!G71</f>
        <v>8881040067.7304974</v>
      </c>
      <c r="U10" s="63">
        <f>+Balance!H71</f>
        <v>10006441667.975208</v>
      </c>
      <c r="V10" s="175"/>
      <c r="W10" s="175"/>
      <c r="X10" s="175"/>
      <c r="Y10" s="175"/>
      <c r="Z10" s="175"/>
      <c r="AA10" s="175"/>
      <c r="AB10" s="175"/>
      <c r="AC10" s="175"/>
    </row>
    <row r="11" spans="1:29" x14ac:dyDescent="0.35">
      <c r="A11" s="175"/>
      <c r="B11" s="175"/>
      <c r="C11" s="175"/>
      <c r="D11" s="175"/>
      <c r="E11" s="175"/>
      <c r="F11" s="175"/>
      <c r="G11" s="175"/>
      <c r="H11" s="175"/>
      <c r="I11" s="175"/>
      <c r="J11" s="175"/>
      <c r="K11" s="175"/>
      <c r="L11" s="175"/>
      <c r="M11" s="175"/>
      <c r="N11" s="175"/>
      <c r="O11" s="62"/>
      <c r="P11" s="62"/>
      <c r="Q11" s="62"/>
      <c r="R11" s="62"/>
      <c r="S11" s="62"/>
      <c r="T11" s="432"/>
      <c r="U11" s="432"/>
      <c r="V11" s="175"/>
      <c r="W11" s="175"/>
      <c r="X11" s="175"/>
      <c r="Y11" s="175"/>
      <c r="Z11" s="175"/>
      <c r="AA11" s="175"/>
      <c r="AB11" s="175"/>
      <c r="AC11" s="175"/>
    </row>
    <row r="12" spans="1:29" x14ac:dyDescent="0.35">
      <c r="A12" s="175"/>
      <c r="B12" s="175"/>
      <c r="C12" s="175"/>
      <c r="D12" s="175"/>
      <c r="E12" s="175"/>
      <c r="F12" s="175"/>
      <c r="G12" s="175"/>
      <c r="H12" s="175"/>
      <c r="I12" s="175"/>
      <c r="J12" s="175"/>
      <c r="K12" s="175"/>
      <c r="L12" s="175"/>
      <c r="M12" s="175"/>
      <c r="N12" s="175"/>
      <c r="O12" s="62" t="s">
        <v>491</v>
      </c>
      <c r="P12" s="63">
        <f>+Balance!C18</f>
        <v>5700250510</v>
      </c>
      <c r="Q12" s="63">
        <f>+Balance!D18</f>
        <v>5615556471</v>
      </c>
      <c r="R12" s="63">
        <f>+Balance!E18</f>
        <v>8525446370</v>
      </c>
      <c r="S12" s="63">
        <f>+Balance!F18</f>
        <v>8627541714</v>
      </c>
      <c r="T12" s="63">
        <f>+Balance!G18</f>
        <v>9650241817</v>
      </c>
      <c r="U12" s="63">
        <f>+Balance!H18</f>
        <v>14699528109</v>
      </c>
      <c r="V12" s="175"/>
      <c r="W12" s="175"/>
      <c r="X12" s="175"/>
      <c r="Y12" s="175"/>
      <c r="Z12" s="175"/>
      <c r="AA12" s="175"/>
      <c r="AB12" s="175"/>
      <c r="AC12" s="175"/>
    </row>
    <row r="13" spans="1:29" x14ac:dyDescent="0.35">
      <c r="A13" s="175"/>
      <c r="B13" s="175"/>
      <c r="C13" s="175"/>
      <c r="D13" s="175"/>
      <c r="E13" s="175"/>
      <c r="F13" s="175"/>
      <c r="G13" s="175"/>
      <c r="H13" s="175"/>
      <c r="I13" s="175"/>
      <c r="J13" s="175"/>
      <c r="K13" s="175"/>
      <c r="L13" s="175"/>
      <c r="M13" s="175"/>
      <c r="N13" s="175"/>
      <c r="O13" s="62" t="s">
        <v>622</v>
      </c>
      <c r="P13" s="63">
        <f>+Balance!C34</f>
        <v>3257044255</v>
      </c>
      <c r="Q13" s="63">
        <f>+Balance!D34</f>
        <v>4913033498.5</v>
      </c>
      <c r="R13" s="63">
        <f>+Balance!E34</f>
        <v>5713561153.5</v>
      </c>
      <c r="S13" s="63">
        <f>+Balance!F34</f>
        <v>9798793421.5</v>
      </c>
      <c r="T13" s="63">
        <f>+Balance!G34</f>
        <v>10255125904</v>
      </c>
      <c r="U13" s="63">
        <f>+Balance!H34</f>
        <v>11827133685</v>
      </c>
      <c r="V13" s="175"/>
      <c r="W13" s="175"/>
      <c r="X13" s="175"/>
      <c r="Y13" s="175"/>
      <c r="Z13" s="175"/>
      <c r="AA13" s="175"/>
      <c r="AB13" s="175"/>
      <c r="AC13" s="175"/>
    </row>
    <row r="14" spans="1:29" x14ac:dyDescent="0.35">
      <c r="A14" s="175"/>
      <c r="B14" s="175"/>
      <c r="C14" s="175"/>
      <c r="D14" s="175"/>
      <c r="E14" s="175"/>
      <c r="F14" s="175"/>
      <c r="G14" s="175"/>
      <c r="H14" s="175"/>
      <c r="I14" s="175"/>
      <c r="J14" s="175"/>
      <c r="K14" s="175"/>
      <c r="L14" s="175"/>
      <c r="M14" s="175"/>
      <c r="N14" s="175"/>
      <c r="O14" s="62"/>
      <c r="P14" s="62"/>
      <c r="Q14" s="62"/>
      <c r="R14" s="62"/>
      <c r="S14" s="62"/>
      <c r="T14" s="432"/>
      <c r="U14" s="432"/>
      <c r="V14" s="175"/>
      <c r="W14" s="175"/>
      <c r="X14" s="175"/>
      <c r="Y14" s="175"/>
      <c r="Z14" s="175"/>
      <c r="AA14" s="175"/>
      <c r="AB14" s="175"/>
      <c r="AC14" s="175"/>
    </row>
    <row r="15" spans="1:29" x14ac:dyDescent="0.35">
      <c r="A15" s="175"/>
      <c r="B15" s="175"/>
      <c r="C15" s="175"/>
      <c r="D15" s="175"/>
      <c r="E15" s="175"/>
      <c r="F15" s="175"/>
      <c r="G15" s="175"/>
      <c r="H15" s="175"/>
      <c r="I15" s="175"/>
      <c r="J15" s="175"/>
      <c r="K15" s="175"/>
      <c r="L15" s="175"/>
      <c r="M15" s="175"/>
      <c r="N15" s="175"/>
      <c r="O15" s="62" t="s">
        <v>623</v>
      </c>
      <c r="P15" s="63">
        <f>+Balance!C48</f>
        <v>2849529692.4866662</v>
      </c>
      <c r="Q15" s="63">
        <f>+Balance!D48</f>
        <v>3055567849.8000002</v>
      </c>
      <c r="R15" s="63">
        <f>+Balance!E48</f>
        <v>4009112277.1999998</v>
      </c>
      <c r="S15" s="63">
        <f>+Balance!F48</f>
        <v>6475807739.6000004</v>
      </c>
      <c r="T15" s="63">
        <f>+Balance!G48</f>
        <v>7037592178.1695023</v>
      </c>
      <c r="U15" s="63">
        <f>+Balance!H48</f>
        <v>11495163573.424789</v>
      </c>
      <c r="V15" s="175"/>
      <c r="W15" s="175"/>
      <c r="X15" s="175"/>
      <c r="Y15" s="175"/>
      <c r="Z15" s="175"/>
      <c r="AA15" s="175"/>
      <c r="AB15" s="175"/>
      <c r="AC15" s="175"/>
    </row>
    <row r="16" spans="1:29" x14ac:dyDescent="0.35">
      <c r="A16" s="175"/>
      <c r="B16" s="175"/>
      <c r="C16" s="175"/>
      <c r="D16" s="175"/>
      <c r="E16" s="175"/>
      <c r="F16" s="175"/>
      <c r="G16" s="175"/>
      <c r="H16" s="175"/>
      <c r="I16" s="175"/>
      <c r="J16" s="175"/>
      <c r="K16" s="175"/>
      <c r="L16" s="175"/>
      <c r="M16" s="175"/>
      <c r="N16" s="175"/>
      <c r="O16" s="62" t="s">
        <v>624</v>
      </c>
      <c r="P16" s="63">
        <f>+Balance!C56</f>
        <v>1512018157.3</v>
      </c>
      <c r="Q16" s="63">
        <f>+Balance!D56</f>
        <v>2575697284.1999998</v>
      </c>
      <c r="R16" s="63">
        <f>+Balance!E56</f>
        <v>2381194804.7999997</v>
      </c>
      <c r="S16" s="63">
        <f>+Balance!F56</f>
        <v>3501724556.3999996</v>
      </c>
      <c r="T16" s="63">
        <f>+Balance!G56</f>
        <v>3986735475.0999999</v>
      </c>
      <c r="U16" s="63">
        <f>+Balance!H56</f>
        <v>5025056552.5999994</v>
      </c>
      <c r="V16" s="175"/>
      <c r="W16" s="175"/>
      <c r="X16" s="175"/>
      <c r="Y16" s="175"/>
      <c r="Z16" s="175"/>
      <c r="AA16" s="175"/>
      <c r="AB16" s="175"/>
      <c r="AC16" s="175"/>
    </row>
    <row r="17" spans="1:29" x14ac:dyDescent="0.35">
      <c r="A17" s="175"/>
      <c r="B17" s="175"/>
      <c r="C17" s="175"/>
      <c r="D17" s="175"/>
      <c r="E17" s="175"/>
      <c r="F17" s="175"/>
      <c r="G17" s="175"/>
      <c r="H17" s="175"/>
      <c r="I17" s="175"/>
      <c r="J17" s="175"/>
      <c r="K17" s="175"/>
      <c r="L17" s="175"/>
      <c r="M17" s="175"/>
      <c r="N17" s="175"/>
      <c r="O17" s="62" t="s">
        <v>428</v>
      </c>
      <c r="P17" s="63">
        <f>+Balance!C71</f>
        <v>4595746915.2133341</v>
      </c>
      <c r="Q17" s="63">
        <f>+Balance!D71</f>
        <v>4897324835.499999</v>
      </c>
      <c r="R17" s="63">
        <f>+Balance!E71</f>
        <v>7848700441.5</v>
      </c>
      <c r="S17" s="63">
        <f>+Balance!F71</f>
        <v>8448802839.499999</v>
      </c>
      <c r="T17" s="63">
        <f>+Balance!G71</f>
        <v>8881040067.7304974</v>
      </c>
      <c r="U17" s="63">
        <f>+Balance!H71</f>
        <v>10006441667.975208</v>
      </c>
      <c r="V17" s="175"/>
      <c r="W17" s="175"/>
      <c r="X17" s="175"/>
      <c r="Y17" s="175"/>
      <c r="Z17" s="175"/>
      <c r="AA17" s="175"/>
      <c r="AB17" s="175"/>
      <c r="AC17" s="175"/>
    </row>
    <row r="18" spans="1:29" x14ac:dyDescent="0.35">
      <c r="A18" s="175"/>
      <c r="B18" s="175"/>
      <c r="C18" s="175"/>
      <c r="D18" s="175"/>
      <c r="E18" s="175"/>
      <c r="F18" s="175"/>
      <c r="G18" s="175"/>
      <c r="H18" s="175"/>
      <c r="I18" s="175"/>
      <c r="J18" s="175"/>
      <c r="K18" s="175"/>
      <c r="L18" s="175"/>
      <c r="M18" s="175"/>
      <c r="N18" s="175"/>
      <c r="O18" s="62"/>
      <c r="P18" s="62"/>
      <c r="Q18" s="62"/>
      <c r="R18" s="62"/>
      <c r="S18" s="62"/>
      <c r="T18" s="432"/>
      <c r="U18" s="432"/>
      <c r="V18" s="175"/>
      <c r="W18" s="175"/>
      <c r="X18" s="175"/>
      <c r="Y18" s="175"/>
      <c r="Z18" s="175"/>
      <c r="AA18" s="175"/>
      <c r="AB18" s="175"/>
      <c r="AC18" s="175"/>
    </row>
    <row r="19" spans="1:29" x14ac:dyDescent="0.35">
      <c r="A19" s="175"/>
      <c r="B19" s="175"/>
      <c r="C19" s="175"/>
      <c r="D19" s="175"/>
      <c r="E19" s="175"/>
      <c r="F19" s="175"/>
      <c r="G19" s="175"/>
      <c r="H19" s="175"/>
      <c r="I19" s="175"/>
      <c r="J19" s="175"/>
      <c r="K19" s="175"/>
      <c r="L19" s="175"/>
      <c r="M19" s="175"/>
      <c r="N19" s="175"/>
      <c r="O19" s="62" t="s">
        <v>625</v>
      </c>
      <c r="P19" s="63">
        <f>+'Estado Resultados'!C8</f>
        <v>8762199234</v>
      </c>
      <c r="Q19" s="63">
        <f>+'Estado Resultados'!D8</f>
        <v>11725525591</v>
      </c>
      <c r="R19" s="63">
        <f>+'Estado Resultados'!E8</f>
        <v>19221204200</v>
      </c>
      <c r="S19" s="63">
        <f>+'Estado Resultados'!F8</f>
        <v>22668489146</v>
      </c>
      <c r="T19" s="63">
        <f>+'Estado Resultados'!G8</f>
        <v>29057600090</v>
      </c>
      <c r="U19" s="63">
        <f>+'Estado Resultados'!H8</f>
        <v>34573914366</v>
      </c>
      <c r="V19" s="175"/>
      <c r="W19" s="175"/>
      <c r="X19" s="175"/>
      <c r="Y19" s="175"/>
      <c r="Z19" s="175"/>
      <c r="AA19" s="175"/>
      <c r="AB19" s="175"/>
      <c r="AC19" s="175"/>
    </row>
    <row r="20" spans="1:29" x14ac:dyDescent="0.35">
      <c r="A20" s="175"/>
      <c r="B20" s="175"/>
      <c r="C20" s="175"/>
      <c r="D20" s="175"/>
      <c r="E20" s="175"/>
      <c r="F20" s="175"/>
      <c r="G20" s="175"/>
      <c r="H20" s="175"/>
      <c r="I20" s="175"/>
      <c r="J20" s="175"/>
      <c r="K20" s="175"/>
      <c r="L20" s="175"/>
      <c r="M20" s="175"/>
      <c r="N20" s="175"/>
      <c r="O20" s="62" t="s">
        <v>626</v>
      </c>
      <c r="P20" s="63">
        <f>+'Estado Resultados'!C10</f>
        <v>4499655119</v>
      </c>
      <c r="Q20" s="63">
        <f>+'Estado Resultados'!D10</f>
        <v>6551066239</v>
      </c>
      <c r="R20" s="63">
        <f>+'Estado Resultados'!E10</f>
        <v>10619635810</v>
      </c>
      <c r="S20" s="63">
        <f>+'Estado Resultados'!F10</f>
        <v>13922233454</v>
      </c>
      <c r="T20" s="63">
        <f>+'Estado Resultados'!G10</f>
        <v>18723224652</v>
      </c>
      <c r="U20" s="63">
        <f>+'Estado Resultados'!H10</f>
        <v>23385605589</v>
      </c>
      <c r="V20" s="175"/>
      <c r="W20" s="175"/>
      <c r="X20" s="175"/>
      <c r="Y20" s="175"/>
      <c r="Z20" s="175"/>
      <c r="AA20" s="175"/>
      <c r="AB20" s="175"/>
      <c r="AC20" s="175"/>
    </row>
    <row r="21" spans="1:29" x14ac:dyDescent="0.35">
      <c r="A21" s="175"/>
      <c r="B21" s="175"/>
      <c r="C21" s="175"/>
      <c r="D21" s="175"/>
      <c r="E21" s="175"/>
      <c r="F21" s="175"/>
      <c r="G21" s="175"/>
      <c r="H21" s="175"/>
      <c r="I21" s="175"/>
      <c r="J21" s="175"/>
      <c r="K21" s="175"/>
      <c r="L21" s="175"/>
      <c r="M21" s="175"/>
      <c r="N21" s="175"/>
      <c r="O21" s="62" t="s">
        <v>627</v>
      </c>
      <c r="P21" s="63">
        <f>+'Estado Resultados'!C16+'Estado Resultados'!C19+'Estado Resultados'!C26+'Estado Resultados'!C23</f>
        <v>334284416.78666627</v>
      </c>
      <c r="Q21" s="63">
        <f>+'Estado Resultados'!D16+'Estado Resultados'!D19+'Estado Resultados'!D26+'Estado Resultados'!D23</f>
        <v>426678640</v>
      </c>
      <c r="R21" s="63">
        <f>+'Estado Resultados'!E16+'Estado Resultados'!E19+'Estado Resultados'!E26+'Estado Resultados'!E23</f>
        <v>925385534</v>
      </c>
      <c r="S21" s="63">
        <f>+'Estado Resultados'!F16+'Estado Resultados'!F19+'Estado Resultados'!F26+'Estado Resultados'!F23</f>
        <v>905397542</v>
      </c>
      <c r="T21" s="63">
        <f>+'Estado Resultados'!G16+'Estado Resultados'!G19+'Estado Resultados'!G26+'Estado Resultados'!G23</f>
        <v>1211291736.2695022</v>
      </c>
      <c r="U21" s="63">
        <f>+'Estado Resultados'!H16+'Estado Resultados'!H19+'Estado Resultados'!H26+'Estado Resultados'!H23</f>
        <v>1333675136.0247908</v>
      </c>
      <c r="V21" s="175"/>
      <c r="W21" s="175"/>
      <c r="X21" s="175"/>
      <c r="Y21" s="175"/>
      <c r="Z21" s="175"/>
      <c r="AA21" s="175"/>
      <c r="AB21" s="175"/>
      <c r="AC21" s="175"/>
    </row>
    <row r="22" spans="1:29" x14ac:dyDescent="0.35">
      <c r="A22" s="175"/>
      <c r="B22" s="175"/>
      <c r="C22" s="175"/>
      <c r="D22" s="175"/>
      <c r="E22" s="175"/>
      <c r="F22" s="175"/>
      <c r="G22" s="175"/>
      <c r="H22" s="175"/>
      <c r="I22" s="175"/>
      <c r="J22" s="175"/>
      <c r="K22" s="175"/>
      <c r="L22" s="175"/>
      <c r="M22" s="175"/>
      <c r="N22" s="175"/>
      <c r="O22" s="62"/>
      <c r="P22" s="62"/>
      <c r="Q22" s="62"/>
      <c r="R22" s="62"/>
      <c r="S22" s="62"/>
      <c r="T22" s="432"/>
      <c r="U22" s="432"/>
      <c r="V22" s="175"/>
      <c r="W22" s="175"/>
      <c r="X22" s="175"/>
      <c r="Y22" s="175"/>
      <c r="Z22" s="175"/>
      <c r="AA22" s="175"/>
      <c r="AB22" s="175"/>
      <c r="AC22" s="175"/>
    </row>
    <row r="23" spans="1:29" x14ac:dyDescent="0.35">
      <c r="A23" s="175"/>
      <c r="B23" s="175"/>
      <c r="C23" s="175"/>
      <c r="D23" s="175"/>
      <c r="E23" s="175"/>
      <c r="F23" s="175"/>
      <c r="G23" s="175"/>
      <c r="H23" s="175"/>
      <c r="I23" s="175"/>
      <c r="J23" s="175"/>
      <c r="K23" s="175"/>
      <c r="L23" s="175"/>
      <c r="M23" s="175"/>
      <c r="N23" s="175"/>
      <c r="O23" s="62" t="s">
        <v>628</v>
      </c>
      <c r="P23" s="63">
        <f>+'Estado Resultados'!C8+'Estado Resultados'!C19+'Estado Resultados'!C20</f>
        <v>8985574090</v>
      </c>
      <c r="Q23" s="63">
        <f>+'Estado Resultados'!D8+'Estado Resultados'!D19+'Estado Resultados'!D20</f>
        <v>12000698614</v>
      </c>
      <c r="R23" s="63">
        <f>+'Estado Resultados'!E8+'Estado Resultados'!E19+'Estado Resultados'!E20</f>
        <v>19557454968</v>
      </c>
      <c r="S23" s="63">
        <f>+'Estado Resultados'!F8+'Estado Resultados'!F19+'Estado Resultados'!F20</f>
        <v>23134865161</v>
      </c>
      <c r="T23" s="63">
        <f>+'Estado Resultados'!G8+'Estado Resultados'!G19+'Estado Resultados'!G20</f>
        <v>29475179743</v>
      </c>
      <c r="U23" s="63">
        <f>+'Estado Resultados'!H8+'Estado Resultados'!H19+'Estado Resultados'!H20</f>
        <v>34957732940</v>
      </c>
      <c r="V23" s="175"/>
      <c r="W23" s="175"/>
      <c r="X23" s="175"/>
      <c r="Y23" s="175"/>
      <c r="Z23" s="175"/>
      <c r="AA23" s="175"/>
      <c r="AB23" s="175"/>
      <c r="AC23" s="175"/>
    </row>
    <row r="24" spans="1:29" x14ac:dyDescent="0.35">
      <c r="A24" s="175"/>
      <c r="B24" s="175"/>
      <c r="C24" s="175"/>
      <c r="D24" s="175"/>
      <c r="E24" s="175"/>
      <c r="F24" s="175"/>
      <c r="G24" s="175"/>
      <c r="H24" s="175"/>
      <c r="I24" s="175"/>
      <c r="J24" s="175"/>
      <c r="K24" s="175"/>
      <c r="L24" s="175"/>
      <c r="M24" s="175"/>
      <c r="N24" s="175"/>
      <c r="O24" s="62" t="s">
        <v>629</v>
      </c>
      <c r="P24" s="63">
        <f>+'Estado Resultados'!C10+'Estado Resultados'!C14+'Estado Resultados'!C15+'Estado Resultados'!C21+'Estado Resultados'!C22+'Estado Resultados'!C26</f>
        <v>8398682567.786665</v>
      </c>
      <c r="Q24" s="63">
        <f>+'Estado Resultados'!D10+'Estado Resultados'!D14+'Estado Resultados'!D15+'Estado Resultados'!D21+'Estado Resultados'!D22+'Estado Resultados'!D26</f>
        <v>11278889689.000002</v>
      </c>
      <c r="R24" s="63">
        <f>+'Estado Resultados'!E10+'Estado Resultados'!E14+'Estado Resultados'!E15+'Estado Resultados'!E21+'Estado Resultados'!E22+'Estado Resultados'!E26</f>
        <v>16948747360.999998</v>
      </c>
      <c r="S24" s="63">
        <f>+'Estado Resultados'!F10+'Estado Resultados'!F14+'Estado Resultados'!F15+'Estado Resultados'!F21+'Estado Resultados'!F22+'Estado Resultados'!F26</f>
        <v>20928008938</v>
      </c>
      <c r="T24" s="63">
        <f>+'Estado Resultados'!G10+'Estado Resultados'!G14+'Estado Resultados'!G15+'Estado Resultados'!G21+'Estado Resultados'!G22+'Estado Resultados'!G26</f>
        <v>28209099423.269505</v>
      </c>
      <c r="U24" s="63">
        <f>+'Estado Resultados'!H10+'Estado Resultados'!H14+'Estado Resultados'!H15+'Estado Resultados'!H21+'Estado Resultados'!H22+'Estado Resultados'!H26</f>
        <v>33895688468.024796</v>
      </c>
      <c r="V24" s="175"/>
      <c r="W24" s="175"/>
      <c r="X24" s="175"/>
      <c r="Y24" s="175"/>
      <c r="Z24" s="175"/>
      <c r="AA24" s="175"/>
      <c r="AB24" s="175"/>
      <c r="AC24" s="175"/>
    </row>
    <row r="25" spans="1:29" x14ac:dyDescent="0.35">
      <c r="A25" s="175"/>
      <c r="B25" s="175"/>
      <c r="C25" s="175"/>
      <c r="D25" s="175"/>
      <c r="E25" s="175"/>
      <c r="F25" s="175"/>
      <c r="G25" s="175"/>
      <c r="H25" s="175"/>
      <c r="I25" s="175"/>
      <c r="J25" s="175"/>
      <c r="K25" s="175"/>
      <c r="L25" s="175"/>
      <c r="M25" s="175"/>
      <c r="N25" s="175"/>
      <c r="O25" s="62"/>
      <c r="P25" s="62"/>
      <c r="Q25" s="62"/>
      <c r="R25" s="62"/>
      <c r="S25" s="62"/>
      <c r="T25" s="432"/>
      <c r="U25" s="432"/>
      <c r="V25" s="175"/>
      <c r="W25" s="175"/>
      <c r="X25" s="175"/>
      <c r="Y25" s="175"/>
      <c r="Z25" s="175"/>
      <c r="AA25" s="175"/>
      <c r="AB25" s="175"/>
      <c r="AC25" s="175"/>
    </row>
    <row r="26" spans="1:29" x14ac:dyDescent="0.35">
      <c r="A26" s="175"/>
      <c r="B26" s="175"/>
      <c r="C26" s="175"/>
      <c r="D26" s="175"/>
      <c r="E26" s="175"/>
      <c r="F26" s="175"/>
      <c r="G26" s="175"/>
      <c r="H26" s="175"/>
      <c r="I26" s="175"/>
      <c r="J26" s="175"/>
      <c r="K26" s="175"/>
      <c r="L26" s="175"/>
      <c r="M26" s="175"/>
      <c r="N26" s="175"/>
      <c r="O26" s="62" t="s">
        <v>630</v>
      </c>
      <c r="P26" s="63">
        <f>+'Estado Resultados'!C17</f>
        <v>942174148.19354105</v>
      </c>
      <c r="Q26" s="63">
        <f>+'Estado Resultados'!D17</f>
        <v>1143461459.0406418</v>
      </c>
      <c r="R26" s="63">
        <f>+'Estado Resultados'!E17</f>
        <v>3546598517.8570542</v>
      </c>
      <c r="S26" s="63">
        <f>+'Estado Resultados'!F17</f>
        <v>2877761171.1699476</v>
      </c>
      <c r="T26" s="63">
        <f>+'Estado Resultados'!G17</f>
        <v>2503468334.6848335</v>
      </c>
      <c r="U26" s="63">
        <f>+'Estado Resultados'!H17</f>
        <v>2584653589.8712711</v>
      </c>
      <c r="V26" s="175"/>
      <c r="W26" s="175"/>
      <c r="X26" s="175"/>
      <c r="Y26" s="175"/>
      <c r="Z26" s="175"/>
      <c r="AA26" s="175"/>
      <c r="AB26" s="175"/>
      <c r="AC26" s="175"/>
    </row>
    <row r="27" spans="1:29" x14ac:dyDescent="0.35">
      <c r="A27" s="175"/>
      <c r="B27" s="175"/>
      <c r="C27" s="175"/>
      <c r="D27" s="175"/>
      <c r="E27" s="175"/>
      <c r="F27" s="175"/>
      <c r="G27" s="175"/>
      <c r="H27" s="175"/>
      <c r="I27" s="175"/>
      <c r="J27" s="175"/>
      <c r="K27" s="175"/>
      <c r="L27" s="175"/>
      <c r="M27" s="175"/>
      <c r="N27" s="175"/>
      <c r="O27" s="62" t="s">
        <v>631</v>
      </c>
      <c r="P27" s="63">
        <f>+'Estado Resultados'!C28</f>
        <v>586891522.21333396</v>
      </c>
      <c r="Q27" s="63">
        <f>+'Estado Resultados'!D28</f>
        <v>721808924.99999905</v>
      </c>
      <c r="R27" s="63">
        <f>+'Estado Resultados'!E28</f>
        <v>2608707606.9999995</v>
      </c>
      <c r="S27" s="63">
        <f>+'Estado Resultados'!F28</f>
        <v>2206856222.999999</v>
      </c>
      <c r="T27" s="63">
        <f>+'Estado Resultados'!G28</f>
        <v>1266080319.7304978</v>
      </c>
      <c r="U27" s="63">
        <f>+'Estado Resultados'!H28</f>
        <v>1062044471.9752088</v>
      </c>
      <c r="V27" s="175"/>
      <c r="W27" s="175"/>
      <c r="X27" s="175"/>
      <c r="Y27" s="175"/>
      <c r="Z27" s="175"/>
      <c r="AA27" s="175"/>
      <c r="AB27" s="175"/>
      <c r="AC27" s="175"/>
    </row>
    <row r="28" spans="1:29" x14ac:dyDescent="0.35">
      <c r="A28" s="175"/>
      <c r="B28" s="175"/>
      <c r="C28" s="175"/>
      <c r="D28" s="175"/>
      <c r="E28" s="175"/>
      <c r="F28" s="175"/>
      <c r="G28" s="175"/>
      <c r="H28" s="175"/>
      <c r="I28" s="175"/>
      <c r="J28" s="175"/>
      <c r="K28" s="175"/>
      <c r="L28" s="175"/>
      <c r="M28" s="175"/>
      <c r="N28" s="175"/>
      <c r="O28" s="62"/>
      <c r="P28" s="62"/>
      <c r="Q28" s="62"/>
      <c r="R28" s="62"/>
      <c r="S28" s="62"/>
      <c r="T28" s="432"/>
      <c r="U28" s="432"/>
      <c r="V28" s="175"/>
      <c r="W28" s="175"/>
      <c r="X28" s="175"/>
      <c r="Y28" s="175"/>
      <c r="Z28" s="175"/>
      <c r="AA28" s="175"/>
      <c r="AB28" s="175"/>
      <c r="AC28" s="175"/>
    </row>
    <row r="29" spans="1:29" x14ac:dyDescent="0.35">
      <c r="A29" s="175"/>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row>
    <row r="30" spans="1:29" x14ac:dyDescent="0.35">
      <c r="A30" s="175"/>
      <c r="B30" s="580" t="s">
        <v>632</v>
      </c>
      <c r="C30" s="580"/>
      <c r="D30" s="175"/>
      <c r="E30" s="175"/>
      <c r="F30" s="175"/>
      <c r="G30" s="175"/>
      <c r="H30" s="175"/>
      <c r="I30" s="175"/>
      <c r="J30" s="175"/>
      <c r="K30" s="175"/>
      <c r="L30" s="175"/>
      <c r="M30" s="175"/>
      <c r="N30" s="175"/>
      <c r="O30" s="59" t="s">
        <v>633</v>
      </c>
      <c r="P30" s="70">
        <f>+P6</f>
        <v>2018</v>
      </c>
      <c r="Q30" s="70">
        <f>+Q6</f>
        <v>2019</v>
      </c>
      <c r="R30" s="70">
        <v>2020</v>
      </c>
      <c r="S30" s="70">
        <f>+S6</f>
        <v>2021</v>
      </c>
      <c r="T30" s="70">
        <f t="shared" ref="T30:U30" si="0">+T6</f>
        <v>2022</v>
      </c>
      <c r="U30" s="70">
        <f t="shared" si="0"/>
        <v>2023</v>
      </c>
      <c r="V30" s="70" t="s">
        <v>634</v>
      </c>
      <c r="W30" s="70" t="s">
        <v>635</v>
      </c>
      <c r="X30" s="175"/>
      <c r="Y30" s="175"/>
      <c r="Z30" s="175"/>
      <c r="AA30" s="175"/>
      <c r="AB30" s="175"/>
      <c r="AC30" s="175"/>
    </row>
    <row r="31" spans="1:29" x14ac:dyDescent="0.35">
      <c r="A31" s="175"/>
      <c r="B31" s="176" t="s">
        <v>636</v>
      </c>
      <c r="C31" s="176" t="s">
        <v>637</v>
      </c>
      <c r="D31" s="175"/>
      <c r="E31" s="175"/>
      <c r="F31" s="175"/>
      <c r="G31" s="175"/>
      <c r="H31" s="175"/>
      <c r="I31" s="175"/>
      <c r="J31" s="175"/>
      <c r="K31" s="175"/>
      <c r="L31" s="175"/>
      <c r="M31" s="175"/>
      <c r="N31" s="175"/>
      <c r="O31" s="59"/>
      <c r="P31" s="59"/>
      <c r="Q31" s="59"/>
      <c r="R31" s="59"/>
      <c r="S31" s="59"/>
      <c r="T31" s="433"/>
      <c r="U31" s="433"/>
      <c r="V31" s="175"/>
      <c r="W31" s="175"/>
      <c r="X31" s="175"/>
      <c r="Y31" s="175"/>
      <c r="Z31" s="175"/>
      <c r="AA31" s="175"/>
      <c r="AB31" s="175"/>
      <c r="AC31" s="175"/>
    </row>
    <row r="32" spans="1:29" x14ac:dyDescent="0.35">
      <c r="A32" s="175"/>
      <c r="B32" s="175"/>
      <c r="C32" s="175"/>
      <c r="D32" s="175"/>
      <c r="E32" s="175"/>
      <c r="F32" s="175"/>
      <c r="G32" s="175"/>
      <c r="H32" s="175"/>
      <c r="I32" s="175"/>
      <c r="J32" s="175"/>
      <c r="K32" s="175"/>
      <c r="L32" s="175"/>
      <c r="M32" s="175"/>
      <c r="N32" s="175"/>
      <c r="O32" s="59" t="s">
        <v>564</v>
      </c>
      <c r="P32" s="60">
        <f>+Liquidez!E8</f>
        <v>5700250510</v>
      </c>
      <c r="Q32" s="60">
        <f>+Liquidez!F8</f>
        <v>5615556471</v>
      </c>
      <c r="R32" s="60">
        <f>+Liquidez!G8</f>
        <v>8525446370</v>
      </c>
      <c r="S32" s="60">
        <f>+Liquidez!H8</f>
        <v>8627541714</v>
      </c>
      <c r="T32" s="60">
        <f>+Liquidez!I8</f>
        <v>9650241817</v>
      </c>
      <c r="U32" s="60">
        <f>+Liquidez!J8</f>
        <v>14699528109</v>
      </c>
      <c r="V32" s="175"/>
      <c r="W32" s="175"/>
      <c r="X32" s="175"/>
      <c r="Y32" s="175"/>
      <c r="Z32" s="175"/>
      <c r="AA32" s="175"/>
      <c r="AB32" s="175"/>
      <c r="AC32" s="175"/>
    </row>
    <row r="33" spans="1:29" x14ac:dyDescent="0.35">
      <c r="A33" s="175"/>
      <c r="B33" s="175"/>
      <c r="C33" s="175"/>
      <c r="D33" s="175"/>
      <c r="E33" s="175"/>
      <c r="F33" s="175"/>
      <c r="G33" s="175"/>
      <c r="H33" s="175"/>
      <c r="I33" s="175"/>
      <c r="J33" s="175"/>
      <c r="K33" s="175"/>
      <c r="L33" s="175"/>
      <c r="M33" s="175"/>
      <c r="N33" s="175"/>
      <c r="O33" s="59" t="s">
        <v>565</v>
      </c>
      <c r="P33" s="60">
        <f>+Liquidez!E10</f>
        <v>2850720817.5133338</v>
      </c>
      <c r="Q33" s="60">
        <f>+Liquidez!F10</f>
        <v>2559988621.1999998</v>
      </c>
      <c r="R33" s="60">
        <f>+Liquidez!G10</f>
        <v>4516334092.8000002</v>
      </c>
      <c r="S33" s="60">
        <f>+Liquidez!H10</f>
        <v>2151733974.3999996</v>
      </c>
      <c r="T33" s="60">
        <f>+Liquidez!I10</f>
        <v>2612649638.8304977</v>
      </c>
      <c r="U33" s="60">
        <f>+Liquidez!J10</f>
        <v>3204364535.5752106</v>
      </c>
      <c r="V33" s="175"/>
      <c r="W33" s="175"/>
      <c r="X33" s="175"/>
      <c r="Y33" s="175"/>
      <c r="Z33" s="175"/>
      <c r="AA33" s="175"/>
      <c r="AB33" s="175"/>
      <c r="AC33" s="175"/>
    </row>
    <row r="34" spans="1:29" x14ac:dyDescent="0.35">
      <c r="A34" s="175"/>
      <c r="B34" s="175"/>
      <c r="C34" s="175"/>
      <c r="D34" s="175"/>
      <c r="E34" s="175"/>
      <c r="F34" s="175"/>
      <c r="G34" s="175"/>
      <c r="H34" s="175"/>
      <c r="I34" s="175"/>
      <c r="J34" s="175"/>
      <c r="K34" s="175"/>
      <c r="L34" s="175"/>
      <c r="M34" s="175"/>
      <c r="N34" s="175"/>
      <c r="O34" s="59" t="s">
        <v>566</v>
      </c>
      <c r="P34" s="60">
        <f>+Liquidez!E12</f>
        <v>5436187921</v>
      </c>
      <c r="Q34" s="60">
        <f>+Liquidez!F12</f>
        <v>4318426842</v>
      </c>
      <c r="R34" s="60">
        <f>+Liquidez!G12</f>
        <v>5863106513</v>
      </c>
      <c r="S34" s="60">
        <f>+Liquidez!H12</f>
        <v>5918959015</v>
      </c>
      <c r="T34" s="60">
        <f>+Liquidez!I12</f>
        <v>5557529829</v>
      </c>
      <c r="U34" s="60">
        <f>+Liquidez!J12</f>
        <v>10546336326</v>
      </c>
      <c r="V34" s="175"/>
      <c r="W34" s="175"/>
      <c r="X34" s="175"/>
      <c r="Y34" s="175"/>
      <c r="Z34" s="175"/>
      <c r="AA34" s="175"/>
      <c r="AB34" s="175"/>
      <c r="AC34" s="175"/>
    </row>
    <row r="35" spans="1:29" x14ac:dyDescent="0.35">
      <c r="A35" s="175"/>
      <c r="B35" s="175"/>
      <c r="C35" s="175"/>
      <c r="D35" s="175"/>
      <c r="E35" s="175"/>
      <c r="F35" s="175"/>
      <c r="G35" s="175"/>
      <c r="H35" s="175"/>
      <c r="I35" s="175"/>
      <c r="J35" s="175"/>
      <c r="K35" s="175"/>
      <c r="L35" s="175"/>
      <c r="M35" s="175"/>
      <c r="N35" s="175"/>
      <c r="O35" s="59" t="s">
        <v>258</v>
      </c>
      <c r="P35" s="60">
        <f>+Liquidez!E14</f>
        <v>5147647794</v>
      </c>
      <c r="Q35" s="60">
        <f>+Liquidez!F14</f>
        <v>3863410859</v>
      </c>
      <c r="R35" s="60">
        <f>+Liquidez!G14</f>
        <v>5630348767</v>
      </c>
      <c r="S35" s="60">
        <f>+Liquidez!H14</f>
        <v>5204892612</v>
      </c>
      <c r="T35" s="60">
        <f>+Liquidez!I14</f>
        <v>4628809014</v>
      </c>
      <c r="U35" s="60">
        <f>+Liquidez!J14</f>
        <v>8453230341</v>
      </c>
      <c r="V35" s="175"/>
      <c r="W35" s="175"/>
      <c r="X35" s="175"/>
      <c r="Y35" s="175"/>
      <c r="Z35" s="175"/>
      <c r="AA35" s="175"/>
      <c r="AB35" s="175"/>
      <c r="AC35" s="175"/>
    </row>
    <row r="36" spans="1:29" x14ac:dyDescent="0.35">
      <c r="A36" s="175"/>
      <c r="B36" s="177">
        <v>1</v>
      </c>
      <c r="C36" s="177">
        <v>2</v>
      </c>
      <c r="D36" s="175"/>
      <c r="E36" s="175"/>
      <c r="F36" s="175"/>
      <c r="G36" s="175"/>
      <c r="H36" s="175"/>
      <c r="I36" s="175"/>
      <c r="J36" s="175"/>
      <c r="K36" s="175"/>
      <c r="L36" s="175"/>
      <c r="M36" s="175"/>
      <c r="N36" s="175"/>
      <c r="O36" s="59" t="s">
        <v>157</v>
      </c>
      <c r="P36" s="437">
        <f>+Liquidez!E18</f>
        <v>2.0004180075855351</v>
      </c>
      <c r="Q36" s="437">
        <f>+Liquidez!F18</f>
        <v>1.8378110868549562</v>
      </c>
      <c r="R36" s="437">
        <f>+Liquidez!G18</f>
        <v>2.1265172388622271</v>
      </c>
      <c r="S36" s="437">
        <f>+Liquidez!H18</f>
        <v>1.3322726771584033</v>
      </c>
      <c r="T36" s="437">
        <f>+Liquidez!I18</f>
        <v>1.3712419777512677</v>
      </c>
      <c r="U36" s="437">
        <f>+Liquidez!J18</f>
        <v>1.2787576283806221</v>
      </c>
      <c r="V36" s="61">
        <f>+Variables!D106</f>
        <v>1.5</v>
      </c>
      <c r="W36" s="61">
        <f>+Variables!E106</f>
        <v>0</v>
      </c>
      <c r="X36" s="175"/>
      <c r="Y36" s="175"/>
      <c r="Z36" s="175"/>
      <c r="AA36" s="175"/>
      <c r="AB36" s="175"/>
      <c r="AC36" s="175"/>
    </row>
    <row r="37" spans="1:29" x14ac:dyDescent="0.35">
      <c r="A37" s="175"/>
      <c r="B37" s="177">
        <v>0.8</v>
      </c>
      <c r="C37" s="177">
        <v>1.2</v>
      </c>
      <c r="D37" s="175"/>
      <c r="E37" s="175"/>
      <c r="F37" s="175"/>
      <c r="G37" s="175"/>
      <c r="H37" s="175"/>
      <c r="I37" s="175"/>
      <c r="J37" s="175"/>
      <c r="K37" s="175"/>
      <c r="L37" s="175"/>
      <c r="M37" s="175"/>
      <c r="N37" s="175"/>
      <c r="O37" s="59" t="s">
        <v>638</v>
      </c>
      <c r="P37" s="437">
        <f>+Liquidez!E20</f>
        <v>1.8148985285662889</v>
      </c>
      <c r="Q37" s="437">
        <f>+Liquidez!F20</f>
        <v>1.5122311636125003</v>
      </c>
      <c r="R37" s="437">
        <f>+Liquidez!G20</f>
        <v>1.7888783528928403</v>
      </c>
      <c r="S37" s="437">
        <f>+Liquidez!H20</f>
        <v>1.1484993109847019</v>
      </c>
      <c r="T37" s="437">
        <f>+Liquidez!I20</f>
        <v>1.1310722165305158</v>
      </c>
      <c r="U37" s="437">
        <f>+Liquidez!J20</f>
        <v>1.0998745593520216</v>
      </c>
      <c r="V37" s="61">
        <f>+Variables!D107</f>
        <v>1</v>
      </c>
      <c r="W37" s="61">
        <f>+Variables!E107</f>
        <v>0</v>
      </c>
      <c r="X37" s="175"/>
      <c r="Y37" s="175"/>
      <c r="Z37" s="175"/>
      <c r="AA37" s="175"/>
      <c r="AB37" s="175"/>
      <c r="AC37" s="175"/>
    </row>
    <row r="38" spans="1:29" x14ac:dyDescent="0.35">
      <c r="A38" s="175"/>
      <c r="B38" s="177">
        <v>60</v>
      </c>
      <c r="C38" s="177">
        <v>30</v>
      </c>
      <c r="D38" s="175"/>
      <c r="E38" s="175"/>
      <c r="F38" s="175"/>
      <c r="G38" s="175"/>
      <c r="H38" s="175"/>
      <c r="I38" s="175"/>
      <c r="J38" s="175"/>
      <c r="K38" s="175"/>
      <c r="L38" s="175"/>
      <c r="M38" s="175"/>
      <c r="N38" s="175"/>
      <c r="O38" s="59" t="s">
        <v>639</v>
      </c>
      <c r="P38" s="438">
        <f>+Actividad!H9</f>
        <v>175.08437493148196</v>
      </c>
      <c r="Q38" s="438">
        <f>+Actividad!I9</f>
        <v>128.11221379922702</v>
      </c>
      <c r="R38" s="438">
        <f>+Actividad!J9</f>
        <v>74.372822234259388</v>
      </c>
      <c r="S38" s="438">
        <f>+Actividad!K9</f>
        <v>74.376342014946573</v>
      </c>
      <c r="T38" s="438">
        <f>+Actividad!L9</f>
        <v>53.989484920328813</v>
      </c>
      <c r="U38" s="438">
        <f>+Actividad!M9</f>
        <v>65.228889822070087</v>
      </c>
      <c r="V38" s="60">
        <f>+Variables!D108</f>
        <v>60</v>
      </c>
      <c r="W38" s="60">
        <f>+Variables!E108</f>
        <v>0</v>
      </c>
      <c r="X38" s="175"/>
      <c r="Y38" s="175"/>
      <c r="Z38" s="175"/>
      <c r="AA38" s="175"/>
      <c r="AB38" s="175"/>
      <c r="AC38" s="175"/>
    </row>
    <row r="39" spans="1:29" x14ac:dyDescent="0.35">
      <c r="A39" s="175"/>
      <c r="B39" s="177">
        <v>80</v>
      </c>
      <c r="C39" s="177">
        <v>60</v>
      </c>
      <c r="D39" s="175"/>
      <c r="E39" s="175"/>
      <c r="F39" s="175"/>
      <c r="G39" s="175"/>
      <c r="H39" s="175"/>
      <c r="I39" s="175"/>
      <c r="J39" s="175"/>
      <c r="K39" s="175"/>
      <c r="L39" s="175"/>
      <c r="M39" s="175"/>
      <c r="N39" s="175"/>
      <c r="O39" s="59" t="s">
        <v>640</v>
      </c>
      <c r="P39" s="438">
        <f>+Actividad!H10</f>
        <v>46.702795644858845</v>
      </c>
      <c r="Q39" s="438">
        <f>+Actividad!I10</f>
        <v>42.441053514281222</v>
      </c>
      <c r="R39" s="438">
        <f>+Actividad!J10</f>
        <v>40.358694202009552</v>
      </c>
      <c r="S39" s="438">
        <f>+Actividad!K10</f>
        <v>33.344337940377137</v>
      </c>
      <c r="T39" s="438">
        <f>+Actividad!L10</f>
        <v>28.074990388680192</v>
      </c>
      <c r="U39" s="438">
        <f>+Actividad!M10</f>
        <v>29.237537586437913</v>
      </c>
      <c r="V39" s="60">
        <f>+Variables!D109</f>
        <v>25</v>
      </c>
      <c r="W39" s="60">
        <f>+Variables!E109</f>
        <v>0</v>
      </c>
      <c r="X39" s="175"/>
      <c r="Y39" s="175"/>
      <c r="Z39" s="175"/>
      <c r="AA39" s="175"/>
      <c r="AB39" s="175"/>
      <c r="AC39" s="175"/>
    </row>
    <row r="40" spans="1:29" x14ac:dyDescent="0.35">
      <c r="A40" s="175"/>
      <c r="B40" s="177">
        <v>60</v>
      </c>
      <c r="C40" s="177">
        <v>90</v>
      </c>
      <c r="D40" s="175"/>
      <c r="E40" s="175"/>
      <c r="F40" s="175"/>
      <c r="G40" s="175"/>
      <c r="H40" s="175"/>
      <c r="I40" s="175"/>
      <c r="J40" s="175"/>
      <c r="K40" s="175"/>
      <c r="L40" s="175"/>
      <c r="M40" s="175"/>
      <c r="N40" s="175"/>
      <c r="O40" s="59" t="s">
        <v>641</v>
      </c>
      <c r="P40" s="438">
        <f>+Actividad!H12</f>
        <v>33.96675442928759</v>
      </c>
      <c r="Q40" s="438">
        <f>+Actividad!I12</f>
        <v>19.337903402093232</v>
      </c>
      <c r="R40" s="438">
        <f>+Actividad!J12</f>
        <v>11.433204165255749</v>
      </c>
      <c r="S40" s="438">
        <f>+Actividad!K12</f>
        <v>12.559008501210798</v>
      </c>
      <c r="T40" s="438">
        <f>+Actividad!L12</f>
        <v>15.59605914461169</v>
      </c>
      <c r="U40" s="438">
        <f>+Actividad!M12</f>
        <v>23.218711967181971</v>
      </c>
      <c r="V40" s="60">
        <f>+Variables!D110</f>
        <v>30</v>
      </c>
      <c r="W40" s="60">
        <f>+Variables!E110</f>
        <v>0</v>
      </c>
      <c r="X40" s="175"/>
      <c r="Y40" s="175"/>
      <c r="Z40" s="175"/>
      <c r="AA40" s="175"/>
      <c r="AB40" s="175"/>
      <c r="AC40" s="175"/>
    </row>
    <row r="41" spans="1:29" x14ac:dyDescent="0.35">
      <c r="A41" s="175"/>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row>
    <row r="42" spans="1:29" x14ac:dyDescent="0.35">
      <c r="A42" s="175"/>
      <c r="B42" s="175"/>
      <c r="C42" s="175"/>
      <c r="D42" s="175"/>
      <c r="E42" s="175"/>
      <c r="F42" s="175"/>
      <c r="G42" s="175"/>
      <c r="H42" s="175"/>
      <c r="I42" s="175"/>
      <c r="J42" s="175"/>
      <c r="K42" s="175"/>
      <c r="L42" s="175"/>
      <c r="M42" s="175"/>
      <c r="N42" s="175"/>
      <c r="O42" s="50" t="s">
        <v>642</v>
      </c>
      <c r="P42" s="69">
        <f>+P30</f>
        <v>2018</v>
      </c>
      <c r="Q42" s="69">
        <f>+Q30</f>
        <v>2019</v>
      </c>
      <c r="R42" s="69">
        <v>2020</v>
      </c>
      <c r="S42" s="69">
        <f>+S30</f>
        <v>2021</v>
      </c>
      <c r="T42" s="69">
        <f t="shared" ref="T42:U42" si="1">+T30</f>
        <v>2022</v>
      </c>
      <c r="U42" s="69">
        <f t="shared" si="1"/>
        <v>2023</v>
      </c>
      <c r="V42" s="69" t="str">
        <f>+V30</f>
        <v>META</v>
      </c>
      <c r="W42" s="69" t="str">
        <f>+W30</f>
        <v>SECTOR</v>
      </c>
      <c r="X42" s="175"/>
      <c r="Y42" s="175"/>
      <c r="Z42" s="175"/>
      <c r="AA42" s="175"/>
      <c r="AB42" s="175"/>
      <c r="AC42" s="175"/>
    </row>
    <row r="43" spans="1:29" x14ac:dyDescent="0.35">
      <c r="A43" s="175"/>
      <c r="B43" s="175"/>
      <c r="C43" s="175"/>
      <c r="D43" s="175"/>
      <c r="E43" s="175"/>
      <c r="F43" s="175"/>
      <c r="G43" s="175"/>
      <c r="H43" s="175"/>
      <c r="I43" s="175"/>
      <c r="J43" s="175"/>
      <c r="K43" s="175"/>
      <c r="L43" s="175"/>
      <c r="M43" s="175"/>
      <c r="N43" s="175"/>
      <c r="O43" s="50"/>
      <c r="P43" s="64"/>
      <c r="Q43" s="64"/>
      <c r="R43" s="64"/>
      <c r="S43" s="64"/>
      <c r="T43" s="64"/>
      <c r="U43" s="64"/>
      <c r="V43" s="64"/>
      <c r="W43" s="64"/>
      <c r="X43" s="175"/>
      <c r="Y43" s="175"/>
      <c r="Z43" s="175"/>
      <c r="AA43" s="175"/>
      <c r="AB43" s="175"/>
      <c r="AC43" s="175"/>
    </row>
    <row r="44" spans="1:29" x14ac:dyDescent="0.35">
      <c r="A44" s="175"/>
      <c r="B44" s="178">
        <v>0.3</v>
      </c>
      <c r="C44" s="178">
        <v>0.5</v>
      </c>
      <c r="D44" s="175"/>
      <c r="E44" s="175"/>
      <c r="F44" s="175"/>
      <c r="G44" s="175"/>
      <c r="H44" s="175"/>
      <c r="I44" s="175"/>
      <c r="J44" s="175"/>
      <c r="K44" s="175"/>
      <c r="L44" s="175"/>
      <c r="M44" s="175"/>
      <c r="N44" s="175"/>
      <c r="O44" s="64" t="s">
        <v>163</v>
      </c>
      <c r="P44" s="65">
        <f>+Endeudamiento!E8</f>
        <v>0.48692690864982002</v>
      </c>
      <c r="Q44" s="65">
        <f>+Endeudamiento!F8</f>
        <v>0.53485463393607946</v>
      </c>
      <c r="R44" s="65">
        <f>+Endeudamiento!G8</f>
        <v>0.44878879875956684</v>
      </c>
      <c r="S44" s="65">
        <f>+Endeudamiento!H8</f>
        <v>0.54148218962854866</v>
      </c>
      <c r="T44" s="65">
        <f>+Endeudamiento!I8</f>
        <v>0.55383692518470418</v>
      </c>
      <c r="U44" s="65">
        <f>+Endeudamiento!J8</f>
        <v>0.62277795277510029</v>
      </c>
      <c r="V44" s="65">
        <f>+Variables!D112</f>
        <v>0</v>
      </c>
      <c r="W44" s="65">
        <f>+Variables!E112</f>
        <v>0</v>
      </c>
      <c r="X44" s="175"/>
      <c r="Y44" s="175"/>
      <c r="Z44" s="175"/>
      <c r="AA44" s="175"/>
      <c r="AB44" s="175"/>
      <c r="AC44" s="175"/>
    </row>
    <row r="45" spans="1:29" x14ac:dyDescent="0.35">
      <c r="A45" s="175"/>
      <c r="B45" s="178">
        <v>0.4</v>
      </c>
      <c r="C45" s="178">
        <v>0.7</v>
      </c>
      <c r="D45" s="175"/>
      <c r="E45" s="175"/>
      <c r="F45" s="175"/>
      <c r="G45" s="175"/>
      <c r="H45" s="175"/>
      <c r="I45" s="175"/>
      <c r="J45" s="175"/>
      <c r="K45" s="175"/>
      <c r="L45" s="175"/>
      <c r="M45" s="175"/>
      <c r="N45" s="175"/>
      <c r="O45" s="64" t="s">
        <v>643</v>
      </c>
      <c r="P45" s="65">
        <f>+Endeudamiento!E9</f>
        <v>0.65332991649421979</v>
      </c>
      <c r="Q45" s="65">
        <f>+Endeudamiento!F9</f>
        <v>0.54260770485682486</v>
      </c>
      <c r="R45" s="65">
        <f>+Endeudamiento!G9</f>
        <v>0.62737396274628665</v>
      </c>
      <c r="S45" s="65">
        <f>+Endeudamiento!H9</f>
        <v>0.6490390156087148</v>
      </c>
      <c r="T45" s="65">
        <f>+Endeudamiento!I9</f>
        <v>0.63836928650087355</v>
      </c>
      <c r="U45" s="65">
        <f>+Endeudamiento!J9</f>
        <v>0.6958238743632793</v>
      </c>
      <c r="V45" s="65">
        <f>+Variables!D113</f>
        <v>0</v>
      </c>
      <c r="W45" s="65">
        <f>+Variables!E113</f>
        <v>0</v>
      </c>
      <c r="X45" s="175"/>
      <c r="Y45" s="175"/>
      <c r="Z45" s="175"/>
      <c r="AA45" s="175"/>
      <c r="AB45" s="175"/>
      <c r="AC45" s="175"/>
    </row>
    <row r="46" spans="1:29" x14ac:dyDescent="0.35">
      <c r="A46" s="175"/>
      <c r="B46" s="175"/>
      <c r="C46" s="175"/>
      <c r="D46" s="175"/>
      <c r="E46" s="175"/>
      <c r="F46" s="175"/>
      <c r="G46" s="175"/>
      <c r="H46" s="175"/>
      <c r="I46" s="175"/>
      <c r="J46" s="175"/>
      <c r="K46" s="175"/>
      <c r="L46" s="175"/>
      <c r="M46" s="175"/>
      <c r="N46" s="175"/>
      <c r="O46" s="64" t="s">
        <v>644</v>
      </c>
      <c r="P46" s="65">
        <f>+Endeudamiento!E16</f>
        <v>1.9450523216471279E-2</v>
      </c>
      <c r="Q46" s="65">
        <f>+Endeudamiento!F16</f>
        <v>1.7688204762216379E-2</v>
      </c>
      <c r="R46" s="65">
        <f>+Endeudamiento!G16</f>
        <v>1.3531361097768466E-2</v>
      </c>
      <c r="S46" s="65">
        <f>+Endeudamiento!H16</f>
        <v>1.332010452593543E-2</v>
      </c>
      <c r="T46" s="65">
        <f>+Endeudamiento!I16</f>
        <v>1.3866148098873569E-2</v>
      </c>
      <c r="U46" s="65">
        <f>+Endeudamiento!J16</f>
        <v>1.8216807687224786E-2</v>
      </c>
      <c r="V46" s="175"/>
      <c r="W46" s="175"/>
      <c r="X46" s="175"/>
      <c r="Y46" s="175"/>
      <c r="Z46" s="175"/>
      <c r="AA46" s="175"/>
      <c r="AB46" s="175"/>
      <c r="AC46" s="175"/>
    </row>
    <row r="47" spans="1:29" x14ac:dyDescent="0.35">
      <c r="A47" s="175"/>
      <c r="B47" s="175"/>
      <c r="C47" s="175"/>
      <c r="D47" s="175"/>
      <c r="E47" s="175"/>
      <c r="F47" s="175"/>
      <c r="G47" s="175"/>
      <c r="H47" s="175"/>
      <c r="I47" s="175"/>
      <c r="J47" s="175"/>
      <c r="K47" s="175"/>
      <c r="L47" s="175"/>
      <c r="M47" s="175"/>
      <c r="N47" s="175"/>
      <c r="O47" s="64" t="s">
        <v>165</v>
      </c>
      <c r="P47" s="65">
        <f>+Endeudamiento!E18</f>
        <v>0.14568222791074822</v>
      </c>
      <c r="Q47" s="65">
        <f>+Endeudamiento!F18</f>
        <v>0.14964091039799393</v>
      </c>
      <c r="R47" s="65">
        <f>+Endeudamiento!G18</f>
        <v>6.6731910379712336E-2</v>
      </c>
      <c r="S47" s="65">
        <f>+Endeudamiento!H18</f>
        <v>0.10015003469536005</v>
      </c>
      <c r="T47" s="65">
        <f>+Endeudamiento!I18</f>
        <v>0.14005526898176152</v>
      </c>
      <c r="U47" s="65">
        <f>+Endeudamiento!J18</f>
        <v>0.2198073616869535</v>
      </c>
      <c r="V47" s="65">
        <f>+Variables!D114</f>
        <v>0</v>
      </c>
      <c r="W47" s="65">
        <f>+Variables!E114</f>
        <v>0</v>
      </c>
      <c r="X47" s="175"/>
      <c r="Y47" s="175"/>
      <c r="Z47" s="175"/>
      <c r="AA47" s="175"/>
      <c r="AB47" s="175"/>
      <c r="AC47" s="175"/>
    </row>
    <row r="48" spans="1:29" x14ac:dyDescent="0.35">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row>
    <row r="49" spans="1:29" x14ac:dyDescent="0.35">
      <c r="A49" s="175"/>
      <c r="B49" s="175"/>
      <c r="C49" s="175"/>
      <c r="D49" s="175"/>
      <c r="E49" s="175"/>
      <c r="F49" s="175"/>
      <c r="G49" s="175"/>
      <c r="H49" s="175"/>
      <c r="I49" s="175"/>
      <c r="J49" s="175"/>
      <c r="K49" s="175"/>
      <c r="L49" s="175"/>
      <c r="M49" s="175"/>
      <c r="N49" s="175"/>
      <c r="O49" s="57" t="s">
        <v>645</v>
      </c>
      <c r="P49" s="68">
        <f>+P42</f>
        <v>2018</v>
      </c>
      <c r="Q49" s="68">
        <f>+Q42</f>
        <v>2019</v>
      </c>
      <c r="R49" s="68">
        <v>2020</v>
      </c>
      <c r="S49" s="68">
        <f>+S42</f>
        <v>2021</v>
      </c>
      <c r="T49" s="68">
        <f t="shared" ref="T49:U49" si="2">+T42</f>
        <v>2022</v>
      </c>
      <c r="U49" s="68">
        <f t="shared" si="2"/>
        <v>2023</v>
      </c>
      <c r="V49" s="68" t="str">
        <f>+V42</f>
        <v>META</v>
      </c>
      <c r="W49" s="68" t="str">
        <f>+W42</f>
        <v>SECTOR</v>
      </c>
      <c r="X49" s="175"/>
      <c r="Y49" s="175"/>
      <c r="Z49" s="175"/>
      <c r="AA49" s="175"/>
      <c r="AB49" s="175"/>
      <c r="AC49" s="175"/>
    </row>
    <row r="50" spans="1:29" x14ac:dyDescent="0.35">
      <c r="A50" s="175"/>
      <c r="B50" s="175"/>
      <c r="C50" s="175"/>
      <c r="D50" s="175"/>
      <c r="E50" s="175"/>
      <c r="F50" s="175"/>
      <c r="G50" s="175"/>
      <c r="H50" s="175"/>
      <c r="I50" s="175"/>
      <c r="J50" s="175"/>
      <c r="K50" s="175"/>
      <c r="L50" s="175"/>
      <c r="M50" s="175"/>
      <c r="N50" s="175"/>
      <c r="O50" s="57"/>
      <c r="P50" s="66"/>
      <c r="Q50" s="66"/>
      <c r="R50" s="66"/>
      <c r="S50" s="66"/>
      <c r="T50" s="66"/>
      <c r="U50" s="66"/>
      <c r="V50" s="66"/>
      <c r="W50" s="66"/>
      <c r="X50" s="175"/>
      <c r="Y50" s="175"/>
      <c r="Z50" s="175"/>
      <c r="AA50" s="175"/>
      <c r="AB50" s="175"/>
      <c r="AC50" s="175"/>
    </row>
    <row r="51" spans="1:29" x14ac:dyDescent="0.35">
      <c r="A51" s="175"/>
      <c r="B51" s="175"/>
      <c r="C51" s="175"/>
      <c r="D51" s="175"/>
      <c r="E51" s="175"/>
      <c r="F51" s="175"/>
      <c r="G51" s="175"/>
      <c r="H51" s="175"/>
      <c r="I51" s="175"/>
      <c r="J51" s="175"/>
      <c r="K51" s="175"/>
      <c r="L51" s="175"/>
      <c r="M51" s="175"/>
      <c r="N51" s="175"/>
      <c r="O51" s="66" t="s">
        <v>646</v>
      </c>
      <c r="P51" s="439">
        <f>+Rentabilidad!E24</f>
        <v>0.18937312107396595</v>
      </c>
      <c r="Q51" s="439">
        <f>+Rentabilidad!F24</f>
        <v>0.21735885626449769</v>
      </c>
      <c r="R51" s="439">
        <f>+Rentabilidad!G24</f>
        <v>0.43812693319491869</v>
      </c>
      <c r="S51" s="439">
        <f>+Rentabilidad!H24</f>
        <v>0.33478587756551226</v>
      </c>
      <c r="T51" s="439">
        <f>+Rentabilidad!I24</f>
        <v>0.25143856676357057</v>
      </c>
      <c r="U51" s="439">
        <f>+Rentabilidad!J24</f>
        <v>0.22111433048984236</v>
      </c>
      <c r="V51" s="67">
        <f>+Variables!D115</f>
        <v>0</v>
      </c>
      <c r="W51" s="67">
        <f>+Variables!E115</f>
        <v>0</v>
      </c>
      <c r="X51" s="175"/>
      <c r="Y51" s="175"/>
      <c r="Z51" s="175"/>
      <c r="AA51" s="175"/>
      <c r="AB51" s="175"/>
      <c r="AC51" s="175"/>
    </row>
    <row r="52" spans="1:29" x14ac:dyDescent="0.35">
      <c r="A52" s="175"/>
      <c r="B52" s="175"/>
      <c r="C52" s="175"/>
      <c r="D52" s="175"/>
      <c r="E52" s="175"/>
      <c r="F52" s="175"/>
      <c r="G52" s="175"/>
      <c r="H52" s="175"/>
      <c r="I52" s="175"/>
      <c r="J52" s="175"/>
      <c r="K52" s="175"/>
      <c r="L52" s="175"/>
      <c r="M52" s="175"/>
      <c r="N52" s="175"/>
      <c r="O52" s="66" t="s">
        <v>647</v>
      </c>
      <c r="P52" s="439">
        <f>+Rentabilidad!E23</f>
        <v>0.17331522785552009</v>
      </c>
      <c r="Q52" s="439">
        <f>+Rentabilidad!F23</f>
        <v>0.26478657642630543</v>
      </c>
      <c r="R52" s="439">
        <f>+Rentabilidad!G23</f>
        <v>0.6049009189912109</v>
      </c>
      <c r="S52" s="439">
        <f>+Rentabilidad!H23</f>
        <v>0.48619379926048495</v>
      </c>
      <c r="T52" s="439">
        <f>+Rentabilidad!I23</f>
        <v>0.45046421912508167</v>
      </c>
      <c r="U52" s="439">
        <f>+Rentabilidad!J23</f>
        <v>0.24507596856164127</v>
      </c>
      <c r="V52" s="67">
        <f>+Variables!D116</f>
        <v>0</v>
      </c>
      <c r="W52" s="67">
        <f>+Variables!E116</f>
        <v>0</v>
      </c>
      <c r="X52" s="175"/>
      <c r="Y52" s="175"/>
      <c r="Z52" s="175"/>
      <c r="AA52" s="175"/>
      <c r="AB52" s="175"/>
      <c r="AC52" s="175"/>
    </row>
    <row r="53" spans="1:29" x14ac:dyDescent="0.35">
      <c r="A53" s="175"/>
      <c r="B53" s="175"/>
      <c r="C53" s="175"/>
      <c r="D53" s="175"/>
      <c r="E53" s="175"/>
      <c r="F53" s="175"/>
      <c r="G53" s="175"/>
      <c r="H53" s="175"/>
      <c r="I53" s="175"/>
      <c r="J53" s="175"/>
      <c r="K53" s="175"/>
      <c r="L53" s="175"/>
      <c r="M53" s="175"/>
      <c r="N53" s="175"/>
      <c r="O53" s="66" t="s">
        <v>648</v>
      </c>
      <c r="P53" s="439">
        <f>+Rentabilidad!E12</f>
        <v>0.10752713137788725</v>
      </c>
      <c r="Q53" s="439">
        <f>+Rentabilidad!F12</f>
        <v>9.7518993939027576E-2</v>
      </c>
      <c r="R53" s="439">
        <f>+Rentabilidad!G12</f>
        <v>0.18451489724338158</v>
      </c>
      <c r="S53" s="439">
        <f>+Rentabilidad!H12</f>
        <v>0.12694984445744356</v>
      </c>
      <c r="T53" s="439">
        <f>+Rentabilidad!I12</f>
        <v>8.6155371638774361E-2</v>
      </c>
      <c r="U53" s="439">
        <f>+Rentabilidad!J12</f>
        <v>7.4757331857483289E-2</v>
      </c>
      <c r="V53" s="67">
        <f>+Variables!D118</f>
        <v>0</v>
      </c>
      <c r="W53" s="67">
        <f>+Variables!E118</f>
        <v>0</v>
      </c>
      <c r="X53" s="175"/>
      <c r="Y53" s="175"/>
      <c r="Z53" s="175"/>
      <c r="AA53" s="175"/>
      <c r="AB53" s="175"/>
      <c r="AC53" s="175"/>
    </row>
    <row r="54" spans="1:29" x14ac:dyDescent="0.35">
      <c r="A54" s="175"/>
      <c r="B54" s="175"/>
      <c r="C54" s="175"/>
      <c r="D54" s="175"/>
      <c r="E54" s="175"/>
      <c r="F54" s="175"/>
      <c r="G54" s="175"/>
      <c r="H54" s="175"/>
      <c r="I54" s="175"/>
      <c r="J54" s="175"/>
      <c r="K54" s="175"/>
      <c r="L54" s="175"/>
      <c r="M54" s="175"/>
      <c r="N54" s="175"/>
      <c r="O54" s="66" t="s">
        <v>408</v>
      </c>
      <c r="P54" s="439">
        <f>+Rentabilidad!E14</f>
        <v>6.6979933523540092E-2</v>
      </c>
      <c r="Q54" s="439">
        <f>+Rentabilidad!F14</f>
        <v>6.1558769318965791E-2</v>
      </c>
      <c r="R54" s="439">
        <f>+Rentabilidad!G14</f>
        <v>0.13572030034413762</v>
      </c>
      <c r="S54" s="439">
        <f>+Rentabilidad!H14</f>
        <v>9.7353476395642929E-2</v>
      </c>
      <c r="T54" s="439">
        <f>+Rentabilidad!I14</f>
        <v>4.3571400109061721E-2</v>
      </c>
      <c r="U54" s="439">
        <f>+Rentabilidad!J14</f>
        <v>3.071808591680969E-2</v>
      </c>
      <c r="V54" s="67">
        <f>+Variables!D119</f>
        <v>0</v>
      </c>
      <c r="W54" s="67">
        <f>+Variables!E119</f>
        <v>0</v>
      </c>
      <c r="X54" s="175"/>
      <c r="Y54" s="175"/>
      <c r="Z54" s="175"/>
      <c r="AA54" s="175"/>
      <c r="AB54" s="175"/>
      <c r="AC54" s="175"/>
    </row>
    <row r="55" spans="1:29" x14ac:dyDescent="0.35">
      <c r="A55" s="175"/>
      <c r="B55" s="175"/>
      <c r="C55" s="175"/>
      <c r="D55" s="175"/>
      <c r="E55" s="175"/>
      <c r="F55" s="175"/>
      <c r="G55" s="175"/>
      <c r="H55" s="175"/>
      <c r="I55" s="175"/>
      <c r="J55" s="175"/>
      <c r="K55" s="175"/>
      <c r="L55" s="175"/>
      <c r="M55" s="175"/>
      <c r="N55" s="175"/>
      <c r="O55" s="66" t="s">
        <v>375</v>
      </c>
      <c r="P55" s="439">
        <f>+Rentabilidad!E26</f>
        <v>0.13351335640190501</v>
      </c>
      <c r="Q55" s="439">
        <f>+Rentabilidad!F26</f>
        <v>0.11820433807286906</v>
      </c>
      <c r="R55" s="439">
        <f>+Rentabilidad!G26</f>
        <v>0.20277197252069432</v>
      </c>
      <c r="S55" s="439">
        <f>+Rentabilidad!H26</f>
        <v>0.13300149686870302</v>
      </c>
      <c r="T55" s="439">
        <f>+Rentabilidad!I26</f>
        <v>9.9004830019492285E-2</v>
      </c>
      <c r="U55" s="439">
        <f>+Rentabilidad!J26</f>
        <v>8.287624011960483E-2</v>
      </c>
      <c r="V55" s="67">
        <f>+Variables!D120</f>
        <v>0</v>
      </c>
      <c r="W55" s="67">
        <f>+Variables!E120</f>
        <v>0</v>
      </c>
      <c r="X55" s="175"/>
      <c r="Y55" s="175"/>
      <c r="Z55" s="175"/>
      <c r="AA55" s="175"/>
      <c r="AB55" s="175"/>
      <c r="AC55" s="175"/>
    </row>
    <row r="56" spans="1:29" x14ac:dyDescent="0.35">
      <c r="A56" s="175"/>
      <c r="B56" s="175"/>
      <c r="C56" s="175"/>
      <c r="D56" s="175"/>
      <c r="E56" s="175"/>
      <c r="F56" s="175"/>
      <c r="G56" s="175"/>
      <c r="H56" s="175"/>
      <c r="I56" s="175"/>
      <c r="J56" s="175"/>
      <c r="K56" s="175"/>
      <c r="L56" s="175"/>
      <c r="M56" s="175"/>
      <c r="N56" s="175"/>
      <c r="O56" s="66" t="s">
        <v>649</v>
      </c>
      <c r="P56" s="440">
        <f>+'Generacion de Valor'!E11</f>
        <v>0.2272631454228706</v>
      </c>
      <c r="Q56" s="440">
        <f>+'Generacion de Valor'!F11</f>
        <v>0.35875241894396764</v>
      </c>
      <c r="R56" s="440">
        <f>+'Generacion de Valor'!G11</f>
        <v>0.69223446915061315</v>
      </c>
      <c r="S56" s="440">
        <f>+'Generacion de Valor'!H11</f>
        <v>0.57925171812746468</v>
      </c>
      <c r="T56" s="440">
        <f>+'Generacion de Valor'!I11</f>
        <v>0.6215081998379538</v>
      </c>
      <c r="U56" s="440">
        <f>+'Generacion de Valor'!J11</f>
        <v>0.33896580517552832</v>
      </c>
      <c r="V56" s="175"/>
      <c r="W56" s="175"/>
      <c r="X56" s="175"/>
      <c r="Y56" s="175"/>
      <c r="Z56" s="175"/>
      <c r="AA56" s="175"/>
      <c r="AB56" s="175"/>
      <c r="AC56" s="175"/>
    </row>
    <row r="57" spans="1:29" x14ac:dyDescent="0.35">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row>
    <row r="58" spans="1:29" hidden="1" x14ac:dyDescent="0.35">
      <c r="A58" s="175"/>
      <c r="B58" s="175"/>
      <c r="C58" s="175"/>
      <c r="D58" s="175"/>
      <c r="E58" s="175"/>
      <c r="F58" s="175"/>
      <c r="G58" s="175"/>
      <c r="H58" s="175"/>
      <c r="I58" s="175"/>
      <c r="J58" s="175"/>
      <c r="K58" s="175"/>
      <c r="L58" s="175"/>
      <c r="M58" s="175"/>
      <c r="N58" s="175"/>
      <c r="O58" s="71"/>
      <c r="P58" s="72">
        <f>+P49</f>
        <v>2018</v>
      </c>
      <c r="Q58" s="72">
        <f>+Q49</f>
        <v>2019</v>
      </c>
      <c r="R58" s="72"/>
      <c r="S58" s="72">
        <f>+S49</f>
        <v>2021</v>
      </c>
      <c r="T58" s="72"/>
      <c r="U58" s="72"/>
      <c r="V58" s="72" t="str">
        <f>+V49</f>
        <v>META</v>
      </c>
      <c r="W58" s="72" t="str">
        <f>+W49</f>
        <v>SECTOR</v>
      </c>
      <c r="X58" s="175"/>
      <c r="Y58" s="175"/>
      <c r="Z58" s="175"/>
      <c r="AA58" s="175"/>
      <c r="AB58" s="175"/>
      <c r="AC58" s="175"/>
    </row>
    <row r="59" spans="1:29" hidden="1" x14ac:dyDescent="0.35">
      <c r="A59" s="175"/>
      <c r="B59" s="175"/>
      <c r="C59" s="175"/>
      <c r="D59" s="175"/>
      <c r="E59" s="175"/>
      <c r="F59" s="175"/>
      <c r="G59" s="175"/>
      <c r="H59" s="175"/>
      <c r="I59" s="175"/>
      <c r="J59" s="175"/>
      <c r="K59" s="175"/>
      <c r="L59" s="175"/>
      <c r="M59" s="175"/>
      <c r="N59" s="175"/>
      <c r="O59" s="71" t="s">
        <v>650</v>
      </c>
      <c r="P59" s="73"/>
      <c r="Q59" s="73"/>
      <c r="R59" s="73"/>
      <c r="S59" s="73"/>
      <c r="T59" s="434"/>
      <c r="U59" s="434"/>
      <c r="V59" s="175"/>
      <c r="W59" s="175"/>
      <c r="X59" s="175"/>
      <c r="Y59" s="175"/>
      <c r="Z59" s="175"/>
      <c r="AA59" s="175"/>
      <c r="AB59" s="175"/>
      <c r="AC59" s="175"/>
    </row>
    <row r="60" spans="1:29" hidden="1" x14ac:dyDescent="0.35">
      <c r="A60" s="175"/>
      <c r="B60" s="175"/>
      <c r="C60" s="175"/>
      <c r="D60" s="175"/>
      <c r="E60" s="175"/>
      <c r="F60" s="175"/>
      <c r="G60" s="175"/>
      <c r="H60" s="175"/>
      <c r="I60" s="175"/>
      <c r="J60" s="175"/>
      <c r="K60" s="175"/>
      <c r="L60" s="175"/>
      <c r="M60" s="175"/>
      <c r="N60" s="175"/>
      <c r="O60" s="73" t="s">
        <v>651</v>
      </c>
      <c r="P60" s="75">
        <f>+'Generacion de Valor'!E12</f>
        <v>7784262104</v>
      </c>
      <c r="Q60" s="75">
        <f>+'Generacion de Valor'!F12</f>
        <v>6462103176.5</v>
      </c>
      <c r="R60" s="75"/>
      <c r="S60" s="75">
        <f>+'Generacion de Valor'!K12</f>
        <v>5979749.1899999995</v>
      </c>
      <c r="T60" s="435"/>
      <c r="U60" s="435"/>
      <c r="V60" s="175"/>
      <c r="W60" s="175"/>
      <c r="X60" s="175"/>
      <c r="Y60" s="175"/>
      <c r="Z60" s="175"/>
      <c r="AA60" s="175"/>
      <c r="AB60" s="175"/>
      <c r="AC60" s="175"/>
    </row>
    <row r="61" spans="1:29" hidden="1" x14ac:dyDescent="0.35">
      <c r="A61" s="175"/>
      <c r="B61" s="175"/>
      <c r="C61" s="175"/>
      <c r="D61" s="175"/>
      <c r="E61" s="175"/>
      <c r="F61" s="175"/>
      <c r="G61" s="175"/>
      <c r="H61" s="175"/>
      <c r="I61" s="175"/>
      <c r="J61" s="175"/>
      <c r="K61" s="175"/>
      <c r="L61" s="175"/>
      <c r="M61" s="175"/>
      <c r="N61" s="175"/>
      <c r="O61" s="73" t="s">
        <v>652</v>
      </c>
      <c r="P61" s="75">
        <f>+'Generacion de Valor'!E13</f>
        <v>631256679.28967249</v>
      </c>
      <c r="Q61" s="75">
        <f>+'Generacion de Valor'!F13</f>
        <v>766119177.55722988</v>
      </c>
      <c r="R61" s="75"/>
      <c r="S61" s="75">
        <f>+'Generacion de Valor'!K13</f>
        <v>1140583.5935999986</v>
      </c>
      <c r="T61" s="435"/>
      <c r="U61" s="435"/>
      <c r="V61" s="175"/>
      <c r="W61" s="175"/>
      <c r="X61" s="175"/>
      <c r="Y61" s="175"/>
      <c r="Z61" s="175"/>
      <c r="AA61" s="175"/>
      <c r="AB61" s="175"/>
      <c r="AC61" s="175"/>
    </row>
    <row r="62" spans="1:29" hidden="1" x14ac:dyDescent="0.35">
      <c r="A62" s="175"/>
      <c r="B62" s="175"/>
      <c r="C62" s="175"/>
      <c r="D62" s="175"/>
      <c r="E62" s="175"/>
      <c r="F62" s="175"/>
      <c r="G62" s="175"/>
      <c r="H62" s="175"/>
      <c r="I62" s="175"/>
      <c r="J62" s="175"/>
      <c r="K62" s="175"/>
      <c r="L62" s="175"/>
      <c r="M62" s="175"/>
      <c r="N62" s="175"/>
      <c r="O62" s="73" t="s">
        <v>473</v>
      </c>
      <c r="P62" s="75">
        <f>+'Generacion de Valor'!E16</f>
        <v>106097921.13327603</v>
      </c>
      <c r="Q62" s="75">
        <f>+'Generacion de Valor'!F16</f>
        <v>333631963.16364115</v>
      </c>
      <c r="R62" s="75"/>
      <c r="S62" s="75">
        <f>+'Generacion de Valor'!K16</f>
        <v>1140583.5935999986</v>
      </c>
      <c r="T62" s="435"/>
      <c r="U62" s="435"/>
      <c r="V62" s="175"/>
      <c r="W62" s="175"/>
      <c r="X62" s="175"/>
      <c r="Y62" s="175"/>
      <c r="Z62" s="175"/>
      <c r="AA62" s="175"/>
      <c r="AB62" s="175"/>
      <c r="AC62" s="175"/>
    </row>
    <row r="63" spans="1:29" hidden="1" x14ac:dyDescent="0.35">
      <c r="A63" s="175"/>
      <c r="B63" s="175"/>
      <c r="C63" s="175"/>
      <c r="D63" s="175"/>
      <c r="E63" s="175"/>
      <c r="F63" s="175"/>
      <c r="G63" s="175"/>
      <c r="H63" s="175"/>
      <c r="I63" s="175"/>
      <c r="J63" s="175"/>
      <c r="K63" s="175"/>
      <c r="L63" s="175"/>
      <c r="M63" s="175"/>
      <c r="N63" s="175"/>
      <c r="O63" s="73" t="s">
        <v>653</v>
      </c>
      <c r="P63" s="76">
        <f>+'Generacion de Valor'!E15</f>
        <v>6.7464166948661683E-2</v>
      </c>
      <c r="Q63" s="76">
        <f>+'Generacion de Valor'!F15</f>
        <v>6.6926695934903371E-2</v>
      </c>
      <c r="R63" s="76"/>
      <c r="S63" s="76">
        <f>+'Generacion de Valor'!K15</f>
        <v>0</v>
      </c>
      <c r="T63" s="436"/>
      <c r="U63" s="436"/>
      <c r="V63" s="175"/>
      <c r="W63" s="175"/>
      <c r="X63" s="175"/>
      <c r="Y63" s="175"/>
      <c r="Z63" s="175"/>
      <c r="AA63" s="175"/>
      <c r="AB63" s="175"/>
      <c r="AC63" s="175"/>
    </row>
    <row r="64" spans="1:29" hidden="1" x14ac:dyDescent="0.35">
      <c r="A64" s="175"/>
      <c r="B64" s="175"/>
      <c r="C64" s="175"/>
      <c r="D64" s="175"/>
      <c r="E64" s="175"/>
      <c r="F64" s="175"/>
      <c r="G64" s="175"/>
      <c r="H64" s="175"/>
      <c r="I64" s="175"/>
      <c r="J64" s="175"/>
      <c r="K64" s="175"/>
      <c r="L64" s="175"/>
      <c r="M64" s="175"/>
      <c r="N64" s="175"/>
      <c r="O64" s="73" t="s">
        <v>654</v>
      </c>
      <c r="P64" s="76">
        <f>+'Generacion de Valor'!E14</f>
        <v>8.1093965086979358E-2</v>
      </c>
      <c r="Q64" s="76">
        <f>+'Generacion de Valor'!F14</f>
        <v>0.11855570185621438</v>
      </c>
      <c r="R64" s="76"/>
      <c r="S64" s="76">
        <f>+'Generacion de Valor'!K14</f>
        <v>0.1907410423680326</v>
      </c>
      <c r="T64" s="76"/>
      <c r="U64" s="76"/>
      <c r="V64" s="74">
        <f>+Variables!D122</f>
        <v>0</v>
      </c>
      <c r="W64" s="74">
        <f>+Variables!E122</f>
        <v>0</v>
      </c>
      <c r="X64" s="175"/>
      <c r="Y64" s="175"/>
      <c r="Z64" s="175"/>
      <c r="AA64" s="175"/>
      <c r="AB64" s="175"/>
      <c r="AC64" s="175"/>
    </row>
    <row r="65" spans="1:29" hidden="1" x14ac:dyDescent="0.35">
      <c r="A65" s="175"/>
      <c r="B65" s="175"/>
      <c r="C65" s="175"/>
      <c r="D65" s="175"/>
      <c r="E65" s="175"/>
      <c r="F65" s="175"/>
      <c r="G65" s="175"/>
      <c r="H65" s="175"/>
      <c r="I65" s="175"/>
      <c r="J65" s="175"/>
      <c r="K65" s="175"/>
      <c r="L65" s="175"/>
      <c r="M65" s="175"/>
      <c r="N65" s="175"/>
      <c r="O65" s="73" t="s">
        <v>655</v>
      </c>
      <c r="P65" s="76">
        <f>+'Generacion de Valor'!E18</f>
        <v>1.3629798138317675E-2</v>
      </c>
      <c r="Q65" s="76">
        <f>+'Generacion de Valor'!F18</f>
        <v>5.1629005921311005E-2</v>
      </c>
      <c r="R65" s="76"/>
      <c r="S65" s="76">
        <f>+'Generacion de Valor'!K18</f>
        <v>0.1907410423680326</v>
      </c>
      <c r="T65" s="436"/>
      <c r="U65" s="436"/>
      <c r="V65" s="175"/>
      <c r="W65" s="175"/>
      <c r="X65" s="175"/>
      <c r="Y65" s="175"/>
      <c r="Z65" s="175"/>
      <c r="AA65" s="175"/>
      <c r="AB65" s="175"/>
      <c r="AC65" s="175"/>
    </row>
    <row r="66" spans="1:29" hidden="1" x14ac:dyDescent="0.35">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row>
    <row r="67" spans="1:29" hidden="1" x14ac:dyDescent="0.35">
      <c r="A67" s="175"/>
      <c r="B67" s="175"/>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row>
    <row r="68" spans="1:29" hidden="1" x14ac:dyDescent="0.35">
      <c r="A68" s="175"/>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row>
    <row r="69" spans="1:29" hidden="1" x14ac:dyDescent="0.35">
      <c r="A69" s="175"/>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row>
    <row r="70" spans="1:29" hidden="1" x14ac:dyDescent="0.35">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row>
    <row r="71" spans="1:29" hidden="1" x14ac:dyDescent="0.35">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row>
    <row r="72" spans="1:29" hidden="1" x14ac:dyDescent="0.35">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row>
    <row r="73" spans="1:29" hidden="1" x14ac:dyDescent="0.35">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row>
    <row r="74" spans="1:29" hidden="1" x14ac:dyDescent="0.35">
      <c r="A74" s="17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row>
    <row r="75" spans="1:29" hidden="1" x14ac:dyDescent="0.35">
      <c r="A75" s="175"/>
      <c r="B75" s="175"/>
      <c r="C75" s="175"/>
      <c r="D75" s="175"/>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row>
  </sheetData>
  <sheetProtection selectLockedCells="1" selectUnlockedCells="1"/>
  <mergeCells count="4">
    <mergeCell ref="O3:W3"/>
    <mergeCell ref="O4:W4"/>
    <mergeCell ref="O5:W5"/>
    <mergeCell ref="B30:C3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5"/>
  <dimension ref="A1:P29"/>
  <sheetViews>
    <sheetView workbookViewId="0">
      <selection activeCell="I1" sqref="I1"/>
    </sheetView>
  </sheetViews>
  <sheetFormatPr baseColWidth="10" defaultColWidth="0" defaultRowHeight="15" customHeight="1" zeroHeight="1" x14ac:dyDescent="0.35"/>
  <cols>
    <col min="1" max="1" width="3.5546875" customWidth="1"/>
    <col min="2" max="2" width="33.5546875" customWidth="1"/>
    <col min="3" max="3" width="10.5546875" customWidth="1"/>
    <col min="4" max="5" width="10.33203125" customWidth="1"/>
    <col min="6" max="8" width="10.5546875" customWidth="1"/>
    <col min="9" max="9" width="6" bestFit="1" customWidth="1"/>
    <col min="10" max="10" width="7.44140625" bestFit="1" customWidth="1"/>
    <col min="11" max="11" width="6.44140625" bestFit="1" customWidth="1"/>
    <col min="12" max="12" width="6.6640625" bestFit="1" customWidth="1"/>
    <col min="13" max="13" width="36.6640625" customWidth="1"/>
    <col min="14" max="14" width="3.5546875" customWidth="1"/>
    <col min="15" max="16" width="0" hidden="1" customWidth="1"/>
    <col min="17" max="16384" width="11.44140625" hidden="1"/>
  </cols>
  <sheetData>
    <row r="1" spans="1:14" ht="14.4" x14ac:dyDescent="0.35"/>
    <row r="2" spans="1:14" ht="14.4" x14ac:dyDescent="0.35"/>
    <row r="3" spans="1:14" ht="28.5" customHeight="1" x14ac:dyDescent="0.45">
      <c r="A3" s="2"/>
      <c r="B3" s="472" t="str">
        <f>+'Fuentes y aplicaciones'!B3:G3</f>
        <v>K-LISTO</v>
      </c>
      <c r="C3" s="473"/>
      <c r="D3" s="473"/>
      <c r="E3" s="473"/>
      <c r="F3" s="473"/>
      <c r="G3" s="473"/>
      <c r="H3" s="473"/>
      <c r="I3" s="473"/>
      <c r="J3" s="473"/>
      <c r="K3" s="473"/>
      <c r="L3" s="473"/>
      <c r="M3" s="474"/>
      <c r="N3" t="s">
        <v>222</v>
      </c>
    </row>
    <row r="4" spans="1:14" ht="22.2" x14ac:dyDescent="0.45">
      <c r="A4" s="2"/>
      <c r="B4" s="495" t="s">
        <v>656</v>
      </c>
      <c r="C4" s="496"/>
      <c r="D4" s="496"/>
      <c r="E4" s="496"/>
      <c r="F4" s="496"/>
      <c r="G4" s="496"/>
      <c r="H4" s="496"/>
      <c r="I4" s="496"/>
      <c r="J4" s="496"/>
      <c r="K4" s="496"/>
      <c r="L4" s="496"/>
      <c r="M4" s="525"/>
      <c r="N4" t="s">
        <v>222</v>
      </c>
    </row>
    <row r="5" spans="1:14" ht="4.95" customHeight="1" x14ac:dyDescent="0.35">
      <c r="A5" s="2"/>
      <c r="B5" s="160"/>
      <c r="C5" s="14"/>
      <c r="D5" s="14"/>
      <c r="E5" s="14"/>
      <c r="F5" s="14"/>
      <c r="G5" s="14"/>
      <c r="H5" s="14"/>
      <c r="I5" s="14"/>
      <c r="J5" s="14"/>
      <c r="K5" s="14"/>
      <c r="L5" s="14"/>
      <c r="M5" s="161"/>
      <c r="N5" t="s">
        <v>222</v>
      </c>
    </row>
    <row r="6" spans="1:14" ht="14.4" x14ac:dyDescent="0.35">
      <c r="B6" s="10" t="s">
        <v>216</v>
      </c>
      <c r="C6" s="33">
        <f>+Variables!D7</f>
        <v>2018</v>
      </c>
      <c r="D6" s="33">
        <f>+Variables!E7</f>
        <v>2019</v>
      </c>
      <c r="E6" s="33">
        <f>+Variables!F7</f>
        <v>2020</v>
      </c>
      <c r="F6" s="33">
        <f>+Variables!G7</f>
        <v>2021</v>
      </c>
      <c r="G6" s="33">
        <f>+Variables!H7</f>
        <v>2022</v>
      </c>
      <c r="H6" s="33">
        <f>+Variables!I7</f>
        <v>2023</v>
      </c>
      <c r="I6" s="33" t="s">
        <v>634</v>
      </c>
      <c r="J6" s="33" t="s">
        <v>657</v>
      </c>
      <c r="K6" s="33" t="s">
        <v>658</v>
      </c>
      <c r="L6" s="33" t="s">
        <v>659</v>
      </c>
      <c r="M6" s="33" t="s">
        <v>421</v>
      </c>
    </row>
    <row r="7" spans="1:14" ht="14.4" x14ac:dyDescent="0.35">
      <c r="B7" s="581"/>
      <c r="C7" s="582"/>
      <c r="D7" s="582"/>
      <c r="E7" s="582"/>
      <c r="F7" s="582"/>
      <c r="G7" s="582"/>
      <c r="H7" s="582"/>
      <c r="I7" s="582"/>
      <c r="J7" s="582"/>
      <c r="K7" s="582"/>
      <c r="L7" s="582"/>
      <c r="M7" s="583"/>
    </row>
    <row r="8" spans="1:14" ht="15" customHeight="1" x14ac:dyDescent="0.35">
      <c r="B8" s="584" t="s">
        <v>633</v>
      </c>
      <c r="C8" s="585"/>
      <c r="D8" s="585"/>
      <c r="E8" s="585"/>
      <c r="F8" s="585"/>
      <c r="G8" s="585"/>
      <c r="H8" s="585"/>
      <c r="I8" s="585"/>
      <c r="J8" s="585"/>
      <c r="K8" s="585"/>
      <c r="L8" s="585"/>
      <c r="M8" s="586"/>
    </row>
    <row r="9" spans="1:14" ht="14.4" x14ac:dyDescent="0.35">
      <c r="B9" s="581"/>
      <c r="C9" s="582"/>
      <c r="D9" s="582"/>
      <c r="E9" s="582"/>
      <c r="F9" s="582"/>
      <c r="G9" s="582"/>
      <c r="H9" s="582"/>
      <c r="I9" s="582"/>
      <c r="J9" s="582"/>
      <c r="K9" s="582"/>
      <c r="L9" s="582"/>
      <c r="M9" s="583"/>
    </row>
    <row r="10" spans="1:14" ht="25.2" customHeight="1" x14ac:dyDescent="0.35">
      <c r="B10" s="47" t="s">
        <v>157</v>
      </c>
      <c r="C10" s="56">
        <f>+Balance!C18/Balance!C48</f>
        <v>2.0004180075855351</v>
      </c>
      <c r="D10" s="56">
        <f>+Balance!D18/Balance!D48</f>
        <v>1.8378110868549562</v>
      </c>
      <c r="E10" s="56">
        <f>+Balance!E18/Balance!E48</f>
        <v>2.1265172388622271</v>
      </c>
      <c r="F10" s="56">
        <f>+Balance!F18/Balance!F48</f>
        <v>1.3322726771584033</v>
      </c>
      <c r="G10" s="56">
        <f>+Balance!G18/Balance!G48</f>
        <v>1.3712419777512677</v>
      </c>
      <c r="H10" s="56">
        <f>+Balance!H18/Balance!H48</f>
        <v>1.2787576283806221</v>
      </c>
      <c r="I10" s="56">
        <f>+Variables!D106</f>
        <v>1.5</v>
      </c>
      <c r="J10" s="56">
        <f>+K10-1</f>
        <v>0.5</v>
      </c>
      <c r="K10" s="56">
        <f t="shared" ref="K10:K18" si="0">+I10</f>
        <v>1.5</v>
      </c>
      <c r="L10" s="56">
        <f>+K10+1</f>
        <v>2.5</v>
      </c>
      <c r="M10" s="9" t="str">
        <f>IF(H10&lt;J10,"PROBLEMAS DE LIQUIDEZ",IF(H10&gt;L10,"EXCESOS DE LIQUIDEZ","EN EL RANGO"))</f>
        <v>EN EL RANGO</v>
      </c>
      <c r="N10" t="s">
        <v>222</v>
      </c>
    </row>
    <row r="11" spans="1:14" ht="25.2" customHeight="1" x14ac:dyDescent="0.35">
      <c r="B11" s="47" t="s">
        <v>525</v>
      </c>
      <c r="C11" s="56">
        <f>+(Balance!C18-Balance!C14)/Balance!C48</f>
        <v>1.8148985285662889</v>
      </c>
      <c r="D11" s="56">
        <f>+(Balance!D18-Balance!D14)/Balance!D48</f>
        <v>1.5122311636125003</v>
      </c>
      <c r="E11" s="56">
        <f>+(Balance!E18-Balance!E14)/Balance!E48</f>
        <v>1.7888783528928403</v>
      </c>
      <c r="F11" s="56">
        <f>+(Balance!F18-Balance!F14)/Balance!F48</f>
        <v>1.1484993109847019</v>
      </c>
      <c r="G11" s="56">
        <f>+(Balance!G18-Balance!G14)/Balance!G48</f>
        <v>1.1310722165305158</v>
      </c>
      <c r="H11" s="56">
        <f>+(Balance!H18-Balance!H14)/Balance!H48</f>
        <v>1.0998745593520216</v>
      </c>
      <c r="I11" s="56">
        <f>+Variables!D107</f>
        <v>1</v>
      </c>
      <c r="J11" s="56">
        <f>+K11-0.2</f>
        <v>0.8</v>
      </c>
      <c r="K11" s="56">
        <f t="shared" si="0"/>
        <v>1</v>
      </c>
      <c r="L11" s="56">
        <f>+K11+0.5</f>
        <v>1.5</v>
      </c>
      <c r="M11" s="9" t="str">
        <f>IF(H11&lt;J11,"PROBLEMAS DE LIQUIDEZ",IF(H11&gt;L11,"EXCESOS DE LIQUIDEZ","EN EL RANGO"))</f>
        <v>EN EL RANGO</v>
      </c>
      <c r="N11" t="s">
        <v>222</v>
      </c>
    </row>
    <row r="12" spans="1:14" ht="25.2" customHeight="1" x14ac:dyDescent="0.35">
      <c r="B12" s="47" t="s">
        <v>219</v>
      </c>
      <c r="C12" s="11">
        <f>+Actividad!H9</f>
        <v>175.08437493148196</v>
      </c>
      <c r="D12" s="11">
        <f>+Actividad!I9</f>
        <v>128.11221379922702</v>
      </c>
      <c r="E12" s="11">
        <f>+Actividad!J9</f>
        <v>74.372822234259388</v>
      </c>
      <c r="F12" s="11">
        <f>+Actividad!K9</f>
        <v>74.376342014946573</v>
      </c>
      <c r="G12" s="11">
        <f>+Actividad!L9</f>
        <v>53.989484920328813</v>
      </c>
      <c r="H12" s="11">
        <f>+Actividad!M9</f>
        <v>65.228889822070087</v>
      </c>
      <c r="I12" s="11">
        <f>+Variables!D108</f>
        <v>60</v>
      </c>
      <c r="J12" s="11">
        <f>+K12-10</f>
        <v>50</v>
      </c>
      <c r="K12" s="11">
        <f t="shared" si="0"/>
        <v>60</v>
      </c>
      <c r="L12" s="11">
        <f>+K12+10</f>
        <v>70</v>
      </c>
      <c r="M12" s="9" t="str">
        <f>IF(H12&lt;J12,"ANALIZAR RECUPERACIÓN MUY RÁPIDA",IF(H12&gt;L12,"PROBLEMAS DE RECAUDO","EN EL RANGO"))</f>
        <v>EN EL RANGO</v>
      </c>
    </row>
    <row r="13" spans="1:14" ht="25.2" customHeight="1" x14ac:dyDescent="0.35">
      <c r="B13" s="47" t="s">
        <v>160</v>
      </c>
      <c r="C13" s="11">
        <f>+Actividad!H10</f>
        <v>46.702795644858845</v>
      </c>
      <c r="D13" s="11">
        <f>+Actividad!I10</f>
        <v>42.441053514281222</v>
      </c>
      <c r="E13" s="11">
        <f>+Actividad!J10</f>
        <v>40.358694202009552</v>
      </c>
      <c r="F13" s="11">
        <f>+Actividad!K10</f>
        <v>33.344337940377137</v>
      </c>
      <c r="G13" s="11">
        <f>+Actividad!L10</f>
        <v>28.074990388680192</v>
      </c>
      <c r="H13" s="11">
        <f>+Actividad!M10</f>
        <v>29.237537586437913</v>
      </c>
      <c r="I13" s="11">
        <f>+Variables!D109</f>
        <v>25</v>
      </c>
      <c r="J13" s="11">
        <f>+K13-10</f>
        <v>15</v>
      </c>
      <c r="K13" s="11">
        <f t="shared" si="0"/>
        <v>25</v>
      </c>
      <c r="L13" s="11">
        <f>+K13+10</f>
        <v>35</v>
      </c>
      <c r="M13" s="9" t="str">
        <f>IF(H13&lt;J13,"ROTACIÓN MUY RÁPIDA",IF(H13&gt;L13,"PROBLEMAS DE ROTACIÓN","EN EL RANGO"))</f>
        <v>EN EL RANGO</v>
      </c>
    </row>
    <row r="14" spans="1:14" ht="25.2" customHeight="1" x14ac:dyDescent="0.35">
      <c r="B14" s="47" t="s">
        <v>161</v>
      </c>
      <c r="C14" s="11">
        <f>+Actividad!H12</f>
        <v>33.96675442928759</v>
      </c>
      <c r="D14" s="11">
        <f>+Actividad!I12</f>
        <v>19.337903402093232</v>
      </c>
      <c r="E14" s="11">
        <f>+Actividad!J12</f>
        <v>11.433204165255749</v>
      </c>
      <c r="F14" s="11">
        <f>+Actividad!K12</f>
        <v>12.559008501210798</v>
      </c>
      <c r="G14" s="11">
        <f>+Actividad!L12</f>
        <v>15.59605914461169</v>
      </c>
      <c r="H14" s="11">
        <f>+Actividad!M12</f>
        <v>23.218711967181971</v>
      </c>
      <c r="I14" s="11">
        <f>+Variables!D110</f>
        <v>30</v>
      </c>
      <c r="J14" s="11">
        <f>+K14-20</f>
        <v>10</v>
      </c>
      <c r="K14" s="11">
        <f t="shared" si="0"/>
        <v>30</v>
      </c>
      <c r="L14" s="11">
        <f>+K14+20</f>
        <v>50</v>
      </c>
      <c r="M14" s="9" t="str">
        <f>IF(H14&lt;J14,"PAGO MENOR A LA META",IF(H14&gt;L14,"PAGO MAYOR A LA META","EN EL RANGO"))</f>
        <v>EN EL RANGO</v>
      </c>
    </row>
    <row r="15" spans="1:14" ht="15" customHeight="1" x14ac:dyDescent="0.35">
      <c r="B15" s="581"/>
      <c r="C15" s="582"/>
      <c r="D15" s="582"/>
      <c r="E15" s="582"/>
      <c r="F15" s="582"/>
      <c r="G15" s="582"/>
      <c r="H15" s="582"/>
      <c r="I15" s="582"/>
      <c r="J15" s="582"/>
      <c r="K15" s="582"/>
      <c r="L15" s="582"/>
      <c r="M15" s="583"/>
    </row>
    <row r="16" spans="1:14" ht="15" customHeight="1" x14ac:dyDescent="0.35">
      <c r="B16" s="584" t="s">
        <v>642</v>
      </c>
      <c r="C16" s="585"/>
      <c r="D16" s="585"/>
      <c r="E16" s="585"/>
      <c r="F16" s="585"/>
      <c r="G16" s="585"/>
      <c r="H16" s="585"/>
      <c r="I16" s="585"/>
      <c r="J16" s="585"/>
      <c r="K16" s="585"/>
      <c r="L16" s="585"/>
      <c r="M16" s="586"/>
    </row>
    <row r="17" spans="2:13" ht="15" customHeight="1" x14ac:dyDescent="0.35">
      <c r="B17" s="581"/>
      <c r="C17" s="582"/>
      <c r="D17" s="582"/>
      <c r="E17" s="582"/>
      <c r="F17" s="582"/>
      <c r="G17" s="582"/>
      <c r="H17" s="582"/>
      <c r="I17" s="582"/>
      <c r="J17" s="582"/>
      <c r="K17" s="582"/>
      <c r="L17" s="582"/>
      <c r="M17" s="583"/>
    </row>
    <row r="18" spans="2:13" ht="25.2" customHeight="1" x14ac:dyDescent="0.35">
      <c r="B18" s="46" t="s">
        <v>163</v>
      </c>
      <c r="C18" s="77">
        <f>+Balance!C58/Balance!C36</f>
        <v>0.48692690864982002</v>
      </c>
      <c r="D18" s="77">
        <f>+Balance!D58/Balance!D36</f>
        <v>0.53485463393607946</v>
      </c>
      <c r="E18" s="77">
        <f>+Balance!E58/Balance!E36</f>
        <v>0.44878879875956684</v>
      </c>
      <c r="F18" s="77">
        <f>+Balance!F58/Balance!F36</f>
        <v>0.54148218962854866</v>
      </c>
      <c r="G18" s="77">
        <f>+Balance!G58/Balance!G36</f>
        <v>0.55383692518470418</v>
      </c>
      <c r="H18" s="77">
        <f>+Balance!H58/Balance!H36</f>
        <v>0.62277795277510029</v>
      </c>
      <c r="I18" s="77">
        <f>+Variables!E112</f>
        <v>0</v>
      </c>
      <c r="J18" s="77">
        <f>+K18-20%</f>
        <v>-0.2</v>
      </c>
      <c r="K18" s="77">
        <f t="shared" si="0"/>
        <v>0</v>
      </c>
      <c r="L18" s="77">
        <f>+K18+10%</f>
        <v>0.1</v>
      </c>
      <c r="M18" s="9" t="str">
        <f>IF(H18&lt;J18,"BAJO NIVEL DE ENDEUDAMIENTO",IF(H18&gt;L18,"ALTO NIVEL DE ENDEUDAMIENTO","EN EL RANGO"))</f>
        <v>ALTO NIVEL DE ENDEUDAMIENTO</v>
      </c>
    </row>
    <row r="19" spans="2:13" ht="25.2" customHeight="1" x14ac:dyDescent="0.35">
      <c r="B19" s="46" t="s">
        <v>164</v>
      </c>
      <c r="C19" s="77">
        <f>+Balance!C48/Balance!C58</f>
        <v>0.65332991649421979</v>
      </c>
      <c r="D19" s="77">
        <f>+Balance!D48/Balance!D58</f>
        <v>0.54260770485682486</v>
      </c>
      <c r="E19" s="77">
        <f>+Balance!E48/Balance!E58</f>
        <v>0.62737396274628665</v>
      </c>
      <c r="F19" s="77">
        <f>+Balance!F48/Balance!F58</f>
        <v>0.6490390156087148</v>
      </c>
      <c r="G19" s="77">
        <f>+Balance!G48/Balance!G58</f>
        <v>0.63836928650087355</v>
      </c>
      <c r="H19" s="77">
        <f>+Balance!H48/Balance!H58</f>
        <v>0.6958238743632793</v>
      </c>
      <c r="I19" s="77">
        <f>+Variables!E113</f>
        <v>0</v>
      </c>
      <c r="J19" s="77">
        <f>+K19-20%</f>
        <v>-0.2</v>
      </c>
      <c r="K19" s="77">
        <f t="shared" ref="K19:K28" si="1">+I19</f>
        <v>0</v>
      </c>
      <c r="L19" s="77">
        <f>+K19+10%</f>
        <v>0.1</v>
      </c>
      <c r="M19" s="9" t="str">
        <f>IF(H19&lt;J19,"BAJO NIVEL DE ENDEUDAMIENTO",IF(H19&gt;L19,"ALTO NIVEL DE ENDEUDAMIENTO","EN EL RANGO"))</f>
        <v>ALTO NIVEL DE ENDEUDAMIENTO</v>
      </c>
    </row>
    <row r="20" spans="2:13" ht="15" customHeight="1" x14ac:dyDescent="0.35">
      <c r="B20" s="581"/>
      <c r="C20" s="582"/>
      <c r="D20" s="582"/>
      <c r="E20" s="582"/>
      <c r="F20" s="582"/>
      <c r="G20" s="582"/>
      <c r="H20" s="582"/>
      <c r="I20" s="582"/>
      <c r="J20" s="582"/>
      <c r="K20" s="582"/>
      <c r="L20" s="582"/>
      <c r="M20" s="583"/>
    </row>
    <row r="21" spans="2:13" ht="15" customHeight="1" x14ac:dyDescent="0.35">
      <c r="B21" s="584" t="s">
        <v>645</v>
      </c>
      <c r="C21" s="585"/>
      <c r="D21" s="585"/>
      <c r="E21" s="585"/>
      <c r="F21" s="585"/>
      <c r="G21" s="585"/>
      <c r="H21" s="585"/>
      <c r="I21" s="585"/>
      <c r="J21" s="585"/>
      <c r="K21" s="585"/>
      <c r="L21" s="585"/>
      <c r="M21" s="586"/>
    </row>
    <row r="22" spans="2:13" ht="15" customHeight="1" x14ac:dyDescent="0.35">
      <c r="B22" s="581"/>
      <c r="C22" s="582"/>
      <c r="D22" s="582"/>
      <c r="E22" s="582"/>
      <c r="F22" s="582"/>
      <c r="G22" s="582"/>
      <c r="H22" s="582"/>
      <c r="I22" s="582"/>
      <c r="J22" s="582"/>
      <c r="K22" s="582"/>
      <c r="L22" s="582"/>
      <c r="M22" s="583"/>
    </row>
    <row r="23" spans="2:13" ht="25.2" customHeight="1" x14ac:dyDescent="0.35">
      <c r="B23" s="47" t="s">
        <v>660</v>
      </c>
      <c r="C23" s="77">
        <f>+'Estado Resultados'!C12/'Estado Resultados'!C8</f>
        <v>0.48646966374149897</v>
      </c>
      <c r="D23" s="77">
        <f>+'Estado Resultados'!D12/'Estado Resultados'!D8</f>
        <v>0.44129871295250839</v>
      </c>
      <c r="E23" s="77">
        <f>+'Estado Resultados'!E12/'Estado Resultados'!E8</f>
        <v>0.44750413660347044</v>
      </c>
      <c r="F23" s="77">
        <f>+'Estado Resultados'!F12/'Estado Resultados'!F8</f>
        <v>0.38583319936623711</v>
      </c>
      <c r="G23" s="77">
        <f>+'Estado Resultados'!G12/'Estado Resultados'!G8</f>
        <v>0.35565137540579317</v>
      </c>
      <c r="H23" s="77">
        <f>+'Estado Resultados'!H12/'Estado Resultados'!H8</f>
        <v>0.32360549802259553</v>
      </c>
      <c r="I23" s="77">
        <f>+Variables!E117</f>
        <v>0</v>
      </c>
      <c r="J23" s="77">
        <f>+K23-15%</f>
        <v>-0.15</v>
      </c>
      <c r="K23" s="77">
        <f t="shared" si="1"/>
        <v>0</v>
      </c>
      <c r="L23" s="77">
        <f>+K23+5%</f>
        <v>0.05</v>
      </c>
      <c r="M23" s="9" t="str">
        <f>IF(H23&lt;J23,"BAJO MARGEN BRUTO",IF(H23&gt;L23,"ALTO MARGEN BRUTO","EN EL RANGO"))</f>
        <v>ALTO MARGEN BRUTO</v>
      </c>
    </row>
    <row r="24" spans="2:13" ht="25.2" customHeight="1" x14ac:dyDescent="0.35">
      <c r="B24" s="47" t="s">
        <v>661</v>
      </c>
      <c r="C24" s="77">
        <f>+'Estado Resultados'!C17/'Estado Resultados'!C8</f>
        <v>0.10752713137788725</v>
      </c>
      <c r="D24" s="77">
        <f>+'Estado Resultados'!D17/'Estado Resultados'!D8</f>
        <v>9.7518993939027576E-2</v>
      </c>
      <c r="E24" s="77">
        <f>+'Estado Resultados'!E17/'Estado Resultados'!E8</f>
        <v>0.18451489724338158</v>
      </c>
      <c r="F24" s="77">
        <f>+'Estado Resultados'!F17/'Estado Resultados'!F8</f>
        <v>0.12694984445744356</v>
      </c>
      <c r="G24" s="77">
        <f>+'Estado Resultados'!G17/'Estado Resultados'!G8</f>
        <v>8.6155371638774361E-2</v>
      </c>
      <c r="H24" s="77">
        <f>+'Estado Resultados'!H17/'Estado Resultados'!H8</f>
        <v>7.4757331857483289E-2</v>
      </c>
      <c r="I24" s="77">
        <f>+Variables!E118</f>
        <v>0</v>
      </c>
      <c r="J24" s="77">
        <f>+K24-10%</f>
        <v>-0.1</v>
      </c>
      <c r="K24" s="77">
        <f t="shared" si="1"/>
        <v>0</v>
      </c>
      <c r="L24" s="77">
        <f>+K24+10%</f>
        <v>0.1</v>
      </c>
      <c r="M24" s="9" t="str">
        <f>IF(H24&lt;J24,"BAJO MARGEN OPERATIVO",IF(H24&gt;L24,"ALTO MARGEN OPERATIVO","EN EL RANGO"))</f>
        <v>EN EL RANGO</v>
      </c>
    </row>
    <row r="25" spans="2:13" ht="25.2" customHeight="1" x14ac:dyDescent="0.35">
      <c r="B25" s="47" t="s">
        <v>408</v>
      </c>
      <c r="C25" s="77">
        <f>+'Estado Resultados'!C28/'Estado Resultados'!C8</f>
        <v>6.6979933523540092E-2</v>
      </c>
      <c r="D25" s="77">
        <f>+'Estado Resultados'!D28/'Estado Resultados'!D8</f>
        <v>6.1558769318965791E-2</v>
      </c>
      <c r="E25" s="77">
        <f>+'Estado Resultados'!E28/'Estado Resultados'!E8</f>
        <v>0.13572030034413762</v>
      </c>
      <c r="F25" s="77">
        <f>+'Estado Resultados'!F28/'Estado Resultados'!F8</f>
        <v>9.7353476395642929E-2</v>
      </c>
      <c r="G25" s="77">
        <f>+'Estado Resultados'!G28/'Estado Resultados'!G8</f>
        <v>4.3571400109061721E-2</v>
      </c>
      <c r="H25" s="77">
        <f>+'Estado Resultados'!H28/'Estado Resultados'!H8</f>
        <v>3.071808591680969E-2</v>
      </c>
      <c r="I25" s="77">
        <f>+Variables!E119</f>
        <v>0</v>
      </c>
      <c r="J25" s="77">
        <f>+K25-5%</f>
        <v>-0.05</v>
      </c>
      <c r="K25" s="77">
        <f t="shared" si="1"/>
        <v>0</v>
      </c>
      <c r="L25" s="77">
        <f>+K25+10%</f>
        <v>0.1</v>
      </c>
      <c r="M25" s="9" t="str">
        <f>IF(H25&lt;J25,"BAJO MARGEN NETO",IF(H25&gt;L25,"ALTO MARGEN NETO","EN EL RANGO"))</f>
        <v>EN EL RANGO</v>
      </c>
    </row>
    <row r="26" spans="2:13" ht="25.2" customHeight="1" x14ac:dyDescent="0.35">
      <c r="B26" s="47" t="s">
        <v>662</v>
      </c>
      <c r="C26" s="77">
        <f>+'Estado Resultados'!C17/((Variables!D74+Variables!D70+Variables!D71-Variables!D72+Balance!C13+Balance!C14+Balance!C28+Balance!C31-Balance!C42)/2)</f>
        <v>0.12670778509783467</v>
      </c>
      <c r="D26" s="77">
        <f>+'Estado Resultados'!D17/((Variables!E74+Variables!E70+Variables!E71-Variables!E72+Balance!D13+Balance!D14+Balance!D28+Balance!D31-Balance!D42)/2)</f>
        <v>0.35389761748123699</v>
      </c>
      <c r="E26" s="77">
        <f>+'Estado Resultados'!E17/((Variables!F74+Variables!F70+Variables!F71-Variables!F72+Balance!E13+Balance!E14+Balance!E28+Balance!E31-Balance!E42)/2)</f>
        <v>0.83570455817076117</v>
      </c>
      <c r="F26" s="77">
        <f>+'Estado Resultados'!F17/((Variables!G74+Variables!G70+Variables!G71-Variables!G72+Balance!F13+Balance!F14+Balance!F28+Balance!F31-Balance!F42)/2)</f>
        <v>0.62699183541366776</v>
      </c>
      <c r="G26" s="77">
        <f>+'Estado Resultados'!G17/((Variables!H74+Variables!H70+Variables!H71-Variables!H72+Balance!G13+Balance!G14+Balance!G28+Balance!G31-Balance!G42)/2)</f>
        <v>0.59211779012468013</v>
      </c>
      <c r="H26" s="77">
        <f>+'Estado Resultados'!H17/((Variables!I74+Variables!I70+Variables!I71-Variables!I72+Balance!H13+Balance!H14+Balance!H28+Balance!H31-Balance!H42)/2)</f>
        <v>0.42614565953081335</v>
      </c>
      <c r="I26" s="77">
        <f>+Variables!E116</f>
        <v>0</v>
      </c>
      <c r="J26" s="77">
        <f>+K26-10%</f>
        <v>-0.1</v>
      </c>
      <c r="K26" s="77">
        <f t="shared" si="1"/>
        <v>0</v>
      </c>
      <c r="L26" s="77">
        <f>+K26+10%</f>
        <v>0.1</v>
      </c>
      <c r="M26" s="9" t="str">
        <f>IF(H26&lt;J26,"BAJO RENDIMIENTO DEL ACTIVO",IF(H26&gt;L26,"ALTO RENDIMIENTO DEL ACTIVO","EN EL RANGO"))</f>
        <v>ALTO RENDIMIENTO DEL ACTIVO</v>
      </c>
    </row>
    <row r="27" spans="2:13" ht="25.2" customHeight="1" x14ac:dyDescent="0.35">
      <c r="B27" s="47" t="s">
        <v>663</v>
      </c>
      <c r="C27" s="77">
        <f>+Rentabilidad!E24</f>
        <v>0.18937312107396595</v>
      </c>
      <c r="D27" s="77">
        <f>+Rentabilidad!F24</f>
        <v>0.21735885626449769</v>
      </c>
      <c r="E27" s="77">
        <f>+Rentabilidad!G24</f>
        <v>0.43812693319491869</v>
      </c>
      <c r="F27" s="77">
        <f>+Rentabilidad!H24</f>
        <v>0.33478587756551226</v>
      </c>
      <c r="G27" s="77">
        <f>+Rentabilidad!I24</f>
        <v>0.25143856676357057</v>
      </c>
      <c r="H27" s="77">
        <f>+Rentabilidad!J24</f>
        <v>0.22111433048984236</v>
      </c>
      <c r="I27" s="77">
        <f>+Variables!E115</f>
        <v>0</v>
      </c>
      <c r="J27" s="77">
        <f>+K27-10%</f>
        <v>-0.1</v>
      </c>
      <c r="K27" s="77">
        <f t="shared" si="1"/>
        <v>0</v>
      </c>
      <c r="L27" s="77">
        <f>+K27+10%</f>
        <v>0.1</v>
      </c>
      <c r="M27" s="9" t="str">
        <f>IF(H27&lt;J27,"BAJO RENDIMIENTO DEL PATRIMONIO",IF(H27&gt;L27,"ALTO RENDIMIENTO DEL PATRIMONIO","EN EL RANGO"))</f>
        <v>ALTO RENDIMIENTO DEL PATRIMONIO</v>
      </c>
    </row>
    <row r="28" spans="2:13" ht="25.2" customHeight="1" x14ac:dyDescent="0.35">
      <c r="B28" s="47" t="s">
        <v>375</v>
      </c>
      <c r="C28" s="77">
        <f>+Rentabilidad!E26</f>
        <v>0.13351335640190501</v>
      </c>
      <c r="D28" s="77">
        <f>+Rentabilidad!F26</f>
        <v>0.11820433807286906</v>
      </c>
      <c r="E28" s="77">
        <f>+Rentabilidad!G26</f>
        <v>0.20277197252069432</v>
      </c>
      <c r="F28" s="77">
        <f>+Rentabilidad!H26</f>
        <v>0.13300149686870302</v>
      </c>
      <c r="G28" s="77">
        <f>+Rentabilidad!I26</f>
        <v>9.9004830019492285E-2</v>
      </c>
      <c r="H28" s="77">
        <f>+Rentabilidad!J26</f>
        <v>8.287624011960483E-2</v>
      </c>
      <c r="I28" s="77">
        <f>+Variables!E120</f>
        <v>0</v>
      </c>
      <c r="J28" s="77">
        <f>+K28-10%</f>
        <v>-0.1</v>
      </c>
      <c r="K28" s="77">
        <f t="shared" si="1"/>
        <v>0</v>
      </c>
      <c r="L28" s="77">
        <f>+K28+10%</f>
        <v>0.1</v>
      </c>
      <c r="M28" s="9" t="str">
        <f>IF(H28&lt;J28,"BAJO MARGEN EBITDA",IF(H28&gt;L28,"ALTO MARGEN EBITDA","EN EL RANGO"))</f>
        <v>EN EL RANGO</v>
      </c>
    </row>
    <row r="29" spans="2:13" ht="15" customHeight="1" x14ac:dyDescent="0.35"/>
  </sheetData>
  <sheetProtection selectLockedCells="1" selectUnlockedCells="1"/>
  <mergeCells count="11">
    <mergeCell ref="B16:M16"/>
    <mergeCell ref="B17:M17"/>
    <mergeCell ref="B20:M20"/>
    <mergeCell ref="B21:M21"/>
    <mergeCell ref="B22:M22"/>
    <mergeCell ref="B15:M15"/>
    <mergeCell ref="B3:M3"/>
    <mergeCell ref="B4:M4"/>
    <mergeCell ref="B8:M8"/>
    <mergeCell ref="B7:M7"/>
    <mergeCell ref="B9:M9"/>
  </mergeCells>
  <conditionalFormatting sqref="M10">
    <cfRule type="containsText" dxfId="38" priority="43" operator="containsText" text="EXCESOS DE LIQUIDEZ">
      <formula>NOT(ISERROR(SEARCH("EXCESOS DE LIQUIDEZ",M10)))</formula>
    </cfRule>
    <cfRule type="containsText" dxfId="37" priority="44" operator="containsText" text="PROBLEMAS DE LIQUIDEZ">
      <formula>NOT(ISERROR(SEARCH("PROBLEMAS DE LIQUIDEZ",M10)))</formula>
    </cfRule>
    <cfRule type="containsText" dxfId="36" priority="45" operator="containsText" text="EN EL RANGO">
      <formula>NOT(ISERROR(SEARCH("EN EL RANGO",M10)))</formula>
    </cfRule>
  </conditionalFormatting>
  <conditionalFormatting sqref="M11">
    <cfRule type="containsText" dxfId="35" priority="40" operator="containsText" text="EXCESOS DE LIQUIDEZ">
      <formula>NOT(ISERROR(SEARCH("EXCESOS DE LIQUIDEZ",M11)))</formula>
    </cfRule>
    <cfRule type="containsText" dxfId="34" priority="41" operator="containsText" text="PROBLEMAS DE LIQUIDEZ">
      <formula>NOT(ISERROR(SEARCH("PROBLEMAS DE LIQUIDEZ",M11)))</formula>
    </cfRule>
    <cfRule type="containsText" dxfId="33" priority="42" operator="containsText" text="EN EL RANGO">
      <formula>NOT(ISERROR(SEARCH("EN EL RANGO",M11)))</formula>
    </cfRule>
  </conditionalFormatting>
  <conditionalFormatting sqref="M12">
    <cfRule type="containsText" dxfId="32" priority="37" operator="containsText" text="ANALIZAR RECUPERACIÓN MUY RÁPIDA">
      <formula>NOT(ISERROR(SEARCH("ANALIZAR RECUPERACIÓN MUY RÁPIDA",M12)))</formula>
    </cfRule>
    <cfRule type="containsText" dxfId="31" priority="38" operator="containsText" text="PROBLEMAS DE RECAUDO">
      <formula>NOT(ISERROR(SEARCH("PROBLEMAS DE RECAUDO",M12)))</formula>
    </cfRule>
    <cfRule type="containsText" dxfId="30" priority="39" operator="containsText" text="EN EL RANGO">
      <formula>NOT(ISERROR(SEARCH("EN EL RANGO",M12)))</formula>
    </cfRule>
  </conditionalFormatting>
  <conditionalFormatting sqref="M13">
    <cfRule type="containsText" dxfId="29" priority="34" operator="containsText" text="ROTACIÓN MUY RÁPIDA">
      <formula>NOT(ISERROR(SEARCH("ROTACIÓN MUY RÁPIDA",M13)))</formula>
    </cfRule>
    <cfRule type="containsText" dxfId="28" priority="35" operator="containsText" text="PROBLEMAS DE ROTACIÓN">
      <formula>NOT(ISERROR(SEARCH("PROBLEMAS DE ROTACIÓN",M13)))</formula>
    </cfRule>
    <cfRule type="containsText" dxfId="27" priority="36" operator="containsText" text="EN EL RANGO">
      <formula>NOT(ISERROR(SEARCH("EN EL RANGO",M13)))</formula>
    </cfRule>
  </conditionalFormatting>
  <conditionalFormatting sqref="M14">
    <cfRule type="containsText" dxfId="26" priority="31" operator="containsText" text="PAGO MENOR A LA META">
      <formula>NOT(ISERROR(SEARCH("PAGO MENOR A LA META",M14)))</formula>
    </cfRule>
    <cfRule type="containsText" dxfId="25" priority="32" operator="containsText" text="PAGO MAYOR A LA META">
      <formula>NOT(ISERROR(SEARCH("PAGO MAYOR A LA META",M14)))</formula>
    </cfRule>
    <cfRule type="containsText" dxfId="24" priority="33" operator="containsText" text="EN EL RANGO">
      <formula>NOT(ISERROR(SEARCH("EN EL RANGO",M14)))</formula>
    </cfRule>
  </conditionalFormatting>
  <conditionalFormatting sqref="M18">
    <cfRule type="containsText" dxfId="23" priority="28" operator="containsText" text="BAJO NIVEL DE ENDEUDAMIENTO">
      <formula>NOT(ISERROR(SEARCH("BAJO NIVEL DE ENDEUDAMIENTO",M18)))</formula>
    </cfRule>
    <cfRule type="containsText" dxfId="22" priority="29" operator="containsText" text="ALTO NIVEL DE ENDEUDAMIENTO">
      <formula>NOT(ISERROR(SEARCH("ALTO NIVEL DE ENDEUDAMIENTO",M18)))</formula>
    </cfRule>
    <cfRule type="containsText" dxfId="21" priority="30" operator="containsText" text="EN EL RANGO">
      <formula>NOT(ISERROR(SEARCH("EN EL RANGO",M18)))</formula>
    </cfRule>
  </conditionalFormatting>
  <conditionalFormatting sqref="M19">
    <cfRule type="containsText" dxfId="20" priority="25" operator="containsText" text="BAJO NIVEL DE ENDEUDAMIENTO">
      <formula>NOT(ISERROR(SEARCH("BAJO NIVEL DE ENDEUDAMIENTO",M19)))</formula>
    </cfRule>
    <cfRule type="containsText" dxfId="19" priority="26" operator="containsText" text="ALTO NIVEL DE ENDEUDAMIENTO">
      <formula>NOT(ISERROR(SEARCH("ALTO NIVEL DE ENDEUDAMIENTO",M19)))</formula>
    </cfRule>
    <cfRule type="containsText" dxfId="18" priority="27" operator="containsText" text="EN EL RANGO">
      <formula>NOT(ISERROR(SEARCH("EN EL RANGO",M19)))</formula>
    </cfRule>
  </conditionalFormatting>
  <conditionalFormatting sqref="M23">
    <cfRule type="containsText" dxfId="17" priority="22" operator="containsText" text="BAJO MARGEN BRUTO">
      <formula>NOT(ISERROR(SEARCH("BAJO MARGEN BRUTO",M23)))</formula>
    </cfRule>
    <cfRule type="containsText" dxfId="16" priority="23" operator="containsText" text="ALTO MARGEN BRUTO">
      <formula>NOT(ISERROR(SEARCH("ALTO MARGEN BRUTO",M23)))</formula>
    </cfRule>
    <cfRule type="containsText" dxfId="15" priority="24" operator="containsText" text="EN EL RANGO">
      <formula>NOT(ISERROR(SEARCH("EN EL RANGO",M23)))</formula>
    </cfRule>
  </conditionalFormatting>
  <conditionalFormatting sqref="M24">
    <cfRule type="containsText" dxfId="14" priority="19" operator="containsText" text="BAJO MARGEN OPERATIVO">
      <formula>NOT(ISERROR(SEARCH("BAJO MARGEN OPERATIVO",M24)))</formula>
    </cfRule>
    <cfRule type="containsText" dxfId="13" priority="20" operator="containsText" text="ALTO MARGEN OPERATIVO">
      <formula>NOT(ISERROR(SEARCH("ALTO MARGEN OPERATIVO",M24)))</formula>
    </cfRule>
    <cfRule type="containsText" dxfId="12" priority="21" operator="containsText" text="EN EL RANGO">
      <formula>NOT(ISERROR(SEARCH("EN EL RANGO",M24)))</formula>
    </cfRule>
  </conditionalFormatting>
  <conditionalFormatting sqref="M25">
    <cfRule type="containsText" dxfId="11" priority="16" operator="containsText" text="BAJO MARGEN NETO">
      <formula>NOT(ISERROR(SEARCH("BAJO MARGEN NETO",M25)))</formula>
    </cfRule>
    <cfRule type="containsText" dxfId="10" priority="17" operator="containsText" text="ALTO MARGEN NETO">
      <formula>NOT(ISERROR(SEARCH("ALTO MARGEN NETO",M25)))</formula>
    </cfRule>
    <cfRule type="containsText" dxfId="9" priority="18" operator="containsText" text="EN EL RANGO">
      <formula>NOT(ISERROR(SEARCH("EN EL RANGO",M25)))</formula>
    </cfRule>
  </conditionalFormatting>
  <conditionalFormatting sqref="M26">
    <cfRule type="containsText" dxfId="8" priority="13" operator="containsText" text="BAJO RENDIMIENTO DEL ACTIVO">
      <formula>NOT(ISERROR(SEARCH("BAJO RENDIMIENTO DEL ACTIVO",M26)))</formula>
    </cfRule>
    <cfRule type="containsText" dxfId="7" priority="14" operator="containsText" text="ALTO RENDIMIENTO DEL ACTIVO">
      <formula>NOT(ISERROR(SEARCH("ALTO RENDIMIENTO DEL ACTIVO",M26)))</formula>
    </cfRule>
    <cfRule type="containsText" dxfId="6" priority="15" operator="containsText" text="EN EL RANGO">
      <formula>NOT(ISERROR(SEARCH("EN EL RANGO",M26)))</formula>
    </cfRule>
  </conditionalFormatting>
  <conditionalFormatting sqref="M27">
    <cfRule type="containsText" dxfId="5" priority="10" operator="containsText" text="BAJO RENDIMIENTO DEL PATRIMONIO">
      <formula>NOT(ISERROR(SEARCH("BAJO RENDIMIENTO DEL PATRIMONIO",M27)))</formula>
    </cfRule>
    <cfRule type="containsText" dxfId="4" priority="11" operator="containsText" text="ALRO RENDIMIENTO DEL PATRIMONIO">
      <formula>NOT(ISERROR(SEARCH("ALRO RENDIMIENTO DEL PATRIMONIO",M27)))</formula>
    </cfRule>
    <cfRule type="containsText" dxfId="3" priority="12" operator="containsText" text="EN EL RANGO">
      <formula>NOT(ISERROR(SEARCH("EN EL RANGO",M27)))</formula>
    </cfRule>
  </conditionalFormatting>
  <conditionalFormatting sqref="M28">
    <cfRule type="containsText" dxfId="2" priority="7" operator="containsText" text="BAJO MARGEN EBITDA">
      <formula>NOT(ISERROR(SEARCH("BAJO MARGEN EBITDA",M28)))</formula>
    </cfRule>
    <cfRule type="containsText" dxfId="1" priority="8" operator="containsText" text="ALTO MARGEN EBITDA">
      <formula>NOT(ISERROR(SEARCH("ALTO MARGEN EBITDA",M28)))</formula>
    </cfRule>
    <cfRule type="containsText" dxfId="0" priority="9" operator="containsText" text="EN EL RANGO">
      <formula>NOT(ISERROR(SEARCH("EN EL RANGO",M28)))</formula>
    </cfRule>
  </conditionalFormatting>
  <printOptions horizontalCentered="1"/>
  <pageMargins left="0.70866141732283472" right="0.31496062992125984" top="0.48" bottom="0.43307086614173229" header="0" footer="0"/>
  <pageSetup scale="7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L126"/>
  <sheetViews>
    <sheetView topLeftCell="A59" workbookViewId="0">
      <selection activeCell="D112" sqref="D112"/>
    </sheetView>
  </sheetViews>
  <sheetFormatPr baseColWidth="10" defaultColWidth="0" defaultRowHeight="13.8" zeroHeight="1" x14ac:dyDescent="0.35"/>
  <cols>
    <col min="1" max="1" width="2.5546875" style="268" bestFit="1" customWidth="1"/>
    <col min="2" max="2" width="4.44140625" style="268" customWidth="1"/>
    <col min="3" max="3" width="38" style="268" customWidth="1"/>
    <col min="4" max="4" width="17.5546875" style="268" customWidth="1"/>
    <col min="5" max="5" width="16.5546875" style="268" bestFit="1" customWidth="1"/>
    <col min="6" max="9" width="16.5546875" style="268" customWidth="1"/>
    <col min="10" max="10" width="12.44140625" style="268" bestFit="1" customWidth="1"/>
    <col min="11" max="12" width="0" style="268" hidden="1" customWidth="1"/>
    <col min="13" max="16384" width="11.44140625" style="268" hidden="1"/>
  </cols>
  <sheetData>
    <row r="1" spans="1:9" ht="21" customHeight="1" x14ac:dyDescent="0.35">
      <c r="A1" s="267">
        <v>2</v>
      </c>
    </row>
    <row r="2" spans="1:9" ht="10.199999999999999" customHeight="1" thickBot="1" x14ac:dyDescent="0.4">
      <c r="A2" s="267"/>
    </row>
    <row r="3" spans="1:9" ht="25.2" thickTop="1" x14ac:dyDescent="0.35">
      <c r="C3" s="348" t="s">
        <v>62</v>
      </c>
      <c r="D3" s="463" t="s">
        <v>63</v>
      </c>
      <c r="E3" s="464"/>
      <c r="F3" s="464"/>
      <c r="G3" s="464"/>
      <c r="H3" s="464"/>
      <c r="I3" s="465"/>
    </row>
    <row r="4" spans="1:9" ht="21" x14ac:dyDescent="0.35">
      <c r="C4" s="349" t="s">
        <v>64</v>
      </c>
      <c r="D4" s="466" t="s">
        <v>65</v>
      </c>
      <c r="E4" s="467"/>
      <c r="F4" s="467"/>
      <c r="G4" s="467"/>
      <c r="H4" s="467"/>
      <c r="I4" s="468"/>
    </row>
    <row r="5" spans="1:9" ht="15" customHeight="1" thickBot="1" x14ac:dyDescent="0.4">
      <c r="C5" s="350" t="s">
        <v>66</v>
      </c>
      <c r="D5" s="469" t="s">
        <v>67</v>
      </c>
      <c r="E5" s="470"/>
      <c r="F5" s="470"/>
      <c r="G5" s="470"/>
      <c r="H5" s="470"/>
      <c r="I5" s="471"/>
    </row>
    <row r="6" spans="1:9" ht="15" thickTop="1" thickBot="1" x14ac:dyDescent="0.4">
      <c r="C6" s="269"/>
      <c r="D6" s="269"/>
      <c r="E6" s="269"/>
      <c r="F6" s="269"/>
      <c r="G6" s="269"/>
      <c r="H6" s="269"/>
      <c r="I6" s="269"/>
    </row>
    <row r="7" spans="1:9" ht="15" thickTop="1" thickBot="1" x14ac:dyDescent="0.4">
      <c r="C7" s="270" t="s">
        <v>68</v>
      </c>
      <c r="D7" s="271">
        <v>2018</v>
      </c>
      <c r="E7" s="271">
        <v>2019</v>
      </c>
      <c r="F7" s="272">
        <v>2020</v>
      </c>
      <c r="G7" s="272">
        <v>2021</v>
      </c>
      <c r="H7" s="272">
        <v>2022</v>
      </c>
      <c r="I7" s="272">
        <v>2023</v>
      </c>
    </row>
    <row r="8" spans="1:9" ht="15" thickTop="1" thickBot="1" x14ac:dyDescent="0.4"/>
    <row r="9" spans="1:9" ht="15" thickTop="1" thickBot="1" x14ac:dyDescent="0.4">
      <c r="C9" s="273" t="s">
        <v>69</v>
      </c>
      <c r="E9" s="283">
        <f>+E10+E11</f>
        <v>245646126</v>
      </c>
    </row>
    <row r="10" spans="1:9" ht="14.4" thickTop="1" x14ac:dyDescent="0.35">
      <c r="C10" s="274" t="s">
        <v>70</v>
      </c>
      <c r="D10" s="275">
        <v>227038885</v>
      </c>
      <c r="E10" s="275">
        <v>118467733</v>
      </c>
      <c r="F10" s="275">
        <v>382144220</v>
      </c>
      <c r="G10" s="275">
        <f>+[1]balkl!$E$12</f>
        <v>67465736</v>
      </c>
      <c r="H10" s="275">
        <v>132682041</v>
      </c>
      <c r="I10" s="276">
        <f>+[2]balkl!$E$12</f>
        <v>74494491</v>
      </c>
    </row>
    <row r="11" spans="1:9" x14ac:dyDescent="0.35">
      <c r="C11" s="277" t="s">
        <v>71</v>
      </c>
      <c r="D11" s="278">
        <v>0</v>
      </c>
      <c r="E11" s="278">
        <v>127178393</v>
      </c>
      <c r="F11" s="278">
        <v>216452017</v>
      </c>
      <c r="G11" s="278">
        <v>50261488</v>
      </c>
      <c r="H11" s="278">
        <v>10116020</v>
      </c>
      <c r="I11" s="279">
        <f>+[2]balkl!$E$21</f>
        <v>5550131</v>
      </c>
    </row>
    <row r="12" spans="1:9" x14ac:dyDescent="0.35">
      <c r="C12" s="329" t="s">
        <v>72</v>
      </c>
      <c r="D12" s="278">
        <v>4907544657</v>
      </c>
      <c r="E12" s="278">
        <f>3323595296</f>
        <v>3323595296</v>
      </c>
      <c r="F12" s="278">
        <f>+[3]balkl!$E$23</f>
        <v>4509474310</v>
      </c>
      <c r="G12" s="278">
        <f>+[1]balkl!$E$23</f>
        <v>4728878028</v>
      </c>
      <c r="H12" s="278">
        <f>+[4]balkl!$E$23</f>
        <v>3867312996</v>
      </c>
      <c r="I12" s="279">
        <f>+[2]balkl!$E$23</f>
        <v>8490046187</v>
      </c>
    </row>
    <row r="13" spans="1:9" x14ac:dyDescent="0.35">
      <c r="C13" s="329" t="s">
        <v>73</v>
      </c>
      <c r="D13" s="278">
        <v>528643264</v>
      </c>
      <c r="E13" s="278">
        <v>994831546</v>
      </c>
      <c r="F13" s="278">
        <v>1353632203</v>
      </c>
      <c r="G13" s="278">
        <v>1190080987</v>
      </c>
      <c r="H13" s="278">
        <v>1690216833</v>
      </c>
      <c r="I13" s="279">
        <f>+[2]balkl!$E$36</f>
        <v>2056290139</v>
      </c>
    </row>
    <row r="14" spans="1:9" x14ac:dyDescent="0.35">
      <c r="C14" s="277" t="s">
        <v>74</v>
      </c>
      <c r="D14" s="278">
        <v>37023704</v>
      </c>
      <c r="E14" s="278">
        <v>86716968</v>
      </c>
      <c r="F14" s="278">
        <v>61957103</v>
      </c>
      <c r="G14" s="278">
        <f>+[1]balkl!$E$56</f>
        <v>157221119</v>
      </c>
      <c r="H14" s="278">
        <v>207293017</v>
      </c>
      <c r="I14" s="279">
        <f>+[2]balkl!$E$56</f>
        <v>749838027</v>
      </c>
    </row>
    <row r="15" spans="1:9" ht="14.4" thickBot="1" x14ac:dyDescent="0.4">
      <c r="C15" s="280" t="s">
        <v>75</v>
      </c>
      <c r="D15" s="281">
        <v>0</v>
      </c>
      <c r="E15" s="281">
        <v>964766535</v>
      </c>
      <c r="F15" s="281">
        <f>+[3]balkl!$E$24</f>
        <v>2001786517</v>
      </c>
      <c r="G15" s="281">
        <f>[1]balkl!$E$24</f>
        <v>2433634356</v>
      </c>
      <c r="H15" s="281">
        <f>+[4]balkl!$E$24</f>
        <v>3742620910</v>
      </c>
      <c r="I15" s="282">
        <f>+[2]balkl!$E$24</f>
        <v>3323309134</v>
      </c>
    </row>
    <row r="16" spans="1:9" ht="15" thickTop="1" thickBot="1" x14ac:dyDescent="0.4"/>
    <row r="17" spans="3:10" ht="14.4" thickTop="1" x14ac:dyDescent="0.35">
      <c r="C17" s="274" t="s">
        <v>76</v>
      </c>
      <c r="D17" s="275"/>
      <c r="E17" s="275"/>
      <c r="F17" s="275"/>
      <c r="G17" s="275"/>
      <c r="H17" s="275"/>
      <c r="I17" s="276"/>
    </row>
    <row r="18" spans="3:10" x14ac:dyDescent="0.35">
      <c r="C18" s="277" t="s">
        <v>77</v>
      </c>
      <c r="D18" s="278"/>
      <c r="E18" s="278"/>
      <c r="F18" s="278"/>
      <c r="G18" s="278"/>
      <c r="H18" s="278"/>
      <c r="I18" s="331"/>
    </row>
    <row r="19" spans="3:10" x14ac:dyDescent="0.35">
      <c r="C19" s="277" t="s">
        <v>78</v>
      </c>
      <c r="D19" s="278">
        <v>2595940276</v>
      </c>
      <c r="E19" s="278">
        <v>2800564815</v>
      </c>
      <c r="F19" s="278">
        <v>3410131694</v>
      </c>
      <c r="G19" s="278">
        <v>4664665679</v>
      </c>
      <c r="H19" s="278">
        <f>+[4]balkl!$E$38</f>
        <v>4890523503</v>
      </c>
      <c r="I19" s="278">
        <f>+[2]balkl!$E$38</f>
        <v>5021200039</v>
      </c>
    </row>
    <row r="20" spans="3:10" x14ac:dyDescent="0.35">
      <c r="C20" s="277" t="s">
        <v>79</v>
      </c>
      <c r="D20" s="278">
        <f>246744164-93744217</f>
        <v>152999947</v>
      </c>
      <c r="E20" s="278">
        <f>246744164-93744217</f>
        <v>152999947</v>
      </c>
      <c r="F20" s="278">
        <v>152999947</v>
      </c>
      <c r="G20" s="278">
        <v>152999947</v>
      </c>
      <c r="H20" s="278">
        <f>+[4]balkl!$E$39+[4]balkl!$E$41</f>
        <v>152999947</v>
      </c>
      <c r="I20" s="278">
        <f>+[2]balkl!$E$39+[2]balkl!$E$41</f>
        <v>152999947</v>
      </c>
    </row>
    <row r="21" spans="3:10" x14ac:dyDescent="0.35">
      <c r="C21" s="277" t="s">
        <v>80</v>
      </c>
      <c r="D21" s="278"/>
      <c r="E21" s="278"/>
      <c r="F21" s="278"/>
      <c r="G21" s="278"/>
      <c r="H21" s="278"/>
      <c r="I21" s="278"/>
    </row>
    <row r="22" spans="3:10" x14ac:dyDescent="0.35">
      <c r="C22" s="277" t="s">
        <v>81</v>
      </c>
      <c r="D22" s="278"/>
      <c r="E22" s="278"/>
      <c r="F22" s="278"/>
      <c r="G22" s="278"/>
      <c r="H22" s="278"/>
      <c r="I22" s="278"/>
    </row>
    <row r="23" spans="3:10" x14ac:dyDescent="0.35">
      <c r="C23" s="277" t="s">
        <v>82</v>
      </c>
      <c r="D23" s="278"/>
      <c r="E23" s="278"/>
      <c r="F23" s="278"/>
      <c r="G23" s="278"/>
      <c r="H23" s="278"/>
      <c r="I23" s="278"/>
    </row>
    <row r="24" spans="3:10" x14ac:dyDescent="0.35">
      <c r="C24" s="277" t="s">
        <v>83</v>
      </c>
      <c r="D24" s="278">
        <v>1674333990</v>
      </c>
      <c r="E24" s="278">
        <v>1916880522</v>
      </c>
      <c r="F24" s="278">
        <v>2267803494</v>
      </c>
      <c r="G24" s="278">
        <v>2404985311</v>
      </c>
      <c r="H24" s="278">
        <f>-[4]balkl!$E$40</f>
        <v>2778359734</v>
      </c>
      <c r="I24" s="278">
        <f>-[2]balkl!$E$40</f>
        <v>3059062173</v>
      </c>
    </row>
    <row r="25" spans="3:10" x14ac:dyDescent="0.35">
      <c r="C25" s="347" t="s">
        <v>84</v>
      </c>
      <c r="D25" s="346">
        <f>SUM(D17:D23)-D24</f>
        <v>1074606233</v>
      </c>
      <c r="E25" s="346">
        <f t="shared" ref="E25" si="0">SUM(E17:E23)-E24</f>
        <v>1036684240</v>
      </c>
      <c r="F25" s="346">
        <f t="shared" ref="F25" si="1">SUM(F17:F23)-F24</f>
        <v>1295328147</v>
      </c>
      <c r="G25" s="346">
        <f>SUM(G17:G23)-G24</f>
        <v>2412680315</v>
      </c>
      <c r="H25" s="346">
        <f>SUM(H17:H23)-H24</f>
        <v>2265163716</v>
      </c>
      <c r="I25" s="346">
        <f>SUM(I17:I23)-I24</f>
        <v>2115137813</v>
      </c>
      <c r="J25" s="283"/>
    </row>
    <row r="26" spans="3:10" x14ac:dyDescent="0.35">
      <c r="C26" s="277" t="s">
        <v>85</v>
      </c>
      <c r="D26" s="278">
        <v>620429945</v>
      </c>
      <c r="E26" s="278">
        <v>801357514</v>
      </c>
      <c r="F26" s="278">
        <v>983070179</v>
      </c>
      <c r="G26" s="278">
        <f>+[1]balkl!$E$50</f>
        <v>1992726743</v>
      </c>
      <c r="H26" s="278">
        <v>2365985857</v>
      </c>
      <c r="I26" s="279">
        <f>+[2]balkl!$E$50</f>
        <v>2643451039</v>
      </c>
    </row>
    <row r="27" spans="3:10" x14ac:dyDescent="0.35">
      <c r="C27" s="277" t="s">
        <v>86</v>
      </c>
      <c r="D27" s="278">
        <v>0</v>
      </c>
      <c r="E27" s="278">
        <v>0</v>
      </c>
      <c r="F27" s="278">
        <v>0</v>
      </c>
      <c r="G27" s="278">
        <v>0</v>
      </c>
      <c r="H27" s="278">
        <v>0</v>
      </c>
      <c r="I27" s="279">
        <v>0</v>
      </c>
    </row>
    <row r="28" spans="3:10" x14ac:dyDescent="0.35">
      <c r="C28" s="277" t="s">
        <v>87</v>
      </c>
      <c r="D28" s="278">
        <v>1562008077</v>
      </c>
      <c r="E28" s="278">
        <f>+[5]Hoja1!C11</f>
        <v>1562008077.5</v>
      </c>
      <c r="F28" s="278">
        <f>+[5]Hoja1!C11</f>
        <v>1562008077.5</v>
      </c>
      <c r="G28" s="278">
        <v>1562008077.5</v>
      </c>
      <c r="H28" s="278">
        <v>1562008078</v>
      </c>
      <c r="I28" s="279">
        <f>+[2]balkl!$E$60</f>
        <v>1562008078</v>
      </c>
    </row>
    <row r="29" spans="3:10" ht="14.4" thickBot="1" x14ac:dyDescent="0.4">
      <c r="C29" s="280" t="s">
        <v>88</v>
      </c>
      <c r="D29" s="281">
        <v>0</v>
      </c>
      <c r="E29" s="281">
        <f>5801345498-E12-E15</f>
        <v>1512983667</v>
      </c>
      <c r="F29" s="281">
        <v>1873154750</v>
      </c>
      <c r="G29" s="281">
        <f>+[1]balkl!$E$34-G12-G15</f>
        <v>3831378286</v>
      </c>
      <c r="H29" s="281">
        <f>+[4]balkl!$E$34-H12-H15</f>
        <v>4061968253</v>
      </c>
      <c r="I29" s="282">
        <f>+[2]balkl!$E$34-I12-I15</f>
        <v>5506536755</v>
      </c>
    </row>
    <row r="30" spans="3:10" ht="15" thickTop="1" thickBot="1" x14ac:dyDescent="0.4">
      <c r="D30" s="283"/>
    </row>
    <row r="31" spans="3:10" ht="15" thickTop="1" thickBot="1" x14ac:dyDescent="0.4">
      <c r="C31" s="273" t="s">
        <v>89</v>
      </c>
      <c r="F31" s="283"/>
      <c r="G31" s="283"/>
      <c r="H31" s="283"/>
      <c r="I31" s="283"/>
    </row>
    <row r="32" spans="3:10" ht="14.4" thickTop="1" x14ac:dyDescent="0.35">
      <c r="C32" s="274" t="s">
        <v>90</v>
      </c>
      <c r="D32" s="275">
        <f>(1917266766+3598945+239160228)*0.3</f>
        <v>648007781.69999993</v>
      </c>
      <c r="E32" s="275">
        <f>+(2932898112+274732574)*0.3</f>
        <v>962289205.79999995</v>
      </c>
      <c r="F32" s="275">
        <v>1020512059.1999999</v>
      </c>
      <c r="G32" s="275">
        <f>+([1]balkl!$O$7+[1]balkl!$O$10)*0.3</f>
        <v>1500739095.5999999</v>
      </c>
      <c r="H32" s="275">
        <f>(5159888285+535448108)*0.3</f>
        <v>1708600917.8999999</v>
      </c>
      <c r="I32" s="276">
        <f>([2]balkl!$O$7+[2]balkl!$O$10)*0.3</f>
        <v>2153595665.4000001</v>
      </c>
    </row>
    <row r="33" spans="3:10" x14ac:dyDescent="0.35">
      <c r="C33" s="277" t="s">
        <v>91</v>
      </c>
      <c r="D33" s="278">
        <v>288540127</v>
      </c>
      <c r="E33" s="278">
        <v>455015983</v>
      </c>
      <c r="F33" s="278">
        <v>232757746</v>
      </c>
      <c r="G33" s="278">
        <f>+[1]balkl!$O$12</f>
        <v>714066403</v>
      </c>
      <c r="H33" s="278">
        <v>928720815</v>
      </c>
      <c r="I33" s="279">
        <f>+[2]balkl!$O$12</f>
        <v>2093105985</v>
      </c>
      <c r="J33" s="283"/>
    </row>
    <row r="34" spans="3:10" x14ac:dyDescent="0.35">
      <c r="C34" s="277" t="s">
        <v>92</v>
      </c>
      <c r="D34" s="278">
        <f>12264694+958593668+150491</f>
        <v>971008853</v>
      </c>
      <c r="E34" s="278">
        <f>15111243+532167153</f>
        <v>547278396</v>
      </c>
      <c r="F34" s="278">
        <v>816276118</v>
      </c>
      <c r="G34" s="278">
        <f>+[1]balkl!$O$13+[1]balkl!$O$14</f>
        <v>1883471851</v>
      </c>
      <c r="H34" s="278">
        <v>1884210580</v>
      </c>
      <c r="I34" s="279">
        <f>+[2]balkl!$O$13+[2]balkl!$O$14</f>
        <v>2531480554</v>
      </c>
    </row>
    <row r="35" spans="3:10" x14ac:dyDescent="0.35">
      <c r="C35" s="277" t="s">
        <v>93</v>
      </c>
      <c r="D35" s="278">
        <f>7302130+88974+1094909+190581000+14410000</f>
        <v>213477013</v>
      </c>
      <c r="E35" s="278">
        <f>16599137-2419838+1498263+259170213+15849851</f>
        <v>290697626</v>
      </c>
      <c r="F35" s="278">
        <v>375269120</v>
      </c>
      <c r="G35" s="278">
        <f>+[1]balkl!$O$16+[1]balkl!$O$18+[1]balkl!$O$19+[1]balkl!$O$25+[1]balkl!$O$26</f>
        <v>1050393958</v>
      </c>
      <c r="H35" s="278">
        <f>+SUM([6]balkl!$O$16:$O$20)+[6]balkl!$O$25+[6]balkl!$O$26</f>
        <v>675067305</v>
      </c>
      <c r="I35" s="279">
        <f>+[2]balkl!$O$16+[2]balkl!$O$18+[2]balkl!$O$19+[2]balkl!$O$24+[2]balkl!$O$25+[2]balkl!$O$26</f>
        <v>2378587520</v>
      </c>
      <c r="J35" s="283"/>
    </row>
    <row r="36" spans="3:10" x14ac:dyDescent="0.35">
      <c r="C36" s="277" t="s">
        <v>94</v>
      </c>
      <c r="D36" s="278">
        <f>41495115+38644627+1478135+130822990+18485206+73744400+69857502</f>
        <v>374527975</v>
      </c>
      <c r="E36" s="278">
        <f>24725264+49449866+161172533+24121320+126523908</f>
        <v>385992891</v>
      </c>
      <c r="F36" s="278">
        <v>616890362</v>
      </c>
      <c r="G36" s="278">
        <f>+[1]balkl!$O$21+[1]balkl!$O$23+[1]balkl!$O$28+[1]balkl!$O$29+[1]balkl!$O$30+[1]balkl!$O$33</f>
        <v>624717627</v>
      </c>
      <c r="H36" s="278">
        <f>SUM([6]balkl!$O$21:$O$24)+[6]balkl!$O$28+[6]balkl!$O$29+[6]balkl!$O$33</f>
        <v>740507708</v>
      </c>
      <c r="I36" s="279">
        <f>+[2]balkl!$O$21+[2]balkl!$O$23+[2]balkl!$O$27+[2]balkl!$O$28+[2]balkl!$O$29+[2]balkl!$O$30+[2]balkl!$O$33</f>
        <v>844785681</v>
      </c>
    </row>
    <row r="37" spans="3:10" ht="14.4" thickBot="1" x14ac:dyDescent="0.4">
      <c r="C37" s="280" t="s">
        <v>95</v>
      </c>
      <c r="D37" s="281">
        <f>50698039+19850489</f>
        <v>70548528</v>
      </c>
      <c r="E37" s="281">
        <f>45201228+26424520</f>
        <v>71625748</v>
      </c>
      <c r="F37" s="281">
        <v>117387425</v>
      </c>
      <c r="G37" s="281">
        <f>+[1]balkl!$O$22+[1]balkl!$O$32+[1]balkl!$O$31</f>
        <v>80735155</v>
      </c>
      <c r="H37" s="281">
        <f>+[6]balkl!$O$31+[6]balkl!$O$32</f>
        <v>133529186</v>
      </c>
      <c r="I37" s="282">
        <f>+[2]balkl!$O$31+[2]balkl!$O$32</f>
        <v>343084990</v>
      </c>
    </row>
    <row r="38" spans="3:10" ht="15" thickTop="1" thickBot="1" x14ac:dyDescent="0.4"/>
    <row r="39" spans="3:10" ht="14.4" thickTop="1" x14ac:dyDescent="0.35">
      <c r="C39" s="274" t="s">
        <v>96</v>
      </c>
      <c r="D39" s="275">
        <f>(1917266766+3598945+239160228)*0.7</f>
        <v>1512018157.3</v>
      </c>
      <c r="E39" s="275">
        <f>+(2932898112+274732574)*0.7</f>
        <v>2245341480.1999998</v>
      </c>
      <c r="F39" s="275">
        <v>2381194804.7999997</v>
      </c>
      <c r="G39" s="275">
        <f>+([1]balkl!$O$7+[1]balkl!$O$10)*0.7</f>
        <v>3501724556.3999996</v>
      </c>
      <c r="H39" s="275">
        <f>(5159888285+535448108)*0.7</f>
        <v>3986735475.0999999</v>
      </c>
      <c r="I39" s="276">
        <f>([2]balkl!$O$7+[2]balkl!$O$10)*0.7</f>
        <v>5025056552.5999994</v>
      </c>
    </row>
    <row r="40" spans="3:10" x14ac:dyDescent="0.35">
      <c r="C40" s="277" t="s">
        <v>97</v>
      </c>
      <c r="D40" s="278"/>
      <c r="E40" s="278">
        <v>330355804</v>
      </c>
      <c r="F40" s="278"/>
      <c r="G40" s="278"/>
      <c r="H40" s="278"/>
      <c r="I40" s="279"/>
    </row>
    <row r="41" spans="3:10" x14ac:dyDescent="0.35">
      <c r="C41" s="277" t="s">
        <v>98</v>
      </c>
      <c r="D41" s="278"/>
      <c r="E41" s="278"/>
      <c r="F41" s="278"/>
      <c r="G41" s="278"/>
      <c r="H41" s="278"/>
      <c r="I41" s="279"/>
    </row>
    <row r="42" spans="3:10" x14ac:dyDescent="0.35">
      <c r="C42" s="277" t="s">
        <v>99</v>
      </c>
      <c r="D42" s="278"/>
      <c r="E42" s="278"/>
      <c r="F42" s="278"/>
      <c r="G42" s="278"/>
      <c r="H42" s="278"/>
      <c r="I42" s="279"/>
    </row>
    <row r="43" spans="3:10" ht="14.4" thickBot="1" x14ac:dyDescent="0.4">
      <c r="C43" s="280" t="s">
        <v>100</v>
      </c>
      <c r="D43" s="281"/>
      <c r="E43" s="281"/>
      <c r="F43" s="281"/>
      <c r="G43" s="281"/>
      <c r="H43" s="281"/>
      <c r="I43" s="282"/>
    </row>
    <row r="44" spans="3:10" ht="15" thickTop="1" thickBot="1" x14ac:dyDescent="0.4"/>
    <row r="45" spans="3:10" ht="15" thickTop="1" thickBot="1" x14ac:dyDescent="0.4">
      <c r="C45" s="273" t="s">
        <v>101</v>
      </c>
      <c r="D45" s="310">
        <f>+D58/D57</f>
        <v>0.51353033625850097</v>
      </c>
      <c r="E45" s="310">
        <f t="shared" ref="E45" si="2">+E58/E57</f>
        <v>0.55870128704749167</v>
      </c>
      <c r="F45" s="310">
        <f t="shared" ref="F45" si="3">+F58/F57</f>
        <v>0.55249586339652956</v>
      </c>
      <c r="G45" s="310"/>
      <c r="H45" s="310"/>
      <c r="I45" s="310"/>
    </row>
    <row r="46" spans="3:10" ht="14.4" thickTop="1" x14ac:dyDescent="0.35">
      <c r="C46" s="274" t="s">
        <v>102</v>
      </c>
      <c r="D46" s="275">
        <f>+[5]Hoja1!B21</f>
        <v>1000000000</v>
      </c>
      <c r="E46" s="275">
        <f>+[5]Hoja1!C21</f>
        <v>1000000000</v>
      </c>
      <c r="F46" s="275">
        <f>+[5]Hoja1!C21</f>
        <v>1000000000</v>
      </c>
      <c r="G46" s="275">
        <v>1000000000</v>
      </c>
      <c r="H46" s="275">
        <v>1000000000</v>
      </c>
      <c r="I46" s="276">
        <v>1000000000</v>
      </c>
    </row>
    <row r="47" spans="3:10" x14ac:dyDescent="0.35">
      <c r="C47" s="277" t="s">
        <v>103</v>
      </c>
      <c r="D47" s="278"/>
      <c r="E47" s="278"/>
      <c r="F47" s="278"/>
      <c r="G47" s="278"/>
      <c r="H47" s="278"/>
      <c r="I47" s="279"/>
    </row>
    <row r="48" spans="3:10" x14ac:dyDescent="0.35">
      <c r="C48" s="277" t="s">
        <v>104</v>
      </c>
      <c r="D48" s="278">
        <v>118776768</v>
      </c>
      <c r="E48" s="278">
        <f>+[5]Hoja1!C22</f>
        <v>221041718</v>
      </c>
      <c r="F48" s="278">
        <v>221041718</v>
      </c>
      <c r="G48" s="278">
        <v>286051703</v>
      </c>
      <c r="H48" s="278">
        <v>427575589</v>
      </c>
      <c r="I48" s="279">
        <f>+[2]balkl!$O$40</f>
        <v>697820647</v>
      </c>
    </row>
    <row r="49" spans="3:10" x14ac:dyDescent="0.35">
      <c r="C49" s="277" t="s">
        <v>105</v>
      </c>
      <c r="D49" s="278"/>
      <c r="E49" s="278"/>
      <c r="F49" s="278"/>
      <c r="G49" s="278"/>
      <c r="H49" s="278"/>
      <c r="I49" s="279"/>
    </row>
    <row r="50" spans="3:10" x14ac:dyDescent="0.35">
      <c r="C50" s="277" t="s">
        <v>106</v>
      </c>
      <c r="D50" s="278">
        <f>+D57-D58-D59-D60+D61+D62-D63-D64-D65</f>
        <v>586891522.21333396</v>
      </c>
      <c r="E50" s="278">
        <f t="shared" ref="E50:I50" si="4">+E57-E58-E59-E60+E61+E62-E63-E64-E65</f>
        <v>721808924.99999905</v>
      </c>
      <c r="F50" s="278">
        <f t="shared" si="4"/>
        <v>2608707606.9999995</v>
      </c>
      <c r="G50" s="278">
        <f t="shared" si="4"/>
        <v>2206856222.999999</v>
      </c>
      <c r="H50" s="278">
        <f t="shared" si="4"/>
        <v>1266080319.7304978</v>
      </c>
      <c r="I50" s="278">
        <f t="shared" si="4"/>
        <v>1062044471.9752088</v>
      </c>
    </row>
    <row r="51" spans="3:10" x14ac:dyDescent="0.35">
      <c r="C51" s="277" t="s">
        <v>107</v>
      </c>
      <c r="D51" s="278">
        <v>1328070548</v>
      </c>
      <c r="E51" s="278">
        <v>1392466115</v>
      </c>
      <c r="F51" s="278">
        <v>2456943038.5</v>
      </c>
      <c r="G51" s="278">
        <v>3393886836</v>
      </c>
      <c r="H51" s="278">
        <v>4625376081</v>
      </c>
      <c r="I51" s="279">
        <f>+[2]balkl!$O$43</f>
        <v>5684568471</v>
      </c>
    </row>
    <row r="52" spans="3:10" x14ac:dyDescent="0.35">
      <c r="C52" s="277" t="s">
        <v>108</v>
      </c>
      <c r="D52" s="278">
        <v>1562008077</v>
      </c>
      <c r="E52" s="278">
        <f>+[5]Hoja1!C25</f>
        <v>1562008077.5</v>
      </c>
      <c r="F52" s="278">
        <v>1562008078</v>
      </c>
      <c r="G52" s="278">
        <v>1562008078</v>
      </c>
      <c r="H52" s="278">
        <v>1562008078</v>
      </c>
      <c r="I52" s="279">
        <f>+[2]balkl!$O$41</f>
        <v>1562008078</v>
      </c>
    </row>
    <row r="53" spans="3:10" ht="14.4" thickBot="1" x14ac:dyDescent="0.4">
      <c r="C53" s="280" t="s">
        <v>109</v>
      </c>
      <c r="D53" s="281"/>
      <c r="E53" s="281"/>
      <c r="F53" s="281"/>
      <c r="G53" s="281"/>
      <c r="H53" s="281"/>
      <c r="I53" s="282"/>
    </row>
    <row r="54" spans="3:10" s="315" customFormat="1" ht="14.4" thickTop="1" x14ac:dyDescent="0.35">
      <c r="D54" s="316"/>
      <c r="E54" s="316">
        <f>+E51-D51</f>
        <v>64395567</v>
      </c>
      <c r="F54" s="316">
        <f>+F51-E51</f>
        <v>1064476923.5</v>
      </c>
      <c r="G54" s="317"/>
      <c r="H54" s="351">
        <f>+H55+H56+H66+H67</f>
        <v>0.31390241822630627</v>
      </c>
      <c r="I54" s="317"/>
    </row>
    <row r="55" spans="3:10" ht="14.4" thickBot="1" x14ac:dyDescent="0.4">
      <c r="D55" s="351">
        <v>0.27321428261814007</v>
      </c>
      <c r="E55" s="351">
        <f>+E59/$E$57</f>
        <v>0.10217768842365382</v>
      </c>
      <c r="F55" s="351">
        <f>+F59/$F$57</f>
        <v>7.816526418492753E-2</v>
      </c>
      <c r="G55" s="351">
        <f>+G59/$G$57</f>
        <v>7.6944919414817542E-2</v>
      </c>
      <c r="H55" s="351">
        <f>AVERAGE(E55:G55)</f>
        <v>8.5762624007799618E-2</v>
      </c>
      <c r="I55" s="309"/>
    </row>
    <row r="56" spans="3:10" ht="15" thickTop="1" thickBot="1" x14ac:dyDescent="0.4">
      <c r="C56" s="273" t="s">
        <v>110</v>
      </c>
      <c r="D56" s="351">
        <v>0.64602288899897053</v>
      </c>
      <c r="E56" s="351">
        <f>+E60/$E$57</f>
        <v>0.24160203058982696</v>
      </c>
      <c r="F56" s="351">
        <f>+F60/$F$57</f>
        <v>0.18482397517516136</v>
      </c>
      <c r="G56" s="351">
        <f>+G60/$G$57</f>
        <v>0.18193843549397601</v>
      </c>
      <c r="H56" s="351">
        <f>AVERAGE(E56:G56)</f>
        <v>0.20278814708632145</v>
      </c>
      <c r="I56" s="309"/>
    </row>
    <row r="57" spans="3:10" ht="14.4" thickTop="1" x14ac:dyDescent="0.35">
      <c r="C57" s="274" t="s">
        <v>111</v>
      </c>
      <c r="D57" s="275">
        <v>8762199234</v>
      </c>
      <c r="E57" s="275">
        <f>11916687974-187000712-4161671</f>
        <v>11725525591</v>
      </c>
      <c r="F57" s="275">
        <v>19221204200</v>
      </c>
      <c r="G57" s="275">
        <v>22668489146</v>
      </c>
      <c r="H57" s="275">
        <f>+[4]pygcomaa2!$F$17-[4]pygcomaa2!$F$12-[4]pygcomaa2!$F$13</f>
        <v>29057600090</v>
      </c>
      <c r="I57" s="276">
        <f>34507793706+66120660</f>
        <v>34573914366</v>
      </c>
    </row>
    <row r="58" spans="3:10" x14ac:dyDescent="0.35">
      <c r="C58" s="277" t="s">
        <v>112</v>
      </c>
      <c r="D58" s="278">
        <v>4499655119</v>
      </c>
      <c r="E58" s="278">
        <v>6551066239</v>
      </c>
      <c r="F58" s="278">
        <v>10619635810</v>
      </c>
      <c r="G58" s="278">
        <v>13922233454</v>
      </c>
      <c r="H58" s="278">
        <v>18723224652</v>
      </c>
      <c r="I58" s="279">
        <f>+[2]pygcomaa2!$F$23</f>
        <v>23385605589</v>
      </c>
      <c r="J58" s="283"/>
    </row>
    <row r="59" spans="3:10" x14ac:dyDescent="0.35">
      <c r="C59" s="277" t="s">
        <v>113</v>
      </c>
      <c r="D59" s="278">
        <v>988722886.32150304</v>
      </c>
      <c r="E59" s="278">
        <f>4385155450*D55</f>
        <v>1198087100.4407773</v>
      </c>
      <c r="F59" s="278">
        <v>1502430504.2454386</v>
      </c>
      <c r="G59" s="278">
        <v>1744225070.5946362</v>
      </c>
      <c r="H59" s="278">
        <f>+[4]pygcomaa2!$F$27*D55</f>
        <v>2327490371.9545426</v>
      </c>
      <c r="I59" s="279">
        <f>+[2]pygcomaa2!$F$27*D55</f>
        <v>2557165389.3303685</v>
      </c>
    </row>
    <row r="60" spans="3:10" x14ac:dyDescent="0.35">
      <c r="C60" s="277" t="s">
        <v>114</v>
      </c>
      <c r="D60" s="278">
        <v>2331647080.4849558</v>
      </c>
      <c r="E60" s="278">
        <f>4385155450*D56</f>
        <v>2832910792.5185809</v>
      </c>
      <c r="F60" s="278">
        <v>3552539367.8975072</v>
      </c>
      <c r="G60" s="278">
        <v>4124269450.2354164</v>
      </c>
      <c r="H60" s="278">
        <f>+[4]pygcomaa2!$F$27*D56</f>
        <v>5503416731.3606243</v>
      </c>
      <c r="I60" s="279">
        <f>+[2]pygcomaa2!$F$27*D56</f>
        <v>6046489797.7983608</v>
      </c>
    </row>
    <row r="61" spans="3:10" x14ac:dyDescent="0.35">
      <c r="C61" s="277" t="s">
        <v>115</v>
      </c>
      <c r="D61" s="278">
        <v>50865002</v>
      </c>
      <c r="E61" s="278">
        <v>84010640</v>
      </c>
      <c r="F61" s="278">
        <v>95366087</v>
      </c>
      <c r="G61" s="278">
        <v>283713892</v>
      </c>
      <c r="H61" s="278">
        <f>+[4]pygcomaa2!$F$31</f>
        <v>244336070</v>
      </c>
      <c r="I61" s="279">
        <f>+[2]pygcomaa2!$F$31</f>
        <v>183151958</v>
      </c>
    </row>
    <row r="62" spans="3:10" x14ac:dyDescent="0.35">
      <c r="C62" s="277" t="s">
        <v>116</v>
      </c>
      <c r="D62" s="278">
        <v>172509854</v>
      </c>
      <c r="E62" s="278">
        <f>187000712+4161671</f>
        <v>191162383</v>
      </c>
      <c r="F62" s="278">
        <v>240884681</v>
      </c>
      <c r="G62" s="278">
        <v>182662123</v>
      </c>
      <c r="H62" s="278">
        <f>+[4]pygcomaa2!$F$12+[4]pygcomaa2!$F$13</f>
        <v>173243583</v>
      </c>
      <c r="I62" s="279">
        <f>+[2]pygcomaa2!$F$12+[2]pygcomaa2!$F$13</f>
        <v>200666616</v>
      </c>
    </row>
    <row r="63" spans="3:10" x14ac:dyDescent="0.35">
      <c r="C63" s="277" t="s">
        <v>117</v>
      </c>
      <c r="D63" s="278">
        <v>170429359.62826386</v>
      </c>
      <c r="E63" s="278">
        <f>4385155450*D66</f>
        <v>207403497.59821624</v>
      </c>
      <c r="F63" s="278">
        <v>260089054.76414385</v>
      </c>
      <c r="G63" s="278">
        <v>301946644.86975276</v>
      </c>
      <c r="H63" s="278">
        <f>+[4]pygcomaa2!$F$27*D66</f>
        <v>402916986.24578196</v>
      </c>
      <c r="I63" s="279">
        <f>+[2]pygcomaa2!$F$27*D66+187149814.473336</f>
        <v>629826349.00000024</v>
      </c>
      <c r="J63" s="283"/>
    </row>
    <row r="64" spans="3:10" x14ac:dyDescent="0.35">
      <c r="C64" s="277" t="s">
        <v>118</v>
      </c>
      <c r="D64" s="278">
        <v>124808707.56527698</v>
      </c>
      <c r="E64" s="278">
        <f>4385155450*D67</f>
        <v>146754059.44242641</v>
      </c>
      <c r="F64" s="278">
        <v>184033177.09291098</v>
      </c>
      <c r="G64" s="278">
        <v>213650668.3001956</v>
      </c>
      <c r="H64" s="278">
        <f>+[4]pygcomaa2!$F$27*D67</f>
        <v>285095015.43905175</v>
      </c>
      <c r="I64" s="279">
        <f>+[2]pygcomaa2!$F$27*D67-187149814.473336</f>
        <v>126078164.8712714</v>
      </c>
    </row>
    <row r="65" spans="3:9" ht="14.4" thickBot="1" x14ac:dyDescent="0.4">
      <c r="C65" s="280" t="s">
        <v>119</v>
      </c>
      <c r="D65" s="281">
        <v>283419414.78666627</v>
      </c>
      <c r="E65" s="281">
        <v>342668000</v>
      </c>
      <c r="F65" s="281">
        <v>830019447</v>
      </c>
      <c r="G65" s="281">
        <v>621683650</v>
      </c>
      <c r="H65" s="281">
        <f>+H57*H68</f>
        <v>966955666.26950216</v>
      </c>
      <c r="I65" s="282">
        <f>+H68*I57</f>
        <v>1150523178.0247908</v>
      </c>
    </row>
    <row r="66" spans="3:9" ht="14.4" thickTop="1" x14ac:dyDescent="0.35">
      <c r="C66" s="283"/>
      <c r="D66" s="351">
        <v>4.7296726413248641E-2</v>
      </c>
      <c r="E66" s="352">
        <f>+E63/E57</f>
        <v>1.7688204762216379E-2</v>
      </c>
      <c r="F66" s="352">
        <f>+F63/F57</f>
        <v>1.3531361097768466E-2</v>
      </c>
      <c r="G66" s="352">
        <f>+G63/G57</f>
        <v>1.332010452593543E-2</v>
      </c>
      <c r="H66" s="351">
        <f>AVERAGE(E66:G66)</f>
        <v>1.4846556795306757E-2</v>
      </c>
      <c r="I66" s="283"/>
    </row>
    <row r="67" spans="3:9" ht="14.4" thickBot="1" x14ac:dyDescent="0.4">
      <c r="D67" s="351">
        <v>3.3466101969640873E-2</v>
      </c>
      <c r="E67" s="353">
        <f>+E64/E57</f>
        <v>1.2515776653548768E-2</v>
      </c>
      <c r="F67" s="353">
        <f>+F64/F57</f>
        <v>9.574487382684951E-3</v>
      </c>
      <c r="G67" s="353">
        <f>+G64/G57</f>
        <v>9.42500697440154E-3</v>
      </c>
      <c r="H67" s="351">
        <f>AVERAGE(E67:G67)</f>
        <v>1.0505090336878421E-2</v>
      </c>
    </row>
    <row r="68" spans="3:9" ht="15" thickTop="1" thickBot="1" x14ac:dyDescent="0.4">
      <c r="C68" s="335" t="s">
        <v>120</v>
      </c>
      <c r="D68" s="283">
        <f>+D70+D71-D72</f>
        <v>3590059993</v>
      </c>
      <c r="E68" s="352">
        <f>+E65/E57</f>
        <v>2.9224105763158023E-2</v>
      </c>
      <c r="F68" s="352">
        <f>+F65/F57</f>
        <v>4.3182489419679546E-2</v>
      </c>
      <c r="G68" s="352">
        <f>+G65/G57</f>
        <v>2.742501478576485E-2</v>
      </c>
      <c r="H68" s="351">
        <f>AVERAGE(E68:G68)</f>
        <v>3.3277203322867474E-2</v>
      </c>
    </row>
    <row r="69" spans="3:9" ht="14.4" thickTop="1" x14ac:dyDescent="0.35">
      <c r="C69" s="332" t="s">
        <v>121</v>
      </c>
      <c r="D69" s="333">
        <f>+D13+D58-D71</f>
        <v>4405454121</v>
      </c>
      <c r="E69" s="333">
        <f>+E13+E58-D13</f>
        <v>7017254521</v>
      </c>
      <c r="F69" s="333">
        <f t="shared" ref="F69:I69" si="5">+F13+F58-E13</f>
        <v>10978436467</v>
      </c>
      <c r="G69" s="333">
        <f t="shared" si="5"/>
        <v>13758682238</v>
      </c>
      <c r="H69" s="333">
        <f t="shared" si="5"/>
        <v>19223360498</v>
      </c>
      <c r="I69" s="333">
        <f t="shared" si="5"/>
        <v>23751678895</v>
      </c>
    </row>
    <row r="70" spans="3:9" x14ac:dyDescent="0.35">
      <c r="C70" s="284" t="s">
        <v>122</v>
      </c>
      <c r="D70" s="285">
        <f>+'[7]Sheet1 (2)'!$E$41</f>
        <v>3498615211</v>
      </c>
      <c r="E70" s="330"/>
      <c r="F70" s="330"/>
      <c r="G70" s="330"/>
      <c r="H70" s="330"/>
      <c r="I70" s="334"/>
    </row>
    <row r="71" spans="3:9" x14ac:dyDescent="0.35">
      <c r="C71" s="284" t="s">
        <v>123</v>
      </c>
      <c r="D71" s="285">
        <f>+'[7]Sheet1 (2)'!$E$117</f>
        <v>622844262</v>
      </c>
      <c r="E71" s="330"/>
      <c r="F71" s="330"/>
      <c r="G71" s="330"/>
      <c r="H71" s="330"/>
      <c r="I71" s="334"/>
    </row>
    <row r="72" spans="3:9" x14ac:dyDescent="0.35">
      <c r="C72" s="284" t="s">
        <v>124</v>
      </c>
      <c r="D72" s="285">
        <f>-'[7]Sheet1 (2)'!$E$279</f>
        <v>531399480</v>
      </c>
      <c r="E72" s="330"/>
      <c r="F72" s="330"/>
      <c r="G72" s="330"/>
      <c r="H72" s="330"/>
      <c r="I72" s="334"/>
    </row>
    <row r="73" spans="3:9" x14ac:dyDescent="0.35">
      <c r="C73" s="284" t="s">
        <v>125</v>
      </c>
      <c r="D73" s="285">
        <f>+'[7]Sheet1 (2)'!$E$3+'[7]Sheet1 (2)'!$E$41+'[7]Sheet1 (2)'!$E$117+'[7]Sheet1 (2)'!$E$244</f>
        <v>4269195681</v>
      </c>
      <c r="E73" s="330"/>
      <c r="F73" s="330"/>
      <c r="G73" s="330"/>
      <c r="H73" s="330"/>
      <c r="I73" s="334"/>
    </row>
    <row r="74" spans="3:9" x14ac:dyDescent="0.35">
      <c r="C74" s="284" t="s">
        <v>126</v>
      </c>
      <c r="D74" s="285">
        <f>+'[7]Sheet1 (2)'!$E$154+'[7]Sheet1 (2)'!$E$224+'[7]Sheet1 (2)'!$E$253</f>
        <v>3497284213</v>
      </c>
      <c r="E74" s="330"/>
      <c r="F74" s="330"/>
      <c r="G74" s="330"/>
      <c r="H74" s="330"/>
      <c r="I74" s="334"/>
    </row>
    <row r="75" spans="3:9" x14ac:dyDescent="0.35">
      <c r="C75" s="284" t="s">
        <v>127</v>
      </c>
      <c r="D75" s="285">
        <f>-'[7]Sheet1 (2)'!$E$538</f>
        <v>3706413099</v>
      </c>
      <c r="E75" s="330"/>
      <c r="F75" s="330"/>
      <c r="G75" s="330"/>
      <c r="H75" s="330"/>
      <c r="I75" s="334"/>
    </row>
    <row r="76" spans="3:9" x14ac:dyDescent="0.35">
      <c r="C76" s="284" t="s">
        <v>128</v>
      </c>
      <c r="D76" s="285">
        <f>+'[7]Sheet1 (2)'!$G$204</f>
        <v>227696481</v>
      </c>
      <c r="E76" s="285">
        <f>IF(E24&gt;0,E24-D24,Balance!D28/12)</f>
        <v>242546532</v>
      </c>
      <c r="F76" s="285">
        <f>IF(F24&gt;0,F24-E24,Balance!E28/12)</f>
        <v>350922972</v>
      </c>
      <c r="G76" s="285">
        <f>IF(G24&gt;0,G24-F24,Balance!F28/12)</f>
        <v>137181817</v>
      </c>
      <c r="H76" s="285">
        <f>IF(H24&gt;0,H24-G24,Balance!G28/12)</f>
        <v>373374423</v>
      </c>
      <c r="I76" s="285">
        <f>IF(I24&gt;0,I24-H24,Balance!H28/12)</f>
        <v>280702439</v>
      </c>
    </row>
    <row r="77" spans="3:9" x14ac:dyDescent="0.35">
      <c r="C77" s="284" t="s">
        <v>129</v>
      </c>
      <c r="D77" s="285">
        <v>1000000</v>
      </c>
      <c r="E77" s="285">
        <v>1000000</v>
      </c>
      <c r="F77" s="285">
        <v>1000000</v>
      </c>
      <c r="G77" s="285">
        <v>1000000</v>
      </c>
      <c r="H77" s="285">
        <v>1000000</v>
      </c>
      <c r="I77" s="285">
        <v>1000000</v>
      </c>
    </row>
    <row r="78" spans="3:9" x14ac:dyDescent="0.35">
      <c r="C78" s="284" t="s">
        <v>130</v>
      </c>
      <c r="D78" s="285">
        <v>1000</v>
      </c>
      <c r="E78" s="285">
        <v>1000</v>
      </c>
      <c r="F78" s="285">
        <v>1000</v>
      </c>
      <c r="G78" s="285">
        <v>1000</v>
      </c>
      <c r="H78" s="285">
        <v>1000</v>
      </c>
      <c r="I78" s="285">
        <v>1000</v>
      </c>
    </row>
    <row r="79" spans="3:9" x14ac:dyDescent="0.35">
      <c r="C79" s="284" t="s">
        <v>131</v>
      </c>
      <c r="D79" s="285">
        <v>0</v>
      </c>
      <c r="E79" s="285">
        <v>0</v>
      </c>
      <c r="F79" s="285">
        <v>0</v>
      </c>
      <c r="G79" s="285">
        <v>0</v>
      </c>
      <c r="H79" s="285">
        <v>0</v>
      </c>
      <c r="I79" s="285">
        <v>0</v>
      </c>
    </row>
    <row r="80" spans="3:9" x14ac:dyDescent="0.35">
      <c r="C80" s="284" t="s">
        <v>132</v>
      </c>
      <c r="D80" s="286">
        <v>0.1</v>
      </c>
      <c r="E80" s="286">
        <v>0.1</v>
      </c>
      <c r="F80" s="286">
        <v>0.1</v>
      </c>
      <c r="G80" s="286">
        <v>0.1</v>
      </c>
      <c r="H80" s="286">
        <v>0.1</v>
      </c>
      <c r="I80" s="286">
        <v>0.1</v>
      </c>
    </row>
    <row r="81" spans="3:10" x14ac:dyDescent="0.35">
      <c r="C81" s="284" t="s">
        <v>133</v>
      </c>
      <c r="D81" s="286">
        <v>0.1</v>
      </c>
      <c r="E81" s="286">
        <v>0.1</v>
      </c>
      <c r="F81" s="286">
        <v>0.11</v>
      </c>
      <c r="G81" s="286">
        <v>0.12</v>
      </c>
      <c r="H81" s="286">
        <v>0.14000000000000001</v>
      </c>
      <c r="I81" s="286">
        <v>0.14000000000000001</v>
      </c>
    </row>
    <row r="82" spans="3:10" x14ac:dyDescent="0.35">
      <c r="C82" s="284" t="s">
        <v>134</v>
      </c>
      <c r="D82" s="286">
        <v>0.1</v>
      </c>
      <c r="E82" s="286">
        <v>0.1</v>
      </c>
      <c r="F82" s="286">
        <v>0.11</v>
      </c>
      <c r="G82" s="286">
        <v>0.12</v>
      </c>
      <c r="H82" s="286">
        <v>0.14000000000000001</v>
      </c>
      <c r="I82" s="286">
        <v>0.14000000000000001</v>
      </c>
    </row>
    <row r="83" spans="3:10" x14ac:dyDescent="0.35">
      <c r="C83" s="284" t="s">
        <v>135</v>
      </c>
      <c r="D83" s="286">
        <v>0</v>
      </c>
      <c r="E83" s="286">
        <v>0</v>
      </c>
      <c r="F83" s="286">
        <v>0</v>
      </c>
      <c r="G83" s="286">
        <v>0</v>
      </c>
      <c r="H83" s="286">
        <v>0</v>
      </c>
      <c r="I83" s="286">
        <v>0</v>
      </c>
    </row>
    <row r="84" spans="3:10" x14ac:dyDescent="0.35">
      <c r="C84" s="284" t="s">
        <v>136</v>
      </c>
      <c r="D84" s="286">
        <v>0</v>
      </c>
      <c r="E84" s="286">
        <v>0</v>
      </c>
      <c r="F84" s="286">
        <v>0</v>
      </c>
      <c r="G84" s="286">
        <v>0</v>
      </c>
      <c r="H84" s="286">
        <v>0</v>
      </c>
      <c r="I84" s="286">
        <v>0</v>
      </c>
    </row>
    <row r="85" spans="3:10" x14ac:dyDescent="0.35">
      <c r="C85" s="284" t="s">
        <v>137</v>
      </c>
      <c r="D85" s="286">
        <v>0</v>
      </c>
      <c r="E85" s="286">
        <v>0</v>
      </c>
      <c r="F85" s="286">
        <v>0</v>
      </c>
      <c r="G85" s="286">
        <v>0</v>
      </c>
      <c r="H85" s="286">
        <v>0</v>
      </c>
      <c r="I85" s="286">
        <v>0</v>
      </c>
    </row>
    <row r="86" spans="3:10" x14ac:dyDescent="0.35">
      <c r="C86" s="284" t="s">
        <v>138</v>
      </c>
      <c r="D86" s="286">
        <v>0.33</v>
      </c>
      <c r="E86" s="286">
        <v>0.33</v>
      </c>
      <c r="F86" s="286">
        <v>0.34</v>
      </c>
      <c r="G86" s="286">
        <v>0.34</v>
      </c>
      <c r="H86" s="286">
        <v>0.34</v>
      </c>
      <c r="I86" s="286">
        <v>0.34</v>
      </c>
      <c r="J86" s="286">
        <v>0.34</v>
      </c>
    </row>
    <row r="87" spans="3:10" x14ac:dyDescent="0.35">
      <c r="C87" s="284" t="s">
        <v>139</v>
      </c>
      <c r="D87" s="285">
        <v>60</v>
      </c>
      <c r="E87" s="285">
        <v>60</v>
      </c>
      <c r="F87" s="285">
        <v>60</v>
      </c>
      <c r="G87" s="285">
        <v>60</v>
      </c>
      <c r="H87" s="285">
        <v>60</v>
      </c>
      <c r="I87" s="285">
        <v>60</v>
      </c>
    </row>
    <row r="88" spans="3:10" x14ac:dyDescent="0.35">
      <c r="C88" s="284" t="s">
        <v>140</v>
      </c>
      <c r="D88" s="285">
        <v>25</v>
      </c>
      <c r="E88" s="285">
        <v>25</v>
      </c>
      <c r="F88" s="285">
        <v>25</v>
      </c>
      <c r="G88" s="285">
        <v>25</v>
      </c>
      <c r="H88" s="285">
        <v>25</v>
      </c>
      <c r="I88" s="285">
        <v>25</v>
      </c>
    </row>
    <row r="89" spans="3:10" ht="14.4" thickBot="1" x14ac:dyDescent="0.4">
      <c r="C89" s="287" t="s">
        <v>141</v>
      </c>
      <c r="D89" s="288">
        <v>30</v>
      </c>
      <c r="E89" s="288">
        <v>30</v>
      </c>
      <c r="F89" s="288">
        <v>30</v>
      </c>
      <c r="G89" s="288">
        <v>30</v>
      </c>
      <c r="H89" s="288">
        <v>30</v>
      </c>
      <c r="I89" s="288">
        <v>30</v>
      </c>
    </row>
    <row r="90" spans="3:10" ht="15" thickTop="1" thickBot="1" x14ac:dyDescent="0.4"/>
    <row r="91" spans="3:10" ht="42.6" thickTop="1" thickBot="1" x14ac:dyDescent="0.4">
      <c r="C91" s="342" t="s">
        <v>142</v>
      </c>
    </row>
    <row r="92" spans="3:10" ht="14.4" thickTop="1" x14ac:dyDescent="0.35">
      <c r="C92" s="336" t="s">
        <v>143</v>
      </c>
      <c r="D92" s="337">
        <f>+D86</f>
        <v>0.33</v>
      </c>
      <c r="E92" s="337">
        <f>+E86</f>
        <v>0.33</v>
      </c>
      <c r="F92" s="337">
        <f>+F86</f>
        <v>0.34</v>
      </c>
      <c r="G92" s="337">
        <f>+G86</f>
        <v>0.34</v>
      </c>
      <c r="H92" s="337">
        <f t="shared" ref="H92:I92" si="6">+H86</f>
        <v>0.34</v>
      </c>
      <c r="I92" s="337">
        <f t="shared" si="6"/>
        <v>0.34</v>
      </c>
    </row>
    <row r="93" spans="3:10" x14ac:dyDescent="0.35">
      <c r="C93" s="338" t="s">
        <v>144</v>
      </c>
      <c r="D93" s="290">
        <v>0.6</v>
      </c>
      <c r="E93" s="290">
        <v>0.7</v>
      </c>
      <c r="F93" s="290">
        <v>0.8</v>
      </c>
      <c r="G93" s="290">
        <v>0.8</v>
      </c>
      <c r="H93" s="290">
        <v>0.8</v>
      </c>
      <c r="I93" s="290">
        <v>0.8</v>
      </c>
    </row>
    <row r="94" spans="3:10" x14ac:dyDescent="0.35">
      <c r="C94" s="339" t="s">
        <v>145</v>
      </c>
      <c r="D94" s="290">
        <v>0.06</v>
      </c>
      <c r="E94" s="290">
        <v>0.06</v>
      </c>
      <c r="F94" s="290">
        <v>0.06</v>
      </c>
      <c r="G94" s="290">
        <v>0.06</v>
      </c>
      <c r="H94" s="290">
        <v>0.06</v>
      </c>
      <c r="I94" s="290">
        <v>0.06</v>
      </c>
    </row>
    <row r="95" spans="3:10" x14ac:dyDescent="0.35">
      <c r="C95" s="339" t="s">
        <v>146</v>
      </c>
      <c r="D95" s="290">
        <v>0.05</v>
      </c>
      <c r="E95" s="290">
        <v>0.06</v>
      </c>
      <c r="F95" s="290">
        <v>7.0000000000000007E-2</v>
      </c>
      <c r="G95" s="290">
        <v>7.0000000000000007E-2</v>
      </c>
      <c r="H95" s="290">
        <v>7.0000000000000007E-2</v>
      </c>
      <c r="I95" s="290">
        <v>7.0000000000000007E-2</v>
      </c>
    </row>
    <row r="96" spans="3:10" x14ac:dyDescent="0.35">
      <c r="C96" s="339" t="s">
        <v>147</v>
      </c>
      <c r="D96" s="290">
        <v>7.0000000000000007E-2</v>
      </c>
      <c r="E96" s="290">
        <v>0.06</v>
      </c>
      <c r="F96" s="290">
        <v>7.0000000000000007E-2</v>
      </c>
      <c r="G96" s="290">
        <v>7.0000000000000007E-2</v>
      </c>
      <c r="H96" s="290">
        <v>7.0000000000000007E-2</v>
      </c>
      <c r="I96" s="290">
        <v>7.0000000000000007E-2</v>
      </c>
    </row>
    <row r="97" spans="3:9" x14ac:dyDescent="0.35">
      <c r="C97" s="339" t="s">
        <v>148</v>
      </c>
      <c r="D97" s="289">
        <v>0.05</v>
      </c>
      <c r="E97" s="289">
        <v>0.05</v>
      </c>
      <c r="F97" s="289">
        <v>0.05</v>
      </c>
      <c r="G97" s="289">
        <v>0.05</v>
      </c>
      <c r="H97" s="289">
        <v>0.05</v>
      </c>
      <c r="I97" s="289">
        <v>0.05</v>
      </c>
    </row>
    <row r="98" spans="3:9" x14ac:dyDescent="0.35">
      <c r="C98" s="339" t="s">
        <v>149</v>
      </c>
      <c r="D98" s="291">
        <v>2.5000000000000001E-2</v>
      </c>
      <c r="E98" s="291">
        <v>2.5000000000000001E-2</v>
      </c>
      <c r="F98" s="291">
        <v>2.5000000000000001E-2</v>
      </c>
      <c r="G98" s="291">
        <v>2.5000000000000001E-2</v>
      </c>
      <c r="H98" s="291">
        <v>2.5000000000000001E-2</v>
      </c>
      <c r="I98" s="291">
        <v>2.5000000000000001E-2</v>
      </c>
    </row>
    <row r="99" spans="3:9" x14ac:dyDescent="0.35">
      <c r="C99" s="339" t="s">
        <v>150</v>
      </c>
      <c r="D99" s="292">
        <f>+D81</f>
        <v>0.1</v>
      </c>
      <c r="E99" s="292">
        <f>+E81</f>
        <v>0.1</v>
      </c>
      <c r="F99" s="292">
        <f>+F81</f>
        <v>0.11</v>
      </c>
      <c r="G99" s="292">
        <f>+G81</f>
        <v>0.12</v>
      </c>
      <c r="H99" s="292">
        <f t="shared" ref="H99:I99" si="7">+H81</f>
        <v>0.14000000000000001</v>
      </c>
      <c r="I99" s="292">
        <f t="shared" si="7"/>
        <v>0.14000000000000001</v>
      </c>
    </row>
    <row r="100" spans="3:9" ht="14.4" thickBot="1" x14ac:dyDescent="0.4">
      <c r="C100" s="340" t="s">
        <v>151</v>
      </c>
      <c r="D100" s="341">
        <v>0</v>
      </c>
      <c r="E100" s="341">
        <v>0</v>
      </c>
      <c r="F100" s="341">
        <v>0</v>
      </c>
      <c r="G100" s="341">
        <v>0</v>
      </c>
      <c r="H100" s="341">
        <v>0</v>
      </c>
      <c r="I100" s="341">
        <v>0</v>
      </c>
    </row>
    <row r="101" spans="3:9" ht="14.4" thickTop="1" x14ac:dyDescent="0.35">
      <c r="F101" s="314"/>
    </row>
    <row r="102" spans="3:9" ht="14.4" thickBot="1" x14ac:dyDescent="0.4">
      <c r="F102" s="314"/>
    </row>
    <row r="103" spans="3:9" ht="42" thickTop="1" x14ac:dyDescent="0.35">
      <c r="C103" s="343" t="s">
        <v>152</v>
      </c>
      <c r="D103" s="344" t="s">
        <v>153</v>
      </c>
      <c r="E103" s="345" t="s">
        <v>154</v>
      </c>
      <c r="F103" s="314"/>
    </row>
    <row r="104" spans="3:9" x14ac:dyDescent="0.35">
      <c r="C104" s="293" t="s">
        <v>155</v>
      </c>
      <c r="D104" s="294">
        <v>0.45</v>
      </c>
      <c r="E104" s="295"/>
      <c r="F104" s="314"/>
    </row>
    <row r="105" spans="3:9" x14ac:dyDescent="0.35">
      <c r="C105" s="293" t="s">
        <v>156</v>
      </c>
      <c r="D105" s="294">
        <v>0.8</v>
      </c>
      <c r="E105" s="295"/>
      <c r="F105" s="314"/>
    </row>
    <row r="106" spans="3:9" x14ac:dyDescent="0.35">
      <c r="C106" s="293" t="s">
        <v>157</v>
      </c>
      <c r="D106" s="296">
        <v>1.5</v>
      </c>
      <c r="E106" s="297"/>
      <c r="F106" s="314"/>
    </row>
    <row r="107" spans="3:9" x14ac:dyDescent="0.35">
      <c r="C107" s="293" t="s">
        <v>158</v>
      </c>
      <c r="D107" s="298">
        <v>1</v>
      </c>
      <c r="E107" s="297"/>
      <c r="F107" s="314"/>
    </row>
    <row r="108" spans="3:9" x14ac:dyDescent="0.35">
      <c r="C108" s="293" t="s">
        <v>159</v>
      </c>
      <c r="D108" s="299">
        <v>60</v>
      </c>
      <c r="E108" s="300"/>
      <c r="F108" s="314"/>
    </row>
    <row r="109" spans="3:9" x14ac:dyDescent="0.35">
      <c r="C109" s="293" t="s">
        <v>160</v>
      </c>
      <c r="D109" s="299">
        <v>25</v>
      </c>
      <c r="E109" s="300"/>
      <c r="F109" s="314"/>
    </row>
    <row r="110" spans="3:9" x14ac:dyDescent="0.35">
      <c r="C110" s="293" t="s">
        <v>161</v>
      </c>
      <c r="D110" s="299">
        <v>30</v>
      </c>
      <c r="E110" s="300"/>
      <c r="F110" s="314"/>
    </row>
    <row r="111" spans="3:9" x14ac:dyDescent="0.35">
      <c r="C111" s="293" t="s">
        <v>162</v>
      </c>
      <c r="D111" s="299">
        <f>+D108+D109-D110</f>
        <v>55</v>
      </c>
      <c r="E111" s="300"/>
      <c r="F111" s="314"/>
    </row>
    <row r="112" spans="3:9" x14ac:dyDescent="0.35">
      <c r="C112" s="301" t="s">
        <v>163</v>
      </c>
      <c r="D112" s="302">
        <f>+E112</f>
        <v>0</v>
      </c>
      <c r="E112" s="303"/>
      <c r="F112" s="314"/>
    </row>
    <row r="113" spans="3:6" x14ac:dyDescent="0.35">
      <c r="C113" s="301" t="s">
        <v>164</v>
      </c>
      <c r="D113" s="302">
        <f t="shared" ref="D113:D122" si="8">+E113</f>
        <v>0</v>
      </c>
      <c r="E113" s="303"/>
      <c r="F113" s="314"/>
    </row>
    <row r="114" spans="3:6" x14ac:dyDescent="0.35">
      <c r="C114" s="301" t="s">
        <v>165</v>
      </c>
      <c r="D114" s="302">
        <f t="shared" si="8"/>
        <v>0</v>
      </c>
      <c r="E114" s="303"/>
      <c r="F114" s="314"/>
    </row>
    <row r="115" spans="3:6" x14ac:dyDescent="0.35">
      <c r="C115" s="293" t="s">
        <v>166</v>
      </c>
      <c r="D115" s="302">
        <f t="shared" si="8"/>
        <v>0</v>
      </c>
      <c r="E115" s="303"/>
      <c r="F115" s="314"/>
    </row>
    <row r="116" spans="3:6" x14ac:dyDescent="0.35">
      <c r="C116" s="293" t="s">
        <v>167</v>
      </c>
      <c r="D116" s="302">
        <f t="shared" si="8"/>
        <v>0</v>
      </c>
      <c r="E116" s="303"/>
      <c r="F116" s="314"/>
    </row>
    <row r="117" spans="3:6" x14ac:dyDescent="0.35">
      <c r="C117" s="293" t="s">
        <v>168</v>
      </c>
      <c r="D117" s="302">
        <f t="shared" si="8"/>
        <v>0</v>
      </c>
      <c r="E117" s="303"/>
      <c r="F117" s="314"/>
    </row>
    <row r="118" spans="3:6" x14ac:dyDescent="0.35">
      <c r="C118" s="293" t="s">
        <v>169</v>
      </c>
      <c r="D118" s="302">
        <f t="shared" si="8"/>
        <v>0</v>
      </c>
      <c r="E118" s="303"/>
      <c r="F118" s="314"/>
    </row>
    <row r="119" spans="3:6" x14ac:dyDescent="0.35">
      <c r="C119" s="293" t="s">
        <v>170</v>
      </c>
      <c r="D119" s="302">
        <f t="shared" si="8"/>
        <v>0</v>
      </c>
      <c r="E119" s="303"/>
      <c r="F119" s="314"/>
    </row>
    <row r="120" spans="3:6" x14ac:dyDescent="0.35">
      <c r="C120" s="293" t="s">
        <v>171</v>
      </c>
      <c r="D120" s="302">
        <f t="shared" si="8"/>
        <v>0</v>
      </c>
      <c r="E120" s="303"/>
      <c r="F120" s="314"/>
    </row>
    <row r="121" spans="3:6" x14ac:dyDescent="0.35">
      <c r="C121" s="293" t="s">
        <v>172</v>
      </c>
      <c r="D121" s="302">
        <f t="shared" si="8"/>
        <v>0</v>
      </c>
      <c r="E121" s="304"/>
      <c r="F121" s="314"/>
    </row>
    <row r="122" spans="3:6" ht="14.4" thickBot="1" x14ac:dyDescent="0.4">
      <c r="C122" s="305" t="s">
        <v>173</v>
      </c>
      <c r="D122" s="302">
        <f t="shared" si="8"/>
        <v>0</v>
      </c>
      <c r="E122" s="306"/>
      <c r="F122" s="314"/>
    </row>
    <row r="123" spans="3:6" ht="14.4" thickTop="1" x14ac:dyDescent="0.35">
      <c r="F123" s="314"/>
    </row>
    <row r="124" spans="3:6" x14ac:dyDescent="0.35"/>
    <row r="125" spans="3:6" x14ac:dyDescent="0.35"/>
    <row r="126" spans="3:6" x14ac:dyDescent="0.35"/>
  </sheetData>
  <sheetProtection formatCells="0" formatColumns="0" formatRows="0" insertColumns="0" insertRows="0" insertHyperlinks="0" deleteColumns="0" deleteRows="0" sort="0" autoFilter="0" pivotTables="0"/>
  <mergeCells count="3">
    <mergeCell ref="D3:I3"/>
    <mergeCell ref="D4:I4"/>
    <mergeCell ref="D5:I5"/>
  </mergeCells>
  <printOptions horizontalCentered="1"/>
  <pageMargins left="0.70866141732283472" right="0.70866141732283472" top="0.74803149606299213" bottom="0.74803149606299213" header="0.31496062992125984" footer="0.31496062992125984"/>
  <pageSetup scale="57" orientation="portrait" r:id="rId1"/>
  <ignoredErrors>
    <ignoredError sqref="D46:F47 D25:G25 F24 D27:G27 F26 E28:G28 D49:F49 E48:F48 E5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4">
    <pageSetUpPr fitToPage="1"/>
  </sheetPr>
  <dimension ref="A1:AA85"/>
  <sheetViews>
    <sheetView zoomScale="70" zoomScaleNormal="70" workbookViewId="0">
      <pane xSplit="8" ySplit="5" topLeftCell="Q52" activePane="bottomRight" state="frozen"/>
      <selection pane="topRight" activeCell="I1" sqref="I1"/>
      <selection pane="bottomLeft" activeCell="A6" sqref="A6"/>
      <selection pane="bottomRight" activeCell="AA71" sqref="AA71"/>
    </sheetView>
  </sheetViews>
  <sheetFormatPr baseColWidth="10" defaultColWidth="0" defaultRowHeight="14.4" zeroHeight="1" x14ac:dyDescent="0.35"/>
  <cols>
    <col min="1" max="1" width="3.5546875" style="2" customWidth="1"/>
    <col min="2" max="2" width="39.33203125" style="2" bestFit="1" customWidth="1"/>
    <col min="3" max="3" width="16.5546875" style="2" bestFit="1" customWidth="1"/>
    <col min="4" max="8" width="15.5546875" style="2" bestFit="1" customWidth="1"/>
    <col min="9" max="9" width="15.5546875" style="2" customWidth="1"/>
    <col min="10" max="26" width="14.5546875" style="396" customWidth="1"/>
    <col min="27" max="27" width="12.6640625" style="2" customWidth="1"/>
    <col min="28" max="16384" width="11.44140625" style="2" hidden="1"/>
  </cols>
  <sheetData>
    <row r="1" spans="1:27" x14ac:dyDescent="0.35">
      <c r="A1" s="151"/>
      <c r="B1" s="151"/>
      <c r="C1" s="151"/>
      <c r="D1" s="151"/>
      <c r="E1" s="151"/>
      <c r="F1" s="151"/>
      <c r="G1" s="151"/>
      <c r="H1" s="151"/>
      <c r="I1" s="151"/>
      <c r="J1" s="410"/>
      <c r="K1" s="410"/>
      <c r="L1" s="410"/>
      <c r="M1" s="410"/>
      <c r="N1" s="410"/>
      <c r="O1" s="410"/>
      <c r="P1" s="410"/>
      <c r="Q1" s="410"/>
      <c r="R1" s="410"/>
      <c r="S1" s="410"/>
      <c r="T1" s="410"/>
      <c r="U1" s="410"/>
      <c r="V1" s="410"/>
      <c r="W1" s="410"/>
      <c r="X1" s="410"/>
      <c r="Y1" s="410"/>
      <c r="Z1" s="410"/>
      <c r="AA1" s="151"/>
    </row>
    <row r="2" spans="1:27" x14ac:dyDescent="0.35">
      <c r="A2" s="151"/>
      <c r="B2" s="151"/>
      <c r="C2" s="151"/>
      <c r="D2" s="151"/>
      <c r="E2" s="151"/>
      <c r="F2" s="151"/>
      <c r="G2" s="151"/>
      <c r="H2" s="151"/>
      <c r="I2" s="151"/>
      <c r="J2" s="410"/>
      <c r="K2" s="410"/>
      <c r="L2" s="410"/>
      <c r="M2" s="410"/>
      <c r="N2" s="410"/>
      <c r="O2" s="410"/>
      <c r="P2" s="410"/>
      <c r="Q2" s="410"/>
      <c r="R2" s="410"/>
      <c r="S2" s="410"/>
      <c r="T2" s="410"/>
      <c r="U2" s="410"/>
      <c r="V2" s="410"/>
      <c r="W2" s="410"/>
      <c r="X2" s="410"/>
      <c r="Y2" s="410"/>
      <c r="Z2" s="410"/>
      <c r="AA2" s="151"/>
    </row>
    <row r="3" spans="1:27" ht="32.25" customHeight="1" x14ac:dyDescent="0.45">
      <c r="A3" s="151"/>
      <c r="B3" s="472" t="s">
        <v>174</v>
      </c>
      <c r="C3" s="473"/>
      <c r="D3" s="473"/>
      <c r="E3" s="473"/>
      <c r="F3" s="473"/>
      <c r="G3" s="473"/>
      <c r="H3" s="473"/>
      <c r="I3" s="473"/>
      <c r="J3" s="473"/>
      <c r="K3" s="473"/>
      <c r="L3" s="473"/>
      <c r="M3" s="473"/>
      <c r="N3" s="473"/>
      <c r="O3" s="473"/>
      <c r="P3" s="473"/>
      <c r="Q3" s="473"/>
      <c r="R3" s="473"/>
      <c r="S3" s="473"/>
      <c r="T3" s="473"/>
      <c r="U3" s="473"/>
      <c r="V3" s="473"/>
      <c r="W3" s="473"/>
      <c r="X3" s="473"/>
      <c r="Y3" s="473"/>
      <c r="Z3" s="474"/>
      <c r="AA3" s="151"/>
    </row>
    <row r="4" spans="1:27" s="266" customFormat="1" ht="14.25" customHeight="1" x14ac:dyDescent="0.35">
      <c r="A4" s="264" t="s">
        <v>175</v>
      </c>
      <c r="B4" s="265"/>
      <c r="C4" s="478" t="s">
        <v>176</v>
      </c>
      <c r="D4" s="478"/>
      <c r="E4" s="478"/>
      <c r="F4" s="478"/>
      <c r="G4" s="478"/>
      <c r="H4" s="478"/>
      <c r="I4" s="478"/>
      <c r="J4" s="477" t="s">
        <v>177</v>
      </c>
      <c r="K4" s="477"/>
      <c r="L4" s="477"/>
      <c r="M4" s="477"/>
      <c r="N4" s="477"/>
      <c r="O4" s="477"/>
      <c r="P4" s="422"/>
      <c r="Q4" s="478" t="s">
        <v>178</v>
      </c>
      <c r="R4" s="478"/>
      <c r="S4" s="478"/>
      <c r="T4" s="478"/>
      <c r="U4" s="478"/>
      <c r="V4" s="478"/>
      <c r="W4" s="478"/>
      <c r="X4" s="478"/>
      <c r="Y4" s="478"/>
      <c r="Z4" s="479"/>
      <c r="AA4" s="264"/>
    </row>
    <row r="5" spans="1:27" ht="15" x14ac:dyDescent="0.35">
      <c r="A5" s="151"/>
      <c r="B5" s="20" t="s">
        <v>179</v>
      </c>
      <c r="C5" s="21">
        <f>+Variables!D7</f>
        <v>2018</v>
      </c>
      <c r="D5" s="21">
        <f>+Variables!E7</f>
        <v>2019</v>
      </c>
      <c r="E5" s="21">
        <f>+Variables!F7</f>
        <v>2020</v>
      </c>
      <c r="F5" s="21">
        <f>+Variables!G7</f>
        <v>2021</v>
      </c>
      <c r="G5" s="21">
        <f>+Variables!H7</f>
        <v>2022</v>
      </c>
      <c r="H5" s="21">
        <f>+Variables!I7</f>
        <v>2023</v>
      </c>
      <c r="I5" s="21" t="str">
        <f>+Balance!I7</f>
        <v>REFERENTE</v>
      </c>
      <c r="J5" s="21">
        <f t="shared" ref="J5:P5" si="0">+C5</f>
        <v>2018</v>
      </c>
      <c r="K5" s="21">
        <f t="shared" si="0"/>
        <v>2019</v>
      </c>
      <c r="L5" s="21">
        <f t="shared" si="0"/>
        <v>2020</v>
      </c>
      <c r="M5" s="21">
        <f t="shared" si="0"/>
        <v>2021</v>
      </c>
      <c r="N5" s="21">
        <f t="shared" si="0"/>
        <v>2022</v>
      </c>
      <c r="O5" s="21">
        <f t="shared" si="0"/>
        <v>2023</v>
      </c>
      <c r="P5" s="21" t="str">
        <f t="shared" si="0"/>
        <v>REFERENTE</v>
      </c>
      <c r="Q5" s="475" t="str">
        <f>+K5&amp;$A$4&amp;J5</f>
        <v>2019 - 2018</v>
      </c>
      <c r="R5" s="476"/>
      <c r="S5" s="475" t="str">
        <f>+L5&amp;$A$4&amp;K5</f>
        <v>2020 - 2019</v>
      </c>
      <c r="T5" s="476"/>
      <c r="U5" s="475" t="str">
        <f>+M5&amp;$A$4&amp;L5</f>
        <v>2021 - 2020</v>
      </c>
      <c r="V5" s="476"/>
      <c r="W5" s="475" t="str">
        <f>+N5&amp;$A$4&amp;M5</f>
        <v>2022 - 2021</v>
      </c>
      <c r="X5" s="476"/>
      <c r="Y5" s="475" t="str">
        <f>+O5&amp;$A$4&amp;N5</f>
        <v>2023 - 2022</v>
      </c>
      <c r="Z5" s="476"/>
      <c r="AA5" s="151"/>
    </row>
    <row r="6" spans="1:27" x14ac:dyDescent="0.35">
      <c r="A6" s="151"/>
      <c r="B6" s="22" t="str">
        <f>+Balance!B11</f>
        <v>Disponible</v>
      </c>
      <c r="C6" s="3">
        <f>+Variables!D10</f>
        <v>227038885</v>
      </c>
      <c r="D6" s="3">
        <f>+Variables!E10</f>
        <v>118467733</v>
      </c>
      <c r="E6" s="3">
        <f>+Variables!F10</f>
        <v>382144220</v>
      </c>
      <c r="F6" s="3">
        <f>+Variables!G10</f>
        <v>67465736</v>
      </c>
      <c r="G6" s="3">
        <f>+Variables!H10</f>
        <v>132682041</v>
      </c>
      <c r="H6" s="3">
        <f>+Variables!I10</f>
        <v>74494491</v>
      </c>
      <c r="I6" s="3">
        <f>+Balance!I11</f>
        <v>1068070.8500000001</v>
      </c>
      <c r="J6" s="411">
        <f t="shared" ref="J6:P7" si="1">+C6/C$13</f>
        <v>3.9829632855907592E-2</v>
      </c>
      <c r="K6" s="411">
        <f t="shared" si="1"/>
        <v>2.1096347906355156E-2</v>
      </c>
      <c r="L6" s="411">
        <f t="shared" si="1"/>
        <v>4.482395447876121E-2</v>
      </c>
      <c r="M6" s="411">
        <f t="shared" si="1"/>
        <v>7.8198098875051116E-3</v>
      </c>
      <c r="N6" s="411">
        <f t="shared" si="1"/>
        <v>1.3749089765425927E-2</v>
      </c>
      <c r="O6" s="411">
        <f t="shared" si="1"/>
        <v>5.0678151330851001E-3</v>
      </c>
      <c r="P6" s="411">
        <f t="shared" si="1"/>
        <v>0.18472987667971319</v>
      </c>
      <c r="Q6" s="423">
        <f>+D6-C6</f>
        <v>-108571152</v>
      </c>
      <c r="R6" s="411">
        <f>IFERROR(Q6/C6,"N/A")</f>
        <v>-0.47820509689342422</v>
      </c>
      <c r="S6" s="423">
        <f t="shared" ref="S6:S11" si="2">+E6-D6</f>
        <v>263676487</v>
      </c>
      <c r="T6" s="411">
        <f t="shared" ref="T6:T11" si="3">IFERROR(S6/D6,"N/A")</f>
        <v>2.2257240880940974</v>
      </c>
      <c r="U6" s="423">
        <f t="shared" ref="U6:U11" si="4">+F6-E6</f>
        <v>-314678484</v>
      </c>
      <c r="V6" s="411">
        <f t="shared" ref="V6:V11" si="5">IFERROR(U6/E6,"N/A")</f>
        <v>-0.82345477840800518</v>
      </c>
      <c r="W6" s="423">
        <f t="shared" ref="W6:W11" si="6">+G6-F6</f>
        <v>65216305</v>
      </c>
      <c r="X6" s="411">
        <f t="shared" ref="X6:X11" si="7">IFERROR(W6/F6,"N/A")</f>
        <v>0.96665817149019173</v>
      </c>
      <c r="Y6" s="423">
        <f t="shared" ref="Y6:Y11" si="8">+H6-G6</f>
        <v>-58187550</v>
      </c>
      <c r="Z6" s="411">
        <f t="shared" ref="Z6:Z11" si="9">IFERROR(Y6/G6,"N/A")</f>
        <v>-0.43854880103932076</v>
      </c>
      <c r="AA6" s="151"/>
    </row>
    <row r="7" spans="1:27" x14ac:dyDescent="0.35">
      <c r="A7" s="151"/>
      <c r="B7" s="22" t="str">
        <f>+Balance!B12</f>
        <v>Inversiones</v>
      </c>
      <c r="C7" s="3">
        <f>+Variables!D11</f>
        <v>0</v>
      </c>
      <c r="D7" s="3">
        <f>+Variables!E11</f>
        <v>127178393</v>
      </c>
      <c r="E7" s="3">
        <f>+Variables!F11</f>
        <v>216452017</v>
      </c>
      <c r="F7" s="3">
        <f>+Variables!G11</f>
        <v>50261488</v>
      </c>
      <c r="G7" s="3">
        <f>+Variables!H11</f>
        <v>10116020</v>
      </c>
      <c r="H7" s="3">
        <f>+Variables!I11</f>
        <v>5550131</v>
      </c>
      <c r="I7" s="3">
        <f>+Balance!I12</f>
        <v>227474.71</v>
      </c>
      <c r="J7" s="411">
        <f t="shared" si="1"/>
        <v>0</v>
      </c>
      <c r="K7" s="411">
        <f t="shared" si="1"/>
        <v>2.2647513858471177E-2</v>
      </c>
      <c r="L7" s="411">
        <f t="shared" si="1"/>
        <v>2.5388936556057416E-2</v>
      </c>
      <c r="M7" s="411">
        <f t="shared" si="1"/>
        <v>5.8257021137829062E-3</v>
      </c>
      <c r="N7" s="411">
        <f t="shared" si="1"/>
        <v>1.0482659597378667E-3</v>
      </c>
      <c r="O7" s="411">
        <f t="shared" si="1"/>
        <v>3.775720525750654E-4</v>
      </c>
      <c r="P7" s="411">
        <f t="shared" si="1"/>
        <v>3.934324686986216E-2</v>
      </c>
      <c r="Q7" s="423">
        <f t="shared" ref="Q7:Q11" si="10">+D7-C7</f>
        <v>127178393</v>
      </c>
      <c r="R7" s="411" t="str">
        <f t="shared" ref="R7:R11" si="11">IFERROR(Q7/C7,"N/A")</f>
        <v>N/A</v>
      </c>
      <c r="S7" s="423">
        <f t="shared" si="2"/>
        <v>89273624</v>
      </c>
      <c r="T7" s="411">
        <f t="shared" si="3"/>
        <v>0.70195590535571561</v>
      </c>
      <c r="U7" s="423">
        <f t="shared" si="4"/>
        <v>-166190529</v>
      </c>
      <c r="V7" s="411">
        <f t="shared" si="5"/>
        <v>-0.76779385705608827</v>
      </c>
      <c r="W7" s="423">
        <f t="shared" si="6"/>
        <v>-40145468</v>
      </c>
      <c r="X7" s="411">
        <f t="shared" si="7"/>
        <v>-0.79873218238186661</v>
      </c>
      <c r="Y7" s="423">
        <f t="shared" si="8"/>
        <v>-4565889</v>
      </c>
      <c r="Z7" s="411">
        <f t="shared" si="9"/>
        <v>-0.45135231049365265</v>
      </c>
      <c r="AA7" s="151"/>
    </row>
    <row r="8" spans="1:27" x14ac:dyDescent="0.35">
      <c r="A8" s="151"/>
      <c r="B8" s="22" t="str">
        <f>+Balance!B13</f>
        <v>Deudores (cartera)</v>
      </c>
      <c r="C8" s="3">
        <f>+Variables!D12</f>
        <v>4907544657</v>
      </c>
      <c r="D8" s="3">
        <f>+Variables!E12</f>
        <v>3323595296</v>
      </c>
      <c r="E8" s="3">
        <f>+Variables!F12</f>
        <v>4509474310</v>
      </c>
      <c r="F8" s="3">
        <f>+Variables!G12</f>
        <v>4728878028</v>
      </c>
      <c r="G8" s="3">
        <f>+Variables!H12</f>
        <v>3867312996</v>
      </c>
      <c r="H8" s="3">
        <f>+Variables!I12</f>
        <v>8490046187</v>
      </c>
      <c r="I8" s="3">
        <f>+Balance!I13</f>
        <v>1703828.12</v>
      </c>
      <c r="J8" s="411">
        <f t="shared" ref="J8:J11" si="12">+C8/C$13</f>
        <v>0.86093490950803842</v>
      </c>
      <c r="K8" s="411">
        <f t="shared" ref="K8:P11" si="13">+D8/D$13</f>
        <v>0.59185502152169522</v>
      </c>
      <c r="L8" s="411">
        <f t="shared" si="13"/>
        <v>0.52894289803619987</v>
      </c>
      <c r="M8" s="411">
        <f t="shared" si="13"/>
        <v>0.54811418881074792</v>
      </c>
      <c r="N8" s="411">
        <f t="shared" si="13"/>
        <v>0.40074778117863197</v>
      </c>
      <c r="O8" s="411">
        <f t="shared" si="13"/>
        <v>0.5775727032898319</v>
      </c>
      <c r="P8" s="411">
        <f t="shared" si="13"/>
        <v>0.29468827699120104</v>
      </c>
      <c r="Q8" s="423">
        <f t="shared" si="10"/>
        <v>-1583949361</v>
      </c>
      <c r="R8" s="411">
        <f t="shared" si="11"/>
        <v>-0.32275801275505339</v>
      </c>
      <c r="S8" s="423">
        <f t="shared" si="2"/>
        <v>1185879014</v>
      </c>
      <c r="T8" s="411">
        <f t="shared" si="3"/>
        <v>0.35680608148267157</v>
      </c>
      <c r="U8" s="423">
        <f t="shared" si="4"/>
        <v>219403718</v>
      </c>
      <c r="V8" s="411">
        <f t="shared" si="5"/>
        <v>4.8653945652481163E-2</v>
      </c>
      <c r="W8" s="423">
        <f t="shared" si="6"/>
        <v>-861565032</v>
      </c>
      <c r="X8" s="411">
        <f t="shared" si="7"/>
        <v>-0.18219227201433752</v>
      </c>
      <c r="Y8" s="423">
        <f t="shared" si="8"/>
        <v>4622733191</v>
      </c>
      <c r="Z8" s="411">
        <f t="shared" si="9"/>
        <v>1.195334640816851</v>
      </c>
      <c r="AA8" s="151"/>
    </row>
    <row r="9" spans="1:27" x14ac:dyDescent="0.35">
      <c r="A9" s="151"/>
      <c r="B9" s="22" t="str">
        <f>+Balance!B14</f>
        <v>Inventarios</v>
      </c>
      <c r="C9" s="3">
        <f>+Variables!D13</f>
        <v>528643264</v>
      </c>
      <c r="D9" s="3">
        <f>+Variables!E13</f>
        <v>994831546</v>
      </c>
      <c r="E9" s="3">
        <f>+Variables!F13</f>
        <v>1353632203</v>
      </c>
      <c r="F9" s="3">
        <f>+Variables!G13</f>
        <v>1190080987</v>
      </c>
      <c r="G9" s="3">
        <f>+Variables!H13</f>
        <v>1690216833</v>
      </c>
      <c r="H9" s="3">
        <f>+Variables!I13</f>
        <v>2056290139</v>
      </c>
      <c r="I9" s="3">
        <f>+Balance!I14</f>
        <v>2232800.69</v>
      </c>
      <c r="J9" s="411">
        <f t="shared" si="12"/>
        <v>9.274035642338814E-2</v>
      </c>
      <c r="K9" s="411">
        <f t="shared" si="13"/>
        <v>0.17715636039589922</v>
      </c>
      <c r="L9" s="411">
        <f t="shared" si="13"/>
        <v>0.15877552262404296</v>
      </c>
      <c r="M9" s="411">
        <f t="shared" si="13"/>
        <v>0.13793975461965527</v>
      </c>
      <c r="N9" s="411">
        <f t="shared" si="13"/>
        <v>0.17514761443827143</v>
      </c>
      <c r="O9" s="411">
        <f t="shared" si="13"/>
        <v>0.1398881735353808</v>
      </c>
      <c r="P9" s="411">
        <f t="shared" si="13"/>
        <v>0.38617756126766167</v>
      </c>
      <c r="Q9" s="423">
        <f t="shared" si="10"/>
        <v>466188282</v>
      </c>
      <c r="R9" s="411">
        <f t="shared" si="11"/>
        <v>0.88185798202093424</v>
      </c>
      <c r="S9" s="423">
        <f t="shared" si="2"/>
        <v>358800657</v>
      </c>
      <c r="T9" s="411">
        <f t="shared" si="3"/>
        <v>0.36066473609794436</v>
      </c>
      <c r="U9" s="423">
        <f t="shared" si="4"/>
        <v>-163551216</v>
      </c>
      <c r="V9" s="411">
        <f t="shared" si="5"/>
        <v>-0.12082396949298937</v>
      </c>
      <c r="W9" s="423">
        <f t="shared" si="6"/>
        <v>500135846</v>
      </c>
      <c r="X9" s="411">
        <f t="shared" si="7"/>
        <v>0.42025362262173505</v>
      </c>
      <c r="Y9" s="423">
        <f t="shared" si="8"/>
        <v>366073306</v>
      </c>
      <c r="Z9" s="411">
        <f t="shared" si="9"/>
        <v>0.21658363521930443</v>
      </c>
      <c r="AA9" s="151"/>
    </row>
    <row r="10" spans="1:27" x14ac:dyDescent="0.35">
      <c r="A10" s="151"/>
      <c r="B10" s="22" t="str">
        <f>+Balance!B15</f>
        <v>Diferidos</v>
      </c>
      <c r="C10" s="3">
        <f>+Variables!D14</f>
        <v>37023704</v>
      </c>
      <c r="D10" s="3">
        <f>+Variables!E14</f>
        <v>86716968</v>
      </c>
      <c r="E10" s="3">
        <f>+Variables!F14</f>
        <v>61957103</v>
      </c>
      <c r="F10" s="3">
        <f>+Variables!G14</f>
        <v>157221119</v>
      </c>
      <c r="G10" s="3">
        <f>+Variables!H14</f>
        <v>207293017</v>
      </c>
      <c r="H10" s="3">
        <f>+Variables!I14</f>
        <v>749838027</v>
      </c>
      <c r="I10" s="3">
        <f>+Balance!I15</f>
        <v>246.07</v>
      </c>
      <c r="J10" s="411">
        <f t="shared" si="12"/>
        <v>6.4951012126658273E-3</v>
      </c>
      <c r="K10" s="411">
        <f t="shared" si="13"/>
        <v>1.5442275124081821E-2</v>
      </c>
      <c r="L10" s="411">
        <f t="shared" si="13"/>
        <v>7.2673148491109443E-3</v>
      </c>
      <c r="M10" s="411">
        <f t="shared" si="13"/>
        <v>1.8223165324703756E-2</v>
      </c>
      <c r="N10" s="411">
        <f t="shared" si="13"/>
        <v>2.1480603380821996E-2</v>
      </c>
      <c r="O10" s="411">
        <f t="shared" si="13"/>
        <v>5.1011027118680143E-2</v>
      </c>
      <c r="P10" s="411">
        <f t="shared" si="13"/>
        <v>4.2559424549950985E-5</v>
      </c>
      <c r="Q10" s="423">
        <f t="shared" si="10"/>
        <v>49693264</v>
      </c>
      <c r="R10" s="411">
        <f t="shared" si="11"/>
        <v>1.3422013097338936</v>
      </c>
      <c r="S10" s="423">
        <f t="shared" si="2"/>
        <v>-24759865</v>
      </c>
      <c r="T10" s="411">
        <f t="shared" si="3"/>
        <v>-0.28552503127184981</v>
      </c>
      <c r="U10" s="423">
        <f t="shared" si="4"/>
        <v>95264016</v>
      </c>
      <c r="V10" s="411">
        <f t="shared" si="5"/>
        <v>1.5375802190105627</v>
      </c>
      <c r="W10" s="423">
        <f t="shared" si="6"/>
        <v>50071898</v>
      </c>
      <c r="X10" s="411">
        <f t="shared" si="7"/>
        <v>0.31848073794717108</v>
      </c>
      <c r="Y10" s="423">
        <f t="shared" si="8"/>
        <v>542545010</v>
      </c>
      <c r="Z10" s="411">
        <f t="shared" si="9"/>
        <v>2.6172855113590248</v>
      </c>
      <c r="AA10" s="151"/>
    </row>
    <row r="11" spans="1:27" x14ac:dyDescent="0.35">
      <c r="A11" s="151"/>
      <c r="B11" s="22" t="str">
        <f>+Balance!B16</f>
        <v>Otros activos corrientes</v>
      </c>
      <c r="C11" s="3">
        <f>+Variables!D15</f>
        <v>0</v>
      </c>
      <c r="D11" s="3">
        <f>+Variables!E15</f>
        <v>964766535</v>
      </c>
      <c r="E11" s="3">
        <f>+Variables!F15</f>
        <v>2001786517</v>
      </c>
      <c r="F11" s="3">
        <f>+Variables!G15</f>
        <v>2433634356</v>
      </c>
      <c r="G11" s="3">
        <f>+Variables!H15</f>
        <v>3742620910</v>
      </c>
      <c r="H11" s="3">
        <f>+Variables!I15</f>
        <v>3323309134</v>
      </c>
      <c r="I11" s="3">
        <f>+Balance!I16</f>
        <v>549377.66</v>
      </c>
      <c r="J11" s="411">
        <f t="shared" si="12"/>
        <v>0</v>
      </c>
      <c r="K11" s="411">
        <f t="shared" si="13"/>
        <v>0.17180248119349736</v>
      </c>
      <c r="L11" s="411">
        <f t="shared" si="13"/>
        <v>0.23480137345582763</v>
      </c>
      <c r="M11" s="411">
        <f t="shared" si="13"/>
        <v>0.28207737924360499</v>
      </c>
      <c r="N11" s="411">
        <f t="shared" si="13"/>
        <v>0.3878266452771108</v>
      </c>
      <c r="O11" s="411">
        <f t="shared" si="13"/>
        <v>0.22608270887044704</v>
      </c>
      <c r="P11" s="411">
        <f t="shared" si="13"/>
        <v>9.5018478767011944E-2</v>
      </c>
      <c r="Q11" s="423">
        <f t="shared" si="10"/>
        <v>964766535</v>
      </c>
      <c r="R11" s="411" t="str">
        <f t="shared" si="11"/>
        <v>N/A</v>
      </c>
      <c r="S11" s="423">
        <f t="shared" si="2"/>
        <v>1037019982</v>
      </c>
      <c r="T11" s="411">
        <f t="shared" si="3"/>
        <v>1.0748921571994616</v>
      </c>
      <c r="U11" s="423">
        <f t="shared" si="4"/>
        <v>431847839</v>
      </c>
      <c r="V11" s="411">
        <f t="shared" si="5"/>
        <v>0.21573121575780901</v>
      </c>
      <c r="W11" s="423">
        <f t="shared" si="6"/>
        <v>1308986554</v>
      </c>
      <c r="X11" s="411">
        <f t="shared" si="7"/>
        <v>0.53787314054502933</v>
      </c>
      <c r="Y11" s="423">
        <f t="shared" si="8"/>
        <v>-419311776</v>
      </c>
      <c r="Z11" s="411">
        <f t="shared" si="9"/>
        <v>-0.11203693510064849</v>
      </c>
      <c r="AA11" s="151"/>
    </row>
    <row r="12" spans="1:27" x14ac:dyDescent="0.35">
      <c r="A12" s="151"/>
      <c r="B12" s="22"/>
      <c r="C12" s="3"/>
      <c r="D12" s="3"/>
      <c r="E12" s="3"/>
      <c r="F12" s="3"/>
      <c r="G12" s="3"/>
      <c r="H12" s="3"/>
      <c r="I12" s="3"/>
      <c r="J12" s="40"/>
      <c r="K12" s="40"/>
      <c r="L12" s="40"/>
      <c r="M12" s="40"/>
      <c r="N12" s="40"/>
      <c r="O12" s="40"/>
      <c r="P12" s="40"/>
      <c r="Q12" s="40"/>
      <c r="R12" s="40"/>
      <c r="S12" s="40"/>
      <c r="T12" s="40"/>
      <c r="U12" s="40"/>
      <c r="V12" s="40"/>
      <c r="W12" s="40"/>
      <c r="X12" s="40"/>
      <c r="Y12" s="40"/>
      <c r="Z12" s="40"/>
      <c r="AA12" s="151"/>
    </row>
    <row r="13" spans="1:27" x14ac:dyDescent="0.35">
      <c r="A13" s="151"/>
      <c r="B13" s="23" t="s">
        <v>180</v>
      </c>
      <c r="C13" s="5">
        <f>SUM(C6:C12)</f>
        <v>5700250510</v>
      </c>
      <c r="D13" s="5">
        <f>SUM(D6:D12)</f>
        <v>5615556471</v>
      </c>
      <c r="E13" s="5">
        <f t="shared" ref="E13:I13" si="14">SUM(E6:E12)</f>
        <v>8525446370</v>
      </c>
      <c r="F13" s="5">
        <f t="shared" si="14"/>
        <v>8627541714</v>
      </c>
      <c r="G13" s="5">
        <f t="shared" si="14"/>
        <v>9650241817</v>
      </c>
      <c r="H13" s="5">
        <f t="shared" si="14"/>
        <v>14699528109</v>
      </c>
      <c r="I13" s="5">
        <f t="shared" si="14"/>
        <v>5781798.1000000006</v>
      </c>
      <c r="J13" s="412">
        <f t="shared" ref="J13:P13" si="15">+C13/C$31</f>
        <v>0.6363808113442162</v>
      </c>
      <c r="K13" s="412">
        <f t="shared" si="15"/>
        <v>0.5333626332934952</v>
      </c>
      <c r="L13" s="412">
        <f t="shared" si="15"/>
        <v>0.5987388064743725</v>
      </c>
      <c r="M13" s="412">
        <f t="shared" si="15"/>
        <v>0.46821799617539034</v>
      </c>
      <c r="N13" s="412">
        <f t="shared" si="15"/>
        <v>0.48480600570965959</v>
      </c>
      <c r="O13" s="412">
        <f t="shared" si="15"/>
        <v>0.55414164900028429</v>
      </c>
      <c r="P13" s="412">
        <f t="shared" si="15"/>
        <v>0.3685295898584417</v>
      </c>
      <c r="Q13" s="425">
        <f t="shared" ref="Q13" si="16">+D13-C13</f>
        <v>-84694039</v>
      </c>
      <c r="R13" s="412">
        <f t="shared" ref="R13" si="17">IFERROR(Q13/C13,"N/A")</f>
        <v>-1.4857950339449205E-2</v>
      </c>
      <c r="S13" s="425">
        <f>+E13-D13</f>
        <v>2909889899</v>
      </c>
      <c r="T13" s="412">
        <f>IFERROR(S13/D13,"N/A")</f>
        <v>0.51818371234041138</v>
      </c>
      <c r="U13" s="425">
        <f>+F13-E13</f>
        <v>102095344</v>
      </c>
      <c r="V13" s="412">
        <f>IFERROR(U13/E13,"N/A")</f>
        <v>1.1975366399495632E-2</v>
      </c>
      <c r="W13" s="425">
        <f>+G13-F13</f>
        <v>1022700103</v>
      </c>
      <c r="X13" s="412">
        <f>IFERROR(W13/F13,"N/A")</f>
        <v>0.11853899255455978</v>
      </c>
      <c r="Y13" s="425">
        <f>+H13-G13</f>
        <v>5049286292</v>
      </c>
      <c r="Z13" s="412">
        <f>IFERROR(Y13/G13,"N/A")</f>
        <v>0.52322899133005218</v>
      </c>
      <c r="AA13" s="151"/>
    </row>
    <row r="14" spans="1:27" x14ac:dyDescent="0.35">
      <c r="A14" s="151"/>
      <c r="B14" s="22"/>
      <c r="C14" s="3"/>
      <c r="D14" s="3"/>
      <c r="E14" s="3"/>
      <c r="F14" s="3"/>
      <c r="G14" s="3"/>
      <c r="H14" s="3"/>
      <c r="I14" s="3"/>
      <c r="J14" s="40"/>
      <c r="K14" s="40"/>
      <c r="L14" s="40"/>
      <c r="M14" s="40"/>
      <c r="N14" s="40"/>
      <c r="O14" s="40"/>
      <c r="P14" s="40"/>
      <c r="Q14" s="40"/>
      <c r="R14" s="40"/>
      <c r="S14" s="40"/>
      <c r="T14" s="40"/>
      <c r="U14" s="40"/>
      <c r="V14" s="40"/>
      <c r="W14" s="40"/>
      <c r="X14" s="40"/>
      <c r="Y14" s="40"/>
      <c r="Z14" s="40"/>
      <c r="AA14" s="151"/>
    </row>
    <row r="15" spans="1:27" x14ac:dyDescent="0.35">
      <c r="A15" s="151"/>
      <c r="B15" s="22" t="str">
        <f>+Balance!B20</f>
        <v>Muebles y enseres</v>
      </c>
      <c r="C15" s="3">
        <f>+Variables!D17</f>
        <v>0</v>
      </c>
      <c r="D15" s="3">
        <f>+Variables!E17</f>
        <v>0</v>
      </c>
      <c r="E15" s="3">
        <f>+Variables!F17</f>
        <v>0</v>
      </c>
      <c r="F15" s="3">
        <f>+Variables!G17</f>
        <v>0</v>
      </c>
      <c r="G15" s="3">
        <f>+Variables!H17</f>
        <v>0</v>
      </c>
      <c r="H15" s="3">
        <f>+Variables!I17</f>
        <v>0</v>
      </c>
      <c r="I15" s="3">
        <f>+Balance!I20</f>
        <v>0</v>
      </c>
      <c r="J15" s="411"/>
      <c r="K15" s="411"/>
      <c r="L15" s="411"/>
      <c r="M15" s="411"/>
      <c r="N15" s="411"/>
      <c r="O15" s="411"/>
      <c r="P15" s="411"/>
      <c r="Q15" s="423"/>
      <c r="R15" s="411"/>
      <c r="S15" s="423"/>
      <c r="T15" s="411"/>
      <c r="U15" s="423"/>
      <c r="V15" s="411"/>
      <c r="W15" s="423"/>
      <c r="X15" s="411"/>
      <c r="Y15" s="423"/>
      <c r="Z15" s="411"/>
      <c r="AA15" s="151"/>
    </row>
    <row r="16" spans="1:27" x14ac:dyDescent="0.35">
      <c r="A16" s="151"/>
      <c r="B16" s="22" t="str">
        <f>+Balance!B21</f>
        <v>Equipo de oficina</v>
      </c>
      <c r="C16" s="3">
        <f>+Variables!D18</f>
        <v>0</v>
      </c>
      <c r="D16" s="3">
        <f>+Variables!E18</f>
        <v>0</v>
      </c>
      <c r="E16" s="3">
        <f>+Variables!F18</f>
        <v>0</v>
      </c>
      <c r="F16" s="3">
        <f>+Variables!G18</f>
        <v>0</v>
      </c>
      <c r="G16" s="3">
        <f>+Variables!H18</f>
        <v>0</v>
      </c>
      <c r="H16" s="3">
        <f>+Variables!I18</f>
        <v>0</v>
      </c>
      <c r="I16" s="3">
        <f>+Balance!I21</f>
        <v>0</v>
      </c>
      <c r="J16" s="411"/>
      <c r="K16" s="411"/>
      <c r="L16" s="411"/>
      <c r="M16" s="411"/>
      <c r="N16" s="411"/>
      <c r="O16" s="411"/>
      <c r="P16" s="411"/>
      <c r="Q16" s="423"/>
      <c r="R16" s="411"/>
      <c r="S16" s="423"/>
      <c r="T16" s="411"/>
      <c r="U16" s="423"/>
      <c r="V16" s="411"/>
      <c r="W16" s="423"/>
      <c r="X16" s="411"/>
      <c r="Y16" s="423"/>
      <c r="Z16" s="411"/>
      <c r="AA16" s="151"/>
    </row>
    <row r="17" spans="1:27" x14ac:dyDescent="0.35">
      <c r="A17" s="151"/>
      <c r="B17" s="22" t="str">
        <f>+Balance!B22</f>
        <v>Maquinaria</v>
      </c>
      <c r="C17" s="3">
        <f>+Variables!D19</f>
        <v>2595940276</v>
      </c>
      <c r="D17" s="3">
        <f>+Variables!E19</f>
        <v>2800564815</v>
      </c>
      <c r="E17" s="3">
        <f>+Variables!F19</f>
        <v>3410131694</v>
      </c>
      <c r="F17" s="3">
        <f>+Variables!G19</f>
        <v>4664665679</v>
      </c>
      <c r="G17" s="3">
        <f>+Variables!H19</f>
        <v>4890523503</v>
      </c>
      <c r="H17" s="3">
        <f>+Variables!I19</f>
        <v>5021200039</v>
      </c>
      <c r="I17" s="3">
        <f>+Balance!I22</f>
        <v>0</v>
      </c>
      <c r="J17" s="411"/>
      <c r="K17" s="411"/>
      <c r="L17" s="411"/>
      <c r="M17" s="411"/>
      <c r="N17" s="411"/>
      <c r="O17" s="411"/>
      <c r="P17" s="411"/>
      <c r="Q17" s="423"/>
      <c r="R17" s="411"/>
      <c r="S17" s="423"/>
      <c r="T17" s="411"/>
      <c r="U17" s="423"/>
      <c r="V17" s="411"/>
      <c r="W17" s="423"/>
      <c r="X17" s="411"/>
      <c r="Y17" s="423"/>
      <c r="Z17" s="411"/>
      <c r="AA17" s="152"/>
    </row>
    <row r="18" spans="1:27" x14ac:dyDescent="0.35">
      <c r="A18" s="151"/>
      <c r="B18" s="22" t="str">
        <f>+Balance!B23</f>
        <v>Vehículos</v>
      </c>
      <c r="C18" s="3">
        <f>+Variables!D20</f>
        <v>152999947</v>
      </c>
      <c r="D18" s="3">
        <f>+Variables!E20</f>
        <v>152999947</v>
      </c>
      <c r="E18" s="3">
        <f>+Variables!F20</f>
        <v>152999947</v>
      </c>
      <c r="F18" s="3">
        <f>+Variables!G20</f>
        <v>152999947</v>
      </c>
      <c r="G18" s="3">
        <f>+Variables!H20</f>
        <v>152999947</v>
      </c>
      <c r="H18" s="3">
        <f>+Variables!I20</f>
        <v>152999947</v>
      </c>
      <c r="I18" s="3">
        <f>+Balance!I23</f>
        <v>0</v>
      </c>
      <c r="J18" s="411"/>
      <c r="K18" s="411"/>
      <c r="L18" s="411"/>
      <c r="M18" s="411"/>
      <c r="N18" s="411"/>
      <c r="O18" s="411"/>
      <c r="P18" s="411"/>
      <c r="Q18" s="423"/>
      <c r="R18" s="411"/>
      <c r="S18" s="423"/>
      <c r="T18" s="411"/>
      <c r="U18" s="423"/>
      <c r="V18" s="411"/>
      <c r="W18" s="423"/>
      <c r="X18" s="411"/>
      <c r="Y18" s="423"/>
      <c r="Z18" s="411"/>
      <c r="AA18" s="151"/>
    </row>
    <row r="19" spans="1:27" x14ac:dyDescent="0.35">
      <c r="A19" s="151"/>
      <c r="B19" s="22" t="str">
        <f>+Balance!B24</f>
        <v>Edificios</v>
      </c>
      <c r="C19" s="3">
        <f>+Variables!D21</f>
        <v>0</v>
      </c>
      <c r="D19" s="3">
        <f>+Variables!E21</f>
        <v>0</v>
      </c>
      <c r="E19" s="3">
        <f>+Variables!F21</f>
        <v>0</v>
      </c>
      <c r="F19" s="3">
        <f>+Variables!G21</f>
        <v>0</v>
      </c>
      <c r="G19" s="3">
        <f>+Variables!H21</f>
        <v>0</v>
      </c>
      <c r="H19" s="3">
        <f>+Variables!I21</f>
        <v>0</v>
      </c>
      <c r="I19" s="3">
        <f>+Balance!I24</f>
        <v>0</v>
      </c>
      <c r="J19" s="411"/>
      <c r="K19" s="411"/>
      <c r="L19" s="411"/>
      <c r="M19" s="411"/>
      <c r="N19" s="411"/>
      <c r="O19" s="411"/>
      <c r="P19" s="411"/>
      <c r="Q19" s="423"/>
      <c r="R19" s="411"/>
      <c r="S19" s="423"/>
      <c r="T19" s="411"/>
      <c r="U19" s="423"/>
      <c r="V19" s="411"/>
      <c r="W19" s="423"/>
      <c r="X19" s="411"/>
      <c r="Y19" s="423"/>
      <c r="Z19" s="411"/>
      <c r="AA19" s="151"/>
    </row>
    <row r="20" spans="1:27" x14ac:dyDescent="0.35">
      <c r="A20" s="151"/>
      <c r="B20" s="22" t="str">
        <f>+Balance!B25</f>
        <v>Terrenos</v>
      </c>
      <c r="C20" s="3">
        <f>+Variables!D22</f>
        <v>0</v>
      </c>
      <c r="D20" s="3">
        <f>+Variables!E22</f>
        <v>0</v>
      </c>
      <c r="E20" s="3">
        <f>+Variables!F22</f>
        <v>0</v>
      </c>
      <c r="F20" s="3">
        <f>+Variables!G22</f>
        <v>0</v>
      </c>
      <c r="G20" s="3">
        <f>+Variables!H22</f>
        <v>0</v>
      </c>
      <c r="H20" s="3">
        <f>+Variables!I22</f>
        <v>0</v>
      </c>
      <c r="I20" s="3">
        <f>+Balance!I25</f>
        <v>0</v>
      </c>
      <c r="J20" s="411"/>
      <c r="K20" s="411"/>
      <c r="L20" s="411"/>
      <c r="M20" s="411"/>
      <c r="N20" s="411"/>
      <c r="O20" s="411"/>
      <c r="P20" s="411"/>
      <c r="Q20" s="423"/>
      <c r="R20" s="411"/>
      <c r="S20" s="423"/>
      <c r="T20" s="411"/>
      <c r="U20" s="423"/>
      <c r="V20" s="411"/>
      <c r="W20" s="423"/>
      <c r="X20" s="411"/>
      <c r="Y20" s="423"/>
      <c r="Z20" s="411"/>
      <c r="AA20" s="151"/>
    </row>
    <row r="21" spans="1:27" x14ac:dyDescent="0.35">
      <c r="A21" s="151"/>
      <c r="B21" s="22" t="str">
        <f>+Balance!B26</f>
        <v>Equipo de cómputo</v>
      </c>
      <c r="C21" s="3">
        <f>+Variables!D23</f>
        <v>0</v>
      </c>
      <c r="D21" s="3">
        <f>+Variables!E23</f>
        <v>0</v>
      </c>
      <c r="E21" s="3">
        <f>+Variables!F23</f>
        <v>0</v>
      </c>
      <c r="F21" s="3">
        <f>+Variables!G23</f>
        <v>0</v>
      </c>
      <c r="G21" s="3">
        <f>+Variables!H23</f>
        <v>0</v>
      </c>
      <c r="H21" s="3">
        <f>+Variables!I23</f>
        <v>0</v>
      </c>
      <c r="I21" s="3">
        <f>+Balance!I26</f>
        <v>0</v>
      </c>
      <c r="J21" s="411"/>
      <c r="K21" s="411"/>
      <c r="L21" s="411"/>
      <c r="M21" s="411"/>
      <c r="N21" s="411"/>
      <c r="O21" s="411"/>
      <c r="P21" s="411"/>
      <c r="Q21" s="423"/>
      <c r="R21" s="411"/>
      <c r="S21" s="423"/>
      <c r="T21" s="411"/>
      <c r="U21" s="423"/>
      <c r="V21" s="411"/>
      <c r="W21" s="423"/>
      <c r="X21" s="411"/>
      <c r="Y21" s="423"/>
      <c r="Z21" s="411"/>
      <c r="AA21" s="151"/>
    </row>
    <row r="22" spans="1:27" x14ac:dyDescent="0.35">
      <c r="A22" s="151"/>
      <c r="B22" s="22" t="str">
        <f>+Balance!B27</f>
        <v>Depreciación acumulada</v>
      </c>
      <c r="C22" s="3">
        <f>+Variables!D24</f>
        <v>1674333990</v>
      </c>
      <c r="D22" s="3">
        <f>+Variables!E24</f>
        <v>1916880522</v>
      </c>
      <c r="E22" s="3">
        <f>+Variables!F24</f>
        <v>2267803494</v>
      </c>
      <c r="F22" s="3">
        <f>+Variables!G24</f>
        <v>2404985311</v>
      </c>
      <c r="G22" s="3">
        <f>+Variables!H24</f>
        <v>2778359734</v>
      </c>
      <c r="H22" s="3">
        <f>+Variables!I24</f>
        <v>3059062173</v>
      </c>
      <c r="I22" s="3">
        <f>+Balance!I27</f>
        <v>0</v>
      </c>
      <c r="J22" s="411"/>
      <c r="K22" s="411"/>
      <c r="L22" s="411"/>
      <c r="M22" s="411"/>
      <c r="N22" s="411"/>
      <c r="O22" s="411"/>
      <c r="P22" s="411"/>
      <c r="Q22" s="423"/>
      <c r="R22" s="411"/>
      <c r="S22" s="423"/>
      <c r="T22" s="411"/>
      <c r="U22" s="423"/>
      <c r="V22" s="411"/>
      <c r="W22" s="423"/>
      <c r="X22" s="411"/>
      <c r="Y22" s="423"/>
      <c r="Z22" s="411"/>
      <c r="AA22" s="151"/>
    </row>
    <row r="23" spans="1:27" x14ac:dyDescent="0.35">
      <c r="A23" s="151"/>
      <c r="B23" s="22" t="str">
        <f>+Balance!B28</f>
        <v>Propiedad planta y equipo</v>
      </c>
      <c r="C23" s="3">
        <f>+Variables!D25</f>
        <v>1074606233</v>
      </c>
      <c r="D23" s="3">
        <f>+Variables!E25</f>
        <v>1036684240</v>
      </c>
      <c r="E23" s="3">
        <f>+Variables!F25</f>
        <v>1295328147</v>
      </c>
      <c r="F23" s="3">
        <f>+Variables!G25</f>
        <v>2412680315</v>
      </c>
      <c r="G23" s="3">
        <f>+Variables!H25</f>
        <v>2265163716</v>
      </c>
      <c r="H23" s="3">
        <f>+Variables!I25</f>
        <v>2115137813</v>
      </c>
      <c r="I23" s="3">
        <f>+Balance!I28</f>
        <v>3967953.38</v>
      </c>
      <c r="J23" s="411">
        <f t="shared" ref="J23:J27" si="18">+C23/C$29</f>
        <v>0.3299329541962272</v>
      </c>
      <c r="K23" s="411">
        <f t="shared" ref="K23:K27" si="19">+D23/D$29</f>
        <v>0.21100695533961053</v>
      </c>
      <c r="L23" s="411">
        <f t="shared" ref="L23:L27" si="20">+E23/E$29</f>
        <v>0.22671117227939547</v>
      </c>
      <c r="M23" s="411">
        <f t="shared" ref="M23:M27" si="21">+F23/F$29</f>
        <v>0.24622218381563418</v>
      </c>
      <c r="N23" s="411">
        <f t="shared" ref="N23:N27" si="22">+G23/G$29</f>
        <v>0.22088112200713941</v>
      </c>
      <c r="O23" s="411">
        <f t="shared" ref="O23:P27" si="23">+H23/H$29</f>
        <v>0.17883773611881684</v>
      </c>
      <c r="P23" s="411">
        <f t="shared" si="23"/>
        <v>0.40051888436729915</v>
      </c>
      <c r="Q23" s="423">
        <f>+D23-C23</f>
        <v>-37921993</v>
      </c>
      <c r="R23" s="411">
        <f>IFERROR(Q23/C23,"N/A")</f>
        <v>-3.5289198811114655E-2</v>
      </c>
      <c r="S23" s="423">
        <f>+E23-D23</f>
        <v>258643907</v>
      </c>
      <c r="T23" s="411">
        <f>IFERROR(S23/D23,"N/A")</f>
        <v>0.24949150090291716</v>
      </c>
      <c r="U23" s="423">
        <f>+F23-E23</f>
        <v>1117352168</v>
      </c>
      <c r="V23" s="411">
        <f>IFERROR(U23/E23,"N/A")</f>
        <v>0.86260162769395921</v>
      </c>
      <c r="W23" s="423">
        <f>+G23-F23</f>
        <v>-147516599</v>
      </c>
      <c r="X23" s="411">
        <f>IFERROR(W23/F23,"N/A")</f>
        <v>-6.1142206898637544E-2</v>
      </c>
      <c r="Y23" s="423">
        <f>+H23-G23</f>
        <v>-150025903</v>
      </c>
      <c r="Z23" s="411">
        <f>IFERROR(Y23/G23,"N/A")</f>
        <v>-6.6231814477819409E-2</v>
      </c>
      <c r="AA23" s="151"/>
    </row>
    <row r="24" spans="1:27" x14ac:dyDescent="0.35">
      <c r="A24" s="151"/>
      <c r="B24" s="22" t="str">
        <f>+Balance!B29</f>
        <v>Intangibles</v>
      </c>
      <c r="C24" s="3">
        <f>+Variables!D26</f>
        <v>620429945</v>
      </c>
      <c r="D24" s="3">
        <f>+Variables!E26</f>
        <v>801357514</v>
      </c>
      <c r="E24" s="3">
        <f>+Variables!F26</f>
        <v>983070179</v>
      </c>
      <c r="F24" s="3">
        <f>+Variables!G26</f>
        <v>1992726743</v>
      </c>
      <c r="G24" s="3">
        <f>+Variables!H26</f>
        <v>2365985857</v>
      </c>
      <c r="H24" s="3">
        <f>+Variables!I26</f>
        <v>2643451039</v>
      </c>
      <c r="I24" s="3">
        <f>+Balance!I29</f>
        <v>3736497.33</v>
      </c>
      <c r="J24" s="411">
        <f t="shared" si="18"/>
        <v>0.19048864443507538</v>
      </c>
      <c r="K24" s="411">
        <f t="shared" si="19"/>
        <v>0.16310849788519918</v>
      </c>
      <c r="L24" s="411">
        <f t="shared" si="20"/>
        <v>0.17205909809817879</v>
      </c>
      <c r="M24" s="411">
        <f t="shared" si="21"/>
        <v>0.20336450186077637</v>
      </c>
      <c r="N24" s="411">
        <f t="shared" si="22"/>
        <v>0.23071251188414468</v>
      </c>
      <c r="O24" s="411">
        <f t="shared" si="23"/>
        <v>0.22350732725314587</v>
      </c>
      <c r="P24" s="411">
        <f t="shared" si="23"/>
        <v>0.37715607990661221</v>
      </c>
      <c r="Q24" s="423">
        <f>+D24-C24</f>
        <v>180927569</v>
      </c>
      <c r="R24" s="411">
        <f>IFERROR(Q24/C24,"N/A")</f>
        <v>0.29161643543817023</v>
      </c>
      <c r="S24" s="423">
        <f>+E24-D24</f>
        <v>181712665</v>
      </c>
      <c r="T24" s="411">
        <f>IFERROR(S24/D24,"N/A")</f>
        <v>0.22675605060839299</v>
      </c>
      <c r="U24" s="423">
        <f>+F24-E24</f>
        <v>1009656564</v>
      </c>
      <c r="V24" s="411">
        <f>IFERROR(U24/E24,"N/A")</f>
        <v>1.0270442391275099</v>
      </c>
      <c r="W24" s="423">
        <f>+G24-F24</f>
        <v>373259114</v>
      </c>
      <c r="X24" s="411">
        <f>IFERROR(W24/F24,"N/A")</f>
        <v>0.18731073656294078</v>
      </c>
      <c r="Y24" s="423">
        <f>+H24-G24</f>
        <v>277465182</v>
      </c>
      <c r="Z24" s="411">
        <f>IFERROR(Y24/G24,"N/A")</f>
        <v>0.117272544626204</v>
      </c>
      <c r="AA24" s="151"/>
    </row>
    <row r="25" spans="1:27" x14ac:dyDescent="0.35">
      <c r="A25" s="151"/>
      <c r="B25" s="22" t="str">
        <f>+Balance!B30</f>
        <v>Inversiones permanentes</v>
      </c>
      <c r="C25" s="3">
        <f>+Variables!D27</f>
        <v>0</v>
      </c>
      <c r="D25" s="3">
        <f>+Variables!E27</f>
        <v>0</v>
      </c>
      <c r="E25" s="3">
        <f>+Variables!F27</f>
        <v>0</v>
      </c>
      <c r="F25" s="3">
        <f>+Variables!G27</f>
        <v>0</v>
      </c>
      <c r="G25" s="3">
        <f>+Variables!H27</f>
        <v>0</v>
      </c>
      <c r="H25" s="3">
        <f>+Variables!I27</f>
        <v>0</v>
      </c>
      <c r="I25" s="3">
        <f>+Balance!I30</f>
        <v>403402.77</v>
      </c>
      <c r="J25" s="411">
        <f t="shared" si="18"/>
        <v>0</v>
      </c>
      <c r="K25" s="411">
        <f t="shared" si="19"/>
        <v>0</v>
      </c>
      <c r="L25" s="411">
        <f t="shared" si="20"/>
        <v>0</v>
      </c>
      <c r="M25" s="411">
        <f t="shared" si="21"/>
        <v>0</v>
      </c>
      <c r="N25" s="411">
        <f t="shared" si="22"/>
        <v>0</v>
      </c>
      <c r="O25" s="411">
        <f t="shared" si="23"/>
        <v>0</v>
      </c>
      <c r="P25" s="411">
        <f t="shared" si="23"/>
        <v>4.0718832082416799E-2</v>
      </c>
      <c r="Q25" s="423">
        <f>+D25-C25</f>
        <v>0</v>
      </c>
      <c r="R25" s="411" t="str">
        <f>IFERROR(Q25/C25,"N/A")</f>
        <v>N/A</v>
      </c>
      <c r="S25" s="423">
        <f>+E25-D25</f>
        <v>0</v>
      </c>
      <c r="T25" s="411" t="str">
        <f>IFERROR(S25/D25,"N/A")</f>
        <v>N/A</v>
      </c>
      <c r="U25" s="423">
        <f>+F25-E25</f>
        <v>0</v>
      </c>
      <c r="V25" s="411" t="str">
        <f>IFERROR(U25/E25,"N/A")</f>
        <v>N/A</v>
      </c>
      <c r="W25" s="423">
        <f>+G25-F25</f>
        <v>0</v>
      </c>
      <c r="X25" s="411" t="str">
        <f>IFERROR(W25/F25,"N/A")</f>
        <v>N/A</v>
      </c>
      <c r="Y25" s="423">
        <f>+H25-G25</f>
        <v>0</v>
      </c>
      <c r="Z25" s="411" t="str">
        <f>IFERROR(Y25/G25,"N/A")</f>
        <v>N/A</v>
      </c>
      <c r="AA25" s="151"/>
    </row>
    <row r="26" spans="1:27" x14ac:dyDescent="0.35">
      <c r="A26" s="151"/>
      <c r="B26" s="22" t="str">
        <f>+Balance!B31</f>
        <v>Valorizaciones</v>
      </c>
      <c r="C26" s="3">
        <f>+Variables!D28</f>
        <v>1562008077</v>
      </c>
      <c r="D26" s="3">
        <f>+Variables!E28</f>
        <v>1562008077.5</v>
      </c>
      <c r="E26" s="3">
        <f>+Variables!F28</f>
        <v>1562008077.5</v>
      </c>
      <c r="F26" s="3">
        <f>+Variables!G28</f>
        <v>1562008077.5</v>
      </c>
      <c r="G26" s="3">
        <f>+Variables!H28</f>
        <v>1562008078</v>
      </c>
      <c r="H26" s="3">
        <f>+Variables!I28</f>
        <v>1562008078</v>
      </c>
      <c r="I26" s="3">
        <f>+Balance!I31</f>
        <v>0</v>
      </c>
      <c r="J26" s="411">
        <f t="shared" si="18"/>
        <v>0.47957840136869739</v>
      </c>
      <c r="K26" s="411">
        <f t="shared" si="19"/>
        <v>0.31793149344023347</v>
      </c>
      <c r="L26" s="411">
        <f t="shared" si="20"/>
        <v>0.27338607840806056</v>
      </c>
      <c r="M26" s="411">
        <f t="shared" si="21"/>
        <v>0.15940820571568776</v>
      </c>
      <c r="N26" s="411">
        <f t="shared" si="22"/>
        <v>0.15231486113600423</v>
      </c>
      <c r="O26" s="411">
        <f t="shared" si="23"/>
        <v>0.13206987589740768</v>
      </c>
      <c r="P26" s="411">
        <f t="shared" si="23"/>
        <v>0</v>
      </c>
      <c r="Q26" s="423">
        <f>+D26-C26</f>
        <v>0.5</v>
      </c>
      <c r="R26" s="411">
        <f>IFERROR(Q26/C26,"N/A")</f>
        <v>3.2010077755827121E-10</v>
      </c>
      <c r="S26" s="423">
        <f>+E26-D26</f>
        <v>0</v>
      </c>
      <c r="T26" s="411">
        <f>IFERROR(S26/D26,"N/A")</f>
        <v>0</v>
      </c>
      <c r="U26" s="423">
        <f>+F26-E26</f>
        <v>0</v>
      </c>
      <c r="V26" s="411">
        <f>IFERROR(U26/E26,"N/A")</f>
        <v>0</v>
      </c>
      <c r="W26" s="423">
        <f>+G26-F26</f>
        <v>0.5</v>
      </c>
      <c r="X26" s="411">
        <f>IFERROR(W26/F26,"N/A")</f>
        <v>3.201007774558067E-10</v>
      </c>
      <c r="Y26" s="423">
        <f>+H26-G26</f>
        <v>0</v>
      </c>
      <c r="Z26" s="411">
        <f>IFERROR(Y26/G26,"N/A")</f>
        <v>0</v>
      </c>
      <c r="AA26" s="151"/>
    </row>
    <row r="27" spans="1:27" x14ac:dyDescent="0.35">
      <c r="A27" s="151"/>
      <c r="B27" s="22" t="s">
        <v>88</v>
      </c>
      <c r="C27" s="3">
        <f>+Variables!D29</f>
        <v>0</v>
      </c>
      <c r="D27" s="3">
        <f>+Variables!E29</f>
        <v>1512983667</v>
      </c>
      <c r="E27" s="3">
        <f>+Variables!F29</f>
        <v>1873154750</v>
      </c>
      <c r="F27" s="3">
        <f>+Variables!G29</f>
        <v>3831378286</v>
      </c>
      <c r="G27" s="3">
        <f>+Variables!H29</f>
        <v>4061968253</v>
      </c>
      <c r="H27" s="3">
        <f>+Variables!I29</f>
        <v>5506536755</v>
      </c>
      <c r="I27" s="3">
        <f>+Balance!I32</f>
        <v>1799178.46</v>
      </c>
      <c r="J27" s="411">
        <f t="shared" si="18"/>
        <v>0</v>
      </c>
      <c r="K27" s="411">
        <f t="shared" si="19"/>
        <v>0.30795305333495682</v>
      </c>
      <c r="L27" s="411">
        <f t="shared" si="20"/>
        <v>0.32784365121436521</v>
      </c>
      <c r="M27" s="411">
        <f t="shared" si="21"/>
        <v>0.39100510860790166</v>
      </c>
      <c r="N27" s="411">
        <f t="shared" si="22"/>
        <v>0.39609150497271167</v>
      </c>
      <c r="O27" s="411">
        <f t="shared" si="23"/>
        <v>0.46558506073062961</v>
      </c>
      <c r="P27" s="411">
        <f t="shared" si="23"/>
        <v>0.18160620364367169</v>
      </c>
      <c r="Q27" s="423">
        <f>+D27-C27</f>
        <v>1512983667</v>
      </c>
      <c r="R27" s="411" t="str">
        <f>IFERROR(Q27/C27,"N/A")</f>
        <v>N/A</v>
      </c>
      <c r="S27" s="423">
        <f>+E27-D27</f>
        <v>360171083</v>
      </c>
      <c r="T27" s="411">
        <f>IFERROR(S27/D27,"N/A")</f>
        <v>0.23805351693859364</v>
      </c>
      <c r="U27" s="423">
        <f>+F27-E27</f>
        <v>1958223536</v>
      </c>
      <c r="V27" s="411">
        <f>IFERROR(U27/E27,"N/A")</f>
        <v>1.045414713333215</v>
      </c>
      <c r="W27" s="423">
        <f>+G27-F27</f>
        <v>230589967</v>
      </c>
      <c r="X27" s="411">
        <f>IFERROR(W27/F27,"N/A")</f>
        <v>6.01845993235866E-2</v>
      </c>
      <c r="Y27" s="423">
        <f>+H27-G27</f>
        <v>1444568502</v>
      </c>
      <c r="Z27" s="411">
        <f>IFERROR(Y27/G27,"N/A")</f>
        <v>0.35563264211459605</v>
      </c>
      <c r="AA27" s="151"/>
    </row>
    <row r="28" spans="1:27" x14ac:dyDescent="0.35">
      <c r="A28" s="151"/>
      <c r="B28" s="22"/>
      <c r="C28" s="3"/>
      <c r="D28" s="3"/>
      <c r="E28" s="3"/>
      <c r="F28" s="3"/>
      <c r="G28" s="3"/>
      <c r="H28" s="3"/>
      <c r="I28" s="3"/>
      <c r="J28" s="40"/>
      <c r="K28" s="40"/>
      <c r="L28" s="40"/>
      <c r="M28" s="40"/>
      <c r="N28" s="40"/>
      <c r="O28" s="40"/>
      <c r="P28" s="40"/>
      <c r="Q28" s="40"/>
      <c r="R28" s="40"/>
      <c r="S28" s="40"/>
      <c r="T28" s="40"/>
      <c r="U28" s="40"/>
      <c r="V28" s="40"/>
      <c r="W28" s="40"/>
      <c r="X28" s="40"/>
      <c r="Y28" s="40"/>
      <c r="Z28" s="40"/>
      <c r="AA28" s="151"/>
    </row>
    <row r="29" spans="1:27" x14ac:dyDescent="0.35">
      <c r="A29" s="151"/>
      <c r="B29" s="23" t="s">
        <v>181</v>
      </c>
      <c r="C29" s="5">
        <f>SUM(C23:C28)</f>
        <v>3257044255</v>
      </c>
      <c r="D29" s="5">
        <f t="shared" ref="D29:I29" si="24">SUM(D23:D28)</f>
        <v>4913033498.5</v>
      </c>
      <c r="E29" s="5">
        <f t="shared" si="24"/>
        <v>5713561153.5</v>
      </c>
      <c r="F29" s="5">
        <f t="shared" si="24"/>
        <v>9798793421.5</v>
      </c>
      <c r="G29" s="5">
        <f t="shared" si="24"/>
        <v>10255125904</v>
      </c>
      <c r="H29" s="5">
        <f t="shared" si="24"/>
        <v>11827133685</v>
      </c>
      <c r="I29" s="5">
        <f t="shared" si="24"/>
        <v>9907031.9400000013</v>
      </c>
      <c r="J29" s="412">
        <f t="shared" ref="J29:P29" si="25">+C29/C$31</f>
        <v>0.36361918865578385</v>
      </c>
      <c r="K29" s="412">
        <f t="shared" si="25"/>
        <v>0.46663736670650485</v>
      </c>
      <c r="L29" s="412">
        <f t="shared" si="25"/>
        <v>0.40126119352562756</v>
      </c>
      <c r="M29" s="412">
        <f t="shared" si="25"/>
        <v>0.53178200382460961</v>
      </c>
      <c r="N29" s="412">
        <f t="shared" si="25"/>
        <v>0.51519399429034041</v>
      </c>
      <c r="O29" s="412">
        <f t="shared" si="25"/>
        <v>0.44585835099971571</v>
      </c>
      <c r="P29" s="412">
        <f t="shared" si="25"/>
        <v>0.63147041014155825</v>
      </c>
      <c r="Q29" s="425">
        <f t="shared" ref="Q29" si="26">+D29-C29</f>
        <v>1655989243.5</v>
      </c>
      <c r="R29" s="412">
        <f t="shared" ref="R29:R31" si="27">IFERROR(Q29/C29,"N/A")</f>
        <v>0.50843314178425247</v>
      </c>
      <c r="S29" s="425">
        <f>+E29-D29</f>
        <v>800527655</v>
      </c>
      <c r="T29" s="412">
        <f>IFERROR(S29/D29,"N/A")</f>
        <v>0.16293958818811421</v>
      </c>
      <c r="U29" s="425">
        <f>+F29-E29</f>
        <v>4085232268</v>
      </c>
      <c r="V29" s="412">
        <f>IFERROR(U29/E29,"N/A")</f>
        <v>0.71500630836820189</v>
      </c>
      <c r="W29" s="425">
        <f>+G29-F29</f>
        <v>456332482.5</v>
      </c>
      <c r="X29" s="412">
        <f>IFERROR(W29/F29,"N/A")</f>
        <v>4.6570272774476409E-2</v>
      </c>
      <c r="Y29" s="425">
        <f>+H29-G29</f>
        <v>1572007781</v>
      </c>
      <c r="Z29" s="412">
        <f>IFERROR(Y29/G29,"N/A")</f>
        <v>0.15328995428391964</v>
      </c>
      <c r="AA29" s="152"/>
    </row>
    <row r="30" spans="1:27" x14ac:dyDescent="0.35">
      <c r="A30" s="151"/>
      <c r="B30" s="22"/>
      <c r="C30" s="3"/>
      <c r="D30" s="3"/>
      <c r="E30" s="3"/>
      <c r="F30" s="3"/>
      <c r="G30" s="3"/>
      <c r="H30" s="3"/>
      <c r="I30" s="3"/>
      <c r="J30" s="40"/>
      <c r="K30" s="40"/>
      <c r="L30" s="40"/>
      <c r="M30" s="40"/>
      <c r="N30" s="40"/>
      <c r="O30" s="40"/>
      <c r="P30" s="40"/>
      <c r="Q30" s="40"/>
      <c r="R30" s="40"/>
      <c r="S30" s="40"/>
      <c r="T30" s="40"/>
      <c r="U30" s="40"/>
      <c r="V30" s="40"/>
      <c r="W30" s="40"/>
      <c r="X30" s="40"/>
      <c r="Y30" s="40"/>
      <c r="Z30" s="40"/>
      <c r="AA30" s="152"/>
    </row>
    <row r="31" spans="1:27" x14ac:dyDescent="0.35">
      <c r="A31" s="151"/>
      <c r="B31" s="43" t="s">
        <v>182</v>
      </c>
      <c r="C31" s="44">
        <f>C13+C29</f>
        <v>8957294765</v>
      </c>
      <c r="D31" s="44">
        <f>D13+D29</f>
        <v>10528589969.5</v>
      </c>
      <c r="E31" s="44">
        <f t="shared" ref="E31:I31" si="28">E13+E29</f>
        <v>14239007523.5</v>
      </c>
      <c r="F31" s="44">
        <f t="shared" si="28"/>
        <v>18426335135.5</v>
      </c>
      <c r="G31" s="44">
        <f t="shared" si="28"/>
        <v>19905367721</v>
      </c>
      <c r="H31" s="44">
        <f t="shared" si="28"/>
        <v>26526661794</v>
      </c>
      <c r="I31" s="44">
        <f t="shared" si="28"/>
        <v>15688830.040000003</v>
      </c>
      <c r="J31" s="413">
        <f>+J29+J13</f>
        <v>1</v>
      </c>
      <c r="K31" s="413">
        <f t="shared" ref="K31:O31" si="29">+K29+K13</f>
        <v>1</v>
      </c>
      <c r="L31" s="413">
        <f t="shared" si="29"/>
        <v>1</v>
      </c>
      <c r="M31" s="413">
        <f t="shared" si="29"/>
        <v>1</v>
      </c>
      <c r="N31" s="413">
        <f t="shared" si="29"/>
        <v>1</v>
      </c>
      <c r="O31" s="413">
        <f t="shared" si="29"/>
        <v>1</v>
      </c>
      <c r="P31" s="413">
        <f t="shared" ref="P31" si="30">+P29+P13</f>
        <v>1</v>
      </c>
      <c r="Q31" s="426">
        <f t="shared" ref="Q31" si="31">+D31-C31</f>
        <v>1571295204.5</v>
      </c>
      <c r="R31" s="413">
        <f t="shared" si="27"/>
        <v>0.17542073200937025</v>
      </c>
      <c r="S31" s="426">
        <f>+E31-D31</f>
        <v>3710417554</v>
      </c>
      <c r="T31" s="413">
        <f>IFERROR(S31/D31,"N/A")</f>
        <v>0.35241352970802481</v>
      </c>
      <c r="U31" s="426">
        <f>+F31-E31</f>
        <v>4187327612</v>
      </c>
      <c r="V31" s="413">
        <f>IFERROR(U31/E31,"N/A")</f>
        <v>0.2940744012593049</v>
      </c>
      <c r="W31" s="426">
        <f>+G31-F31</f>
        <v>1479032585.5</v>
      </c>
      <c r="X31" s="413">
        <f>IFERROR(W31/F31,"N/A")</f>
        <v>8.0267322537215233E-2</v>
      </c>
      <c r="Y31" s="426">
        <f>+H31-G31</f>
        <v>6621294073</v>
      </c>
      <c r="Z31" s="413">
        <f>IFERROR(Y31/G31,"N/A")</f>
        <v>0.33263862119033294</v>
      </c>
      <c r="AA31" s="441">
        <f>(H31/C31)^(1/5)-1</f>
        <v>0.24251358801662937</v>
      </c>
    </row>
    <row r="32" spans="1:27" x14ac:dyDescent="0.35">
      <c r="A32" s="151"/>
      <c r="B32" s="24"/>
      <c r="C32" s="3"/>
      <c r="D32" s="3"/>
      <c r="E32" s="3"/>
      <c r="F32" s="3"/>
      <c r="G32" s="3"/>
      <c r="H32" s="3"/>
      <c r="I32" s="3"/>
      <c r="J32" s="40"/>
      <c r="K32" s="40"/>
      <c r="L32" s="40"/>
      <c r="M32" s="40"/>
      <c r="N32" s="40"/>
      <c r="O32" s="40"/>
      <c r="P32" s="40"/>
      <c r="Q32" s="40"/>
      <c r="R32" s="40"/>
      <c r="S32" s="40"/>
      <c r="T32" s="40"/>
      <c r="U32" s="40"/>
      <c r="V32" s="40"/>
      <c r="W32" s="40"/>
      <c r="X32" s="40"/>
      <c r="Y32" s="40"/>
      <c r="Z32" s="40"/>
      <c r="AA32" s="151"/>
    </row>
    <row r="33" spans="1:27" x14ac:dyDescent="0.35">
      <c r="A33" s="151"/>
      <c r="B33" s="41" t="s">
        <v>183</v>
      </c>
      <c r="C33" s="42"/>
      <c r="D33" s="42"/>
      <c r="E33" s="42"/>
      <c r="F33" s="42"/>
      <c r="G33" s="42"/>
      <c r="H33" s="42"/>
      <c r="I33" s="42"/>
      <c r="J33" s="414"/>
      <c r="K33" s="414"/>
      <c r="L33" s="414"/>
      <c r="M33" s="414"/>
      <c r="N33" s="414"/>
      <c r="O33" s="414"/>
      <c r="P33" s="414"/>
      <c r="Q33" s="414"/>
      <c r="R33" s="414"/>
      <c r="S33" s="414"/>
      <c r="T33" s="414"/>
      <c r="U33" s="414"/>
      <c r="V33" s="414"/>
      <c r="W33" s="414"/>
      <c r="X33" s="414"/>
      <c r="Y33" s="414"/>
      <c r="Z33" s="414"/>
      <c r="AA33" s="151"/>
    </row>
    <row r="34" spans="1:27" x14ac:dyDescent="0.35">
      <c r="A34" s="151"/>
      <c r="B34" s="22" t="str">
        <f>+Balance!B41</f>
        <v>Obligaciones financieras corto plazo</v>
      </c>
      <c r="C34" s="3">
        <f>+Variables!D32</f>
        <v>648007781.69999993</v>
      </c>
      <c r="D34" s="3">
        <f>+Variables!E32</f>
        <v>962289205.79999995</v>
      </c>
      <c r="E34" s="3">
        <f>+Variables!F32</f>
        <v>1020512059.1999999</v>
      </c>
      <c r="F34" s="3">
        <f>+Variables!G32</f>
        <v>1500739095.5999999</v>
      </c>
      <c r="G34" s="3">
        <f>+Variables!H32</f>
        <v>1708600917.8999999</v>
      </c>
      <c r="H34" s="3">
        <f>+Variables!I32</f>
        <v>2153595665.4000001</v>
      </c>
      <c r="I34" s="3">
        <f>+Balance!I41</f>
        <v>757726.87</v>
      </c>
      <c r="J34" s="411">
        <f t="shared" ref="J34:P34" si="32">+C34/C$41</f>
        <v>0.22740867849476959</v>
      </c>
      <c r="K34" s="411">
        <f t="shared" si="32"/>
        <v>0.31492974566510962</v>
      </c>
      <c r="L34" s="411">
        <f t="shared" si="32"/>
        <v>0.25454813650485608</v>
      </c>
      <c r="M34" s="411">
        <f t="shared" si="32"/>
        <v>0.23174546804761964</v>
      </c>
      <c r="N34" s="411">
        <f t="shared" si="32"/>
        <v>0.24278203036544976</v>
      </c>
      <c r="O34" s="411">
        <f t="shared" si="32"/>
        <v>0.18734797914305562</v>
      </c>
      <c r="P34" s="411">
        <f t="shared" si="32"/>
        <v>0.20461016945015109</v>
      </c>
      <c r="Q34" s="423">
        <f t="shared" ref="Q34:Q39" si="33">+D34-C34</f>
        <v>314281424.10000002</v>
      </c>
      <c r="R34" s="411">
        <f t="shared" ref="R34:R39" si="34">IFERROR(Q34/C34,"N/A")</f>
        <v>0.48499637346253194</v>
      </c>
      <c r="S34" s="423">
        <f t="shared" ref="S34:S39" si="35">+E34-D34</f>
        <v>58222853.399999976</v>
      </c>
      <c r="T34" s="411">
        <f t="shared" ref="T34:T39" si="36">IFERROR(S34/D34,"N/A")</f>
        <v>6.0504527172365354E-2</v>
      </c>
      <c r="U34" s="423">
        <f t="shared" ref="U34:U39" si="37">+F34-E34</f>
        <v>480227036.39999998</v>
      </c>
      <c r="V34" s="411">
        <f t="shared" ref="V34:V39" si="38">IFERROR(U34/E34,"N/A")</f>
        <v>0.47057458270160929</v>
      </c>
      <c r="W34" s="423">
        <f t="shared" ref="W34:W39" si="39">+G34-F34</f>
        <v>207861822.29999995</v>
      </c>
      <c r="X34" s="411">
        <f t="shared" ref="X34:X39" si="40">IFERROR(W34/F34,"N/A")</f>
        <v>0.1385063019344453</v>
      </c>
      <c r="Y34" s="423">
        <f t="shared" ref="Y34:Y39" si="41">+H34-G34</f>
        <v>444994747.50000024</v>
      </c>
      <c r="Z34" s="411">
        <f t="shared" ref="Z34:Z39" si="42">IFERROR(Y34/G34,"N/A")</f>
        <v>0.26044393564234564</v>
      </c>
      <c r="AA34" s="151"/>
    </row>
    <row r="35" spans="1:27" x14ac:dyDescent="0.35">
      <c r="A35" s="151"/>
      <c r="B35" s="22" t="str">
        <f>+Balance!B42</f>
        <v>Proveedores</v>
      </c>
      <c r="C35" s="3">
        <f>+Variables!D33</f>
        <v>288540127</v>
      </c>
      <c r="D35" s="3">
        <f>+Variables!E33</f>
        <v>455015983</v>
      </c>
      <c r="E35" s="3">
        <f>+Variables!F33</f>
        <v>232757746</v>
      </c>
      <c r="F35" s="3">
        <f>+Variables!G33</f>
        <v>714066403</v>
      </c>
      <c r="G35" s="3">
        <f>+Variables!H33</f>
        <v>928720815</v>
      </c>
      <c r="H35" s="3">
        <f>+Variables!I33</f>
        <v>2093105985</v>
      </c>
      <c r="I35" s="3">
        <f>+Balance!I42</f>
        <v>1924833</v>
      </c>
      <c r="J35" s="411">
        <f t="shared" ref="J35:J39" si="43">+C35/C$41</f>
        <v>0.10125885957980772</v>
      </c>
      <c r="K35" s="411">
        <f t="shared" ref="K35:P39" si="44">+D35/D$41</f>
        <v>0.1489137225441689</v>
      </c>
      <c r="L35" s="411">
        <f t="shared" si="44"/>
        <v>5.805717822464182E-2</v>
      </c>
      <c r="M35" s="411">
        <f t="shared" si="44"/>
        <v>0.11026677006382321</v>
      </c>
      <c r="N35" s="411">
        <f t="shared" si="44"/>
        <v>0.13196570524232379</v>
      </c>
      <c r="O35" s="411">
        <f t="shared" si="44"/>
        <v>0.18208579387586693</v>
      </c>
      <c r="P35" s="411">
        <f t="shared" si="44"/>
        <v>0.51976565948260833</v>
      </c>
      <c r="Q35" s="423">
        <f t="shared" si="33"/>
        <v>166475856</v>
      </c>
      <c r="R35" s="411">
        <f t="shared" si="34"/>
        <v>0.57695911390515187</v>
      </c>
      <c r="S35" s="423">
        <f t="shared" si="35"/>
        <v>-222258237</v>
      </c>
      <c r="T35" s="411">
        <f t="shared" si="36"/>
        <v>-0.48846248330577874</v>
      </c>
      <c r="U35" s="423">
        <f t="shared" si="37"/>
        <v>481308657</v>
      </c>
      <c r="V35" s="411">
        <f t="shared" si="38"/>
        <v>2.0678523712804813</v>
      </c>
      <c r="W35" s="423">
        <f t="shared" si="39"/>
        <v>214654412</v>
      </c>
      <c r="X35" s="411">
        <f t="shared" si="40"/>
        <v>0.30060847436341293</v>
      </c>
      <c r="Y35" s="423">
        <f t="shared" si="41"/>
        <v>1164385170</v>
      </c>
      <c r="Z35" s="411">
        <f t="shared" si="42"/>
        <v>1.2537515593424058</v>
      </c>
      <c r="AA35" s="151"/>
    </row>
    <row r="36" spans="1:27" x14ac:dyDescent="0.35">
      <c r="A36" s="151"/>
      <c r="B36" s="22" t="str">
        <f>+Balance!B43</f>
        <v>Cuentas y gastos por pagar</v>
      </c>
      <c r="C36" s="3">
        <f>+Variables!D34</f>
        <v>971008853</v>
      </c>
      <c r="D36" s="3">
        <f>+Variables!E34</f>
        <v>547278396</v>
      </c>
      <c r="E36" s="3">
        <f>+Variables!F34</f>
        <v>816276118</v>
      </c>
      <c r="F36" s="3">
        <f>+Variables!G34</f>
        <v>1883471851</v>
      </c>
      <c r="G36" s="3">
        <f>+Variables!H34</f>
        <v>1884210580</v>
      </c>
      <c r="H36" s="3">
        <f>+Variables!I34</f>
        <v>2531480554</v>
      </c>
      <c r="I36" s="3">
        <f>+Balance!I43</f>
        <v>0</v>
      </c>
      <c r="J36" s="411">
        <f t="shared" si="43"/>
        <v>0.34076109315872433</v>
      </c>
      <c r="K36" s="411">
        <f t="shared" si="44"/>
        <v>0.17910857258032142</v>
      </c>
      <c r="L36" s="411">
        <f t="shared" si="44"/>
        <v>0.20360520273832156</v>
      </c>
      <c r="M36" s="411">
        <f t="shared" si="44"/>
        <v>0.29084740108673129</v>
      </c>
      <c r="N36" s="411">
        <f t="shared" si="44"/>
        <v>0.26773511910007958</v>
      </c>
      <c r="O36" s="411">
        <f t="shared" si="44"/>
        <v>0.22022135986411093</v>
      </c>
      <c r="P36" s="411">
        <f t="shared" si="44"/>
        <v>0</v>
      </c>
      <c r="Q36" s="423">
        <f t="shared" si="33"/>
        <v>-423730457</v>
      </c>
      <c r="R36" s="411">
        <f t="shared" si="34"/>
        <v>-0.43638166190849342</v>
      </c>
      <c r="S36" s="423">
        <f t="shared" si="35"/>
        <v>268997722</v>
      </c>
      <c r="T36" s="411">
        <f t="shared" si="36"/>
        <v>0.49151898552194995</v>
      </c>
      <c r="U36" s="423">
        <f t="shared" si="37"/>
        <v>1067195733</v>
      </c>
      <c r="V36" s="411">
        <f t="shared" si="38"/>
        <v>1.3073955117231544</v>
      </c>
      <c r="W36" s="423">
        <f t="shared" si="39"/>
        <v>738729</v>
      </c>
      <c r="X36" s="411">
        <f t="shared" si="40"/>
        <v>3.9221663950421312E-4</v>
      </c>
      <c r="Y36" s="423">
        <f t="shared" si="41"/>
        <v>647269974</v>
      </c>
      <c r="Z36" s="411">
        <f t="shared" si="42"/>
        <v>0.34352316077112782</v>
      </c>
      <c r="AA36" s="151"/>
    </row>
    <row r="37" spans="1:27" x14ac:dyDescent="0.35">
      <c r="A37" s="151"/>
      <c r="B37" s="22" t="str">
        <f>+Balance!B44</f>
        <v>Impuestos, gravámenes y tasas</v>
      </c>
      <c r="C37" s="3">
        <f>+Variables!D35+C82</f>
        <v>496896427.78666627</v>
      </c>
      <c r="D37" s="3">
        <f>+Variables!E35+D82</f>
        <v>633365626</v>
      </c>
      <c r="E37" s="3">
        <f>+Variables!F35+E82</f>
        <v>1205288567</v>
      </c>
      <c r="F37" s="3">
        <f>+Variables!G35+F82</f>
        <v>1672077608</v>
      </c>
      <c r="G37" s="3">
        <f>+Variables!H35+G82</f>
        <v>1642022971.2695022</v>
      </c>
      <c r="H37" s="3">
        <f>+Variables!I35+H82</f>
        <v>3529110698.0247908</v>
      </c>
      <c r="I37" s="3">
        <f>+Balance!I44</f>
        <v>378277.73</v>
      </c>
      <c r="J37" s="411">
        <f t="shared" si="43"/>
        <v>0.17437839973972877</v>
      </c>
      <c r="K37" s="411">
        <f t="shared" si="44"/>
        <v>0.20728246176613505</v>
      </c>
      <c r="L37" s="411">
        <f t="shared" si="44"/>
        <v>0.30063726921656192</v>
      </c>
      <c r="M37" s="411">
        <f t="shared" si="44"/>
        <v>0.25820371376610407</v>
      </c>
      <c r="N37" s="411">
        <f t="shared" si="44"/>
        <v>0.23332170005005845</v>
      </c>
      <c r="O37" s="411">
        <f t="shared" si="44"/>
        <v>0.30700830618744751</v>
      </c>
      <c r="P37" s="411">
        <f t="shared" si="44"/>
        <v>0.10214692588969228</v>
      </c>
      <c r="Q37" s="423">
        <f t="shared" si="33"/>
        <v>136469198.21333373</v>
      </c>
      <c r="R37" s="411">
        <f t="shared" si="34"/>
        <v>0.27464314610030638</v>
      </c>
      <c r="S37" s="423">
        <f t="shared" si="35"/>
        <v>571922941</v>
      </c>
      <c r="T37" s="411">
        <f t="shared" si="36"/>
        <v>0.9029901805880447</v>
      </c>
      <c r="U37" s="423">
        <f t="shared" si="37"/>
        <v>466789041</v>
      </c>
      <c r="V37" s="411">
        <f t="shared" si="38"/>
        <v>0.38728405278235745</v>
      </c>
      <c r="W37" s="423">
        <f t="shared" si="39"/>
        <v>-30054636.730497837</v>
      </c>
      <c r="X37" s="411">
        <f t="shared" si="40"/>
        <v>-1.797442689663591E-2</v>
      </c>
      <c r="Y37" s="423">
        <f t="shared" si="41"/>
        <v>1887087726.7552886</v>
      </c>
      <c r="Z37" s="411">
        <f t="shared" si="42"/>
        <v>1.1492456316225095</v>
      </c>
      <c r="AA37" s="151"/>
    </row>
    <row r="38" spans="1:27" x14ac:dyDescent="0.35">
      <c r="A38" s="151"/>
      <c r="B38" s="22" t="str">
        <f>+Balance!B45</f>
        <v>Obligaciones laborales</v>
      </c>
      <c r="C38" s="3">
        <f>+Variables!D36</f>
        <v>374527975</v>
      </c>
      <c r="D38" s="3">
        <f>+Variables!E36</f>
        <v>385992891</v>
      </c>
      <c r="E38" s="3">
        <f>+Variables!F36</f>
        <v>616890362</v>
      </c>
      <c r="F38" s="3">
        <f>+Variables!G36</f>
        <v>624717627</v>
      </c>
      <c r="G38" s="3">
        <f>+Variables!H36</f>
        <v>740507708</v>
      </c>
      <c r="H38" s="3">
        <f>+Variables!I36</f>
        <v>844785681</v>
      </c>
      <c r="I38" s="3">
        <f>+Balance!I45</f>
        <v>0</v>
      </c>
      <c r="J38" s="411">
        <f t="shared" si="43"/>
        <v>0.13143501399108601</v>
      </c>
      <c r="K38" s="411">
        <f t="shared" si="44"/>
        <v>0.12632443787012121</v>
      </c>
      <c r="L38" s="411">
        <f t="shared" si="44"/>
        <v>0.15387205928561368</v>
      </c>
      <c r="M38" s="411">
        <f t="shared" si="44"/>
        <v>9.6469452479234316E-2</v>
      </c>
      <c r="N38" s="411">
        <f t="shared" si="44"/>
        <v>0.10522174193285069</v>
      </c>
      <c r="O38" s="411">
        <f t="shared" si="44"/>
        <v>7.3490531526930719E-2</v>
      </c>
      <c r="P38" s="411">
        <f t="shared" si="44"/>
        <v>0</v>
      </c>
      <c r="Q38" s="423">
        <f t="shared" si="33"/>
        <v>11464916</v>
      </c>
      <c r="R38" s="411">
        <f t="shared" si="34"/>
        <v>3.0611641226533211E-2</v>
      </c>
      <c r="S38" s="423">
        <f t="shared" si="35"/>
        <v>230897471</v>
      </c>
      <c r="T38" s="411">
        <f t="shared" si="36"/>
        <v>0.59819099362635675</v>
      </c>
      <c r="U38" s="423">
        <f t="shared" si="37"/>
        <v>7827265</v>
      </c>
      <c r="V38" s="411">
        <f t="shared" si="38"/>
        <v>1.2688259506314024E-2</v>
      </c>
      <c r="W38" s="423">
        <f t="shared" si="39"/>
        <v>115790081</v>
      </c>
      <c r="X38" s="411">
        <f t="shared" si="40"/>
        <v>0.18534786917417972</v>
      </c>
      <c r="Y38" s="423">
        <f t="shared" si="41"/>
        <v>104277973</v>
      </c>
      <c r="Z38" s="411">
        <f t="shared" si="42"/>
        <v>0.1408195645682597</v>
      </c>
      <c r="AA38" s="151"/>
    </row>
    <row r="39" spans="1:27" x14ac:dyDescent="0.35">
      <c r="A39" s="151"/>
      <c r="B39" s="22" t="str">
        <f>+Balance!B46</f>
        <v>Otros pasivos corto plazo</v>
      </c>
      <c r="C39" s="3">
        <f>+Variables!D37</f>
        <v>70548528</v>
      </c>
      <c r="D39" s="3">
        <f>+Variables!E37</f>
        <v>71625748</v>
      </c>
      <c r="E39" s="3">
        <f>+Variables!F37</f>
        <v>117387425</v>
      </c>
      <c r="F39" s="3">
        <f>+Variables!G37</f>
        <v>80735155</v>
      </c>
      <c r="G39" s="3">
        <f>+Variables!H37</f>
        <v>133529186</v>
      </c>
      <c r="H39" s="3">
        <f>+Variables!I37</f>
        <v>343084990</v>
      </c>
      <c r="I39" s="3">
        <f>+Balance!I46</f>
        <v>642433.22</v>
      </c>
      <c r="J39" s="411">
        <f t="shared" si="43"/>
        <v>2.4757955035883565E-2</v>
      </c>
      <c r="K39" s="411">
        <f t="shared" si="44"/>
        <v>2.3441059574143708E-2</v>
      </c>
      <c r="L39" s="411">
        <f t="shared" si="44"/>
        <v>2.9280154030004977E-2</v>
      </c>
      <c r="M39" s="411">
        <f t="shared" si="44"/>
        <v>1.2467194556487385E-2</v>
      </c>
      <c r="N39" s="411">
        <f t="shared" si="44"/>
        <v>1.8973703309237696E-2</v>
      </c>
      <c r="O39" s="411">
        <f t="shared" si="44"/>
        <v>2.9846029402588452E-2</v>
      </c>
      <c r="P39" s="411">
        <f t="shared" si="44"/>
        <v>0.1734772451775482</v>
      </c>
      <c r="Q39" s="423">
        <f t="shared" si="33"/>
        <v>1077220</v>
      </c>
      <c r="R39" s="411">
        <f t="shared" si="34"/>
        <v>1.5269205900369743E-2</v>
      </c>
      <c r="S39" s="423">
        <f t="shared" si="35"/>
        <v>45761677</v>
      </c>
      <c r="T39" s="411">
        <f t="shared" si="36"/>
        <v>0.638899812955531</v>
      </c>
      <c r="U39" s="423">
        <f t="shared" si="37"/>
        <v>-36652270</v>
      </c>
      <c r="V39" s="411">
        <f t="shared" si="38"/>
        <v>-0.31223335889683246</v>
      </c>
      <c r="W39" s="423">
        <f t="shared" si="39"/>
        <v>52794031</v>
      </c>
      <c r="X39" s="411">
        <f t="shared" si="40"/>
        <v>0.65391626485389176</v>
      </c>
      <c r="Y39" s="423">
        <f t="shared" si="41"/>
        <v>209555804</v>
      </c>
      <c r="Z39" s="411">
        <f t="shared" si="42"/>
        <v>1.5693633000953064</v>
      </c>
      <c r="AA39" s="151"/>
    </row>
    <row r="40" spans="1:27" x14ac:dyDescent="0.35">
      <c r="A40" s="151"/>
      <c r="B40" s="22"/>
      <c r="C40" s="3"/>
      <c r="D40" s="3"/>
      <c r="E40" s="3"/>
      <c r="F40" s="3"/>
      <c r="G40" s="3"/>
      <c r="H40" s="3"/>
      <c r="I40" s="3"/>
      <c r="J40" s="40"/>
      <c r="K40" s="40"/>
      <c r="L40" s="40"/>
      <c r="M40" s="40"/>
      <c r="N40" s="40"/>
      <c r="O40" s="40"/>
      <c r="P40" s="40"/>
      <c r="Q40" s="40"/>
      <c r="R40" s="40"/>
      <c r="S40" s="40"/>
      <c r="T40" s="40"/>
      <c r="U40" s="40"/>
      <c r="V40" s="40"/>
      <c r="W40" s="40"/>
      <c r="X40" s="40"/>
      <c r="Y40" s="40"/>
      <c r="Z40" s="40"/>
      <c r="AA40" s="151"/>
    </row>
    <row r="41" spans="1:27" s="6" customFormat="1" x14ac:dyDescent="0.35">
      <c r="A41" s="179"/>
      <c r="B41" s="25" t="s">
        <v>184</v>
      </c>
      <c r="C41" s="5">
        <f>SUM(C34:C40)</f>
        <v>2849529692.4866662</v>
      </c>
      <c r="D41" s="5">
        <f>SUM(D34:D40)</f>
        <v>3055567849.8000002</v>
      </c>
      <c r="E41" s="5">
        <f t="shared" ref="E41:I41" si="45">SUM(E34:E40)</f>
        <v>4009112277.1999998</v>
      </c>
      <c r="F41" s="5">
        <f t="shared" si="45"/>
        <v>6475807739.6000004</v>
      </c>
      <c r="G41" s="5">
        <f t="shared" si="45"/>
        <v>7037592178.1695023</v>
      </c>
      <c r="H41" s="5">
        <f t="shared" si="45"/>
        <v>11495163573.424789</v>
      </c>
      <c r="I41" s="5">
        <f t="shared" si="45"/>
        <v>3703270.8200000003</v>
      </c>
      <c r="J41" s="415">
        <f t="shared" ref="J41:P41" si="46">+C41/C$50</f>
        <v>0.65332991649421979</v>
      </c>
      <c r="K41" s="415">
        <f t="shared" si="46"/>
        <v>0.54260770485682486</v>
      </c>
      <c r="L41" s="415">
        <f t="shared" si="46"/>
        <v>0.62737396274628665</v>
      </c>
      <c r="M41" s="415">
        <f t="shared" si="46"/>
        <v>0.6490390156087148</v>
      </c>
      <c r="N41" s="415">
        <f t="shared" si="46"/>
        <v>0.63836928650087355</v>
      </c>
      <c r="O41" s="415">
        <f t="shared" si="46"/>
        <v>0.6958238743632793</v>
      </c>
      <c r="P41" s="415">
        <f t="shared" si="46"/>
        <v>0.40058842103161107</v>
      </c>
      <c r="Q41" s="425">
        <f t="shared" ref="Q41" si="47">+D41-C41</f>
        <v>206038157.31333399</v>
      </c>
      <c r="R41" s="412">
        <f t="shared" ref="R41" si="48">IFERROR(Q41/C41,"N/A")</f>
        <v>7.2306022238193643E-2</v>
      </c>
      <c r="S41" s="425">
        <f>+E41-D41</f>
        <v>953544427.39999962</v>
      </c>
      <c r="T41" s="412">
        <f>IFERROR(S41/D41,"N/A")</f>
        <v>0.31206782970386771</v>
      </c>
      <c r="U41" s="425">
        <f>+F41-E41</f>
        <v>2466695462.4000006</v>
      </c>
      <c r="V41" s="412">
        <f>IFERROR(U41/E41,"N/A")</f>
        <v>0.61527223281528121</v>
      </c>
      <c r="W41" s="425">
        <f>+G41-F41</f>
        <v>561784438.56950188</v>
      </c>
      <c r="X41" s="412">
        <f>IFERROR(W41/F41,"N/A")</f>
        <v>8.6751253458954972E-2</v>
      </c>
      <c r="Y41" s="425">
        <f>+H41-G41</f>
        <v>4457571395.2552872</v>
      </c>
      <c r="Z41" s="412">
        <f>IFERROR(Y41/G41,"N/A")</f>
        <v>0.63339438864937381</v>
      </c>
      <c r="AA41" s="179"/>
    </row>
    <row r="42" spans="1:27" x14ac:dyDescent="0.35">
      <c r="A42" s="151"/>
      <c r="B42" s="26"/>
      <c r="C42" s="3"/>
      <c r="D42" s="3"/>
      <c r="E42" s="3"/>
      <c r="F42" s="3"/>
      <c r="G42" s="3"/>
      <c r="H42" s="3"/>
      <c r="I42" s="3"/>
      <c r="J42" s="419"/>
      <c r="K42" s="40"/>
      <c r="L42" s="40"/>
      <c r="M42" s="40"/>
      <c r="N42" s="40"/>
      <c r="O42" s="40"/>
      <c r="P42" s="40"/>
      <c r="Q42" s="40"/>
      <c r="R42" s="40"/>
      <c r="S42" s="40"/>
      <c r="T42" s="40"/>
      <c r="U42" s="40"/>
      <c r="V42" s="40"/>
      <c r="W42" s="40"/>
      <c r="X42" s="40"/>
      <c r="Y42" s="40"/>
      <c r="Z42" s="40"/>
      <c r="AA42" s="151"/>
    </row>
    <row r="43" spans="1:27" x14ac:dyDescent="0.35">
      <c r="A43" s="151"/>
      <c r="B43" s="22" t="str">
        <f>+Balance!B50</f>
        <v>Obligaciones financieras largo plazo</v>
      </c>
      <c r="C43" s="3">
        <f>+Variables!D39</f>
        <v>1512018157.3</v>
      </c>
      <c r="D43" s="3">
        <f>+Variables!E39</f>
        <v>2245341480.1999998</v>
      </c>
      <c r="E43" s="3">
        <f>+Variables!F39</f>
        <v>2381194804.7999997</v>
      </c>
      <c r="F43" s="3">
        <f>+Variables!G39</f>
        <v>3501724556.3999996</v>
      </c>
      <c r="G43" s="3">
        <f>+Variables!H39</f>
        <v>3986735475.0999999</v>
      </c>
      <c r="H43" s="3">
        <f>+Variables!I39</f>
        <v>5025056552.5999994</v>
      </c>
      <c r="I43" s="3">
        <f>+Balance!I50</f>
        <v>3346230.47</v>
      </c>
      <c r="J43" s="411">
        <f t="shared" ref="J43:P43" si="49">+C43/C$49</f>
        <v>1</v>
      </c>
      <c r="K43" s="411">
        <f t="shared" si="49"/>
        <v>0.8717412150773739</v>
      </c>
      <c r="L43" s="411">
        <f t="shared" si="49"/>
        <v>1</v>
      </c>
      <c r="M43" s="411">
        <f t="shared" si="49"/>
        <v>1</v>
      </c>
      <c r="N43" s="411">
        <f t="shared" si="49"/>
        <v>1</v>
      </c>
      <c r="O43" s="411">
        <f t="shared" si="49"/>
        <v>1</v>
      </c>
      <c r="P43" s="411">
        <f t="shared" si="49"/>
        <v>0.60387025806657313</v>
      </c>
      <c r="Q43" s="423">
        <f t="shared" ref="Q43:Q47" si="50">+D43-C43</f>
        <v>733323322.89999986</v>
      </c>
      <c r="R43" s="411">
        <f t="shared" ref="R43:R47" si="51">IFERROR(Q43/C43,"N/A")</f>
        <v>0.48499637346253177</v>
      </c>
      <c r="S43" s="423">
        <f>+E43-D43</f>
        <v>135853324.5999999</v>
      </c>
      <c r="T43" s="411">
        <f>IFERROR(S43/D43,"N/A")</f>
        <v>6.050452717236534E-2</v>
      </c>
      <c r="U43" s="423">
        <f>+F43-E43</f>
        <v>1120529751.5999999</v>
      </c>
      <c r="V43" s="411">
        <f>IFERROR(U43/E43,"N/A")</f>
        <v>0.47057458270160929</v>
      </c>
      <c r="W43" s="423">
        <f>+G43-F43</f>
        <v>485010918.70000029</v>
      </c>
      <c r="X43" s="411">
        <f>IFERROR(W43/F43,"N/A")</f>
        <v>0.13850630193444541</v>
      </c>
      <c r="Y43" s="423">
        <f>+H43-G43</f>
        <v>1038321077.4999995</v>
      </c>
      <c r="Z43" s="411">
        <f>IFERROR(Y43/G43,"N/A")</f>
        <v>0.26044393564234536</v>
      </c>
      <c r="AA43" s="151"/>
    </row>
    <row r="44" spans="1:27" x14ac:dyDescent="0.35">
      <c r="A44" s="151"/>
      <c r="B44" s="22" t="str">
        <f>+Balance!B51</f>
        <v>Bonos y papeles comerciales por pagar</v>
      </c>
      <c r="C44" s="3">
        <f>+Variables!D40</f>
        <v>0</v>
      </c>
      <c r="D44" s="3">
        <f>+Variables!E40</f>
        <v>330355804</v>
      </c>
      <c r="E44" s="3">
        <f>+Variables!F40</f>
        <v>0</v>
      </c>
      <c r="F44" s="3">
        <f>+Variables!G40</f>
        <v>0</v>
      </c>
      <c r="G44" s="3">
        <f>+Variables!H40</f>
        <v>0</v>
      </c>
      <c r="H44" s="3">
        <f>+Variables!I40</f>
        <v>0</v>
      </c>
      <c r="I44" s="3">
        <f>+Balance!I51</f>
        <v>1112388.8600000001</v>
      </c>
      <c r="J44" s="411">
        <f t="shared" ref="J44:J47" si="52">+C44/C$49</f>
        <v>0</v>
      </c>
      <c r="K44" s="411">
        <f t="shared" ref="K44:P47" si="53">+D44/D$49</f>
        <v>0.12825878492262613</v>
      </c>
      <c r="L44" s="411">
        <f t="shared" si="53"/>
        <v>0</v>
      </c>
      <c r="M44" s="411">
        <f t="shared" si="53"/>
        <v>0</v>
      </c>
      <c r="N44" s="411">
        <f t="shared" si="53"/>
        <v>0</v>
      </c>
      <c r="O44" s="411">
        <f t="shared" si="53"/>
        <v>0</v>
      </c>
      <c r="P44" s="411">
        <f t="shared" si="53"/>
        <v>0.20074485424148955</v>
      </c>
      <c r="Q44" s="423">
        <f t="shared" si="50"/>
        <v>330355804</v>
      </c>
      <c r="R44" s="411" t="str">
        <f t="shared" si="51"/>
        <v>N/A</v>
      </c>
      <c r="S44" s="423">
        <f>+E44-D44</f>
        <v>-330355804</v>
      </c>
      <c r="T44" s="411">
        <f>IFERROR(S44/D44,"N/A")</f>
        <v>-1</v>
      </c>
      <c r="U44" s="423">
        <f>+F44-E44</f>
        <v>0</v>
      </c>
      <c r="V44" s="411" t="str">
        <f>IFERROR(U44/E44,"N/A")</f>
        <v>N/A</v>
      </c>
      <c r="W44" s="423">
        <f>+G44-F44</f>
        <v>0</v>
      </c>
      <c r="X44" s="411" t="str">
        <f>IFERROR(W44/F44,"N/A")</f>
        <v>N/A</v>
      </c>
      <c r="Y44" s="423">
        <f>+H44-G44</f>
        <v>0</v>
      </c>
      <c r="Z44" s="411" t="str">
        <f>IFERROR(Y44/G44,"N/A")</f>
        <v>N/A</v>
      </c>
      <c r="AA44" s="151"/>
    </row>
    <row r="45" spans="1:27" x14ac:dyDescent="0.35">
      <c r="A45" s="151"/>
      <c r="B45" s="22" t="str">
        <f>+Balance!B52</f>
        <v>Obligaciones laborales largo plazo</v>
      </c>
      <c r="C45" s="3">
        <f>+Variables!D41</f>
        <v>0</v>
      </c>
      <c r="D45" s="3">
        <f>+Variables!E41</f>
        <v>0</v>
      </c>
      <c r="E45" s="3">
        <f>+Variables!F41</f>
        <v>0</v>
      </c>
      <c r="F45" s="3">
        <f>+Variables!G41</f>
        <v>0</v>
      </c>
      <c r="G45" s="3">
        <f>+Variables!H41</f>
        <v>0</v>
      </c>
      <c r="H45" s="3">
        <f>+Variables!I41</f>
        <v>0</v>
      </c>
      <c r="I45" s="3">
        <f>+Balance!I52</f>
        <v>0</v>
      </c>
      <c r="J45" s="411">
        <f t="shared" si="52"/>
        <v>0</v>
      </c>
      <c r="K45" s="411">
        <f t="shared" si="53"/>
        <v>0</v>
      </c>
      <c r="L45" s="411">
        <f t="shared" si="53"/>
        <v>0</v>
      </c>
      <c r="M45" s="411">
        <f t="shared" si="53"/>
        <v>0</v>
      </c>
      <c r="N45" s="411">
        <f t="shared" si="53"/>
        <v>0</v>
      </c>
      <c r="O45" s="411">
        <f t="shared" si="53"/>
        <v>0</v>
      </c>
      <c r="P45" s="411">
        <f t="shared" si="53"/>
        <v>0</v>
      </c>
      <c r="Q45" s="423">
        <f t="shared" si="50"/>
        <v>0</v>
      </c>
      <c r="R45" s="411" t="str">
        <f t="shared" si="51"/>
        <v>N/A</v>
      </c>
      <c r="S45" s="423">
        <f>+E45-D45</f>
        <v>0</v>
      </c>
      <c r="T45" s="411" t="str">
        <f>IFERROR(S45/D45,"N/A")</f>
        <v>N/A</v>
      </c>
      <c r="U45" s="423">
        <f>+F45-E45</f>
        <v>0</v>
      </c>
      <c r="V45" s="411" t="str">
        <f>IFERROR(U45/E45,"N/A")</f>
        <v>N/A</v>
      </c>
      <c r="W45" s="423">
        <f>+G45-F45</f>
        <v>0</v>
      </c>
      <c r="X45" s="411" t="str">
        <f>IFERROR(W45/F45,"N/A")</f>
        <v>N/A</v>
      </c>
      <c r="Y45" s="423">
        <f>+H45-G45</f>
        <v>0</v>
      </c>
      <c r="Z45" s="411" t="str">
        <f>IFERROR(Y45/G45,"N/A")</f>
        <v>N/A</v>
      </c>
      <c r="AA45" s="151"/>
    </row>
    <row r="46" spans="1:27" x14ac:dyDescent="0.35">
      <c r="A46" s="151"/>
      <c r="B46" s="22" t="str">
        <f>+Balance!B53</f>
        <v>Pasivos estimados y provisiones</v>
      </c>
      <c r="C46" s="3">
        <f>+Variables!D42</f>
        <v>0</v>
      </c>
      <c r="D46" s="3">
        <f>+Variables!E42</f>
        <v>0</v>
      </c>
      <c r="E46" s="3">
        <f>+Variables!F42</f>
        <v>0</v>
      </c>
      <c r="F46" s="3">
        <f>+Variables!G42</f>
        <v>0</v>
      </c>
      <c r="G46" s="3">
        <f>+Variables!H42</f>
        <v>0</v>
      </c>
      <c r="H46" s="3">
        <f>+Variables!I42</f>
        <v>0</v>
      </c>
      <c r="I46" s="3">
        <f>+Balance!I53</f>
        <v>226546.22</v>
      </c>
      <c r="J46" s="411">
        <f t="shared" si="52"/>
        <v>0</v>
      </c>
      <c r="K46" s="411">
        <f t="shared" si="53"/>
        <v>0</v>
      </c>
      <c r="L46" s="411">
        <f t="shared" si="53"/>
        <v>0</v>
      </c>
      <c r="M46" s="411">
        <f t="shared" si="53"/>
        <v>0</v>
      </c>
      <c r="N46" s="411">
        <f t="shared" si="53"/>
        <v>0</v>
      </c>
      <c r="O46" s="411">
        <f t="shared" si="53"/>
        <v>0</v>
      </c>
      <c r="P46" s="411">
        <f t="shared" si="53"/>
        <v>4.0883174533823022E-2</v>
      </c>
      <c r="Q46" s="423">
        <f t="shared" si="50"/>
        <v>0</v>
      </c>
      <c r="R46" s="411" t="str">
        <f t="shared" si="51"/>
        <v>N/A</v>
      </c>
      <c r="S46" s="423">
        <f>+E46-D46</f>
        <v>0</v>
      </c>
      <c r="T46" s="411" t="str">
        <f>IFERROR(S46/D46,"N/A")</f>
        <v>N/A</v>
      </c>
      <c r="U46" s="423">
        <f>+F46-E46</f>
        <v>0</v>
      </c>
      <c r="V46" s="411" t="str">
        <f>IFERROR(U46/E46,"N/A")</f>
        <v>N/A</v>
      </c>
      <c r="W46" s="423">
        <f>+G46-F46</f>
        <v>0</v>
      </c>
      <c r="X46" s="411" t="str">
        <f>IFERROR(W46/F46,"N/A")</f>
        <v>N/A</v>
      </c>
      <c r="Y46" s="423">
        <f>+H46-G46</f>
        <v>0</v>
      </c>
      <c r="Z46" s="411" t="str">
        <f>IFERROR(Y46/G46,"N/A")</f>
        <v>N/A</v>
      </c>
      <c r="AA46" s="151"/>
    </row>
    <row r="47" spans="1:27" x14ac:dyDescent="0.35">
      <c r="A47" s="151"/>
      <c r="B47" s="22" t="str">
        <f>+Balance!B54</f>
        <v>Otros pasivos largo plazo</v>
      </c>
      <c r="C47" s="3">
        <f>+Variables!D43</f>
        <v>0</v>
      </c>
      <c r="D47" s="3">
        <f>+Variables!E43</f>
        <v>0</v>
      </c>
      <c r="E47" s="3">
        <f>+Variables!F43</f>
        <v>0</v>
      </c>
      <c r="F47" s="3">
        <f>+Variables!G43</f>
        <v>0</v>
      </c>
      <c r="G47" s="3">
        <f>+Variables!H43</f>
        <v>0</v>
      </c>
      <c r="H47" s="3">
        <f>+Variables!I43</f>
        <v>0</v>
      </c>
      <c r="I47" s="3">
        <f>+Balance!I54</f>
        <v>856141.42</v>
      </c>
      <c r="J47" s="411">
        <f t="shared" si="52"/>
        <v>0</v>
      </c>
      <c r="K47" s="411">
        <f t="shared" si="53"/>
        <v>0</v>
      </c>
      <c r="L47" s="411">
        <f t="shared" si="53"/>
        <v>0</v>
      </c>
      <c r="M47" s="411">
        <f t="shared" si="53"/>
        <v>0</v>
      </c>
      <c r="N47" s="411">
        <f t="shared" si="53"/>
        <v>0</v>
      </c>
      <c r="O47" s="411">
        <f t="shared" si="53"/>
        <v>0</v>
      </c>
      <c r="P47" s="411">
        <f t="shared" si="53"/>
        <v>0.1545017131581144</v>
      </c>
      <c r="Q47" s="423">
        <f t="shared" si="50"/>
        <v>0</v>
      </c>
      <c r="R47" s="411" t="str">
        <f t="shared" si="51"/>
        <v>N/A</v>
      </c>
      <c r="S47" s="423">
        <f>+E47-D47</f>
        <v>0</v>
      </c>
      <c r="T47" s="411" t="str">
        <f>IFERROR(S47/D47,"N/A")</f>
        <v>N/A</v>
      </c>
      <c r="U47" s="423">
        <f>+F47-E47</f>
        <v>0</v>
      </c>
      <c r="V47" s="411" t="str">
        <f>IFERROR(U47/E47,"N/A")</f>
        <v>N/A</v>
      </c>
      <c r="W47" s="423">
        <f>+G47-F47</f>
        <v>0</v>
      </c>
      <c r="X47" s="411" t="str">
        <f>IFERROR(W47/F47,"N/A")</f>
        <v>N/A</v>
      </c>
      <c r="Y47" s="423">
        <f>+H47-G47</f>
        <v>0</v>
      </c>
      <c r="Z47" s="411" t="str">
        <f>IFERROR(Y47/G47,"N/A")</f>
        <v>N/A</v>
      </c>
      <c r="AA47" s="151"/>
    </row>
    <row r="48" spans="1:27" x14ac:dyDescent="0.35">
      <c r="A48" s="151"/>
      <c r="B48" s="22"/>
      <c r="C48" s="3"/>
      <c r="D48" s="3"/>
      <c r="E48" s="3"/>
      <c r="F48" s="3"/>
      <c r="G48" s="3"/>
      <c r="H48" s="3"/>
      <c r="I48" s="3"/>
      <c r="J48" s="411"/>
      <c r="K48" s="411"/>
      <c r="L48" s="411"/>
      <c r="M48" s="411"/>
      <c r="N48" s="411"/>
      <c r="O48" s="411"/>
      <c r="P48" s="411"/>
      <c r="Q48" s="40"/>
      <c r="R48" s="411"/>
      <c r="S48" s="40"/>
      <c r="T48" s="411"/>
      <c r="U48" s="40"/>
      <c r="V48" s="411"/>
      <c r="W48" s="40"/>
      <c r="X48" s="411"/>
      <c r="Y48" s="40"/>
      <c r="Z48" s="411"/>
      <c r="AA48" s="151"/>
    </row>
    <row r="49" spans="1:27" x14ac:dyDescent="0.35">
      <c r="A49" s="151"/>
      <c r="B49" s="25" t="s">
        <v>185</v>
      </c>
      <c r="C49" s="5">
        <f>SUM(C43:C48)</f>
        <v>1512018157.3</v>
      </c>
      <c r="D49" s="5">
        <f>SUM(D43:D48)</f>
        <v>2575697284.1999998</v>
      </c>
      <c r="E49" s="5">
        <f t="shared" ref="E49:H49" si="54">SUM(E43:E48)</f>
        <v>2381194804.7999997</v>
      </c>
      <c r="F49" s="5">
        <f t="shared" si="54"/>
        <v>3501724556.3999996</v>
      </c>
      <c r="G49" s="5">
        <f t="shared" si="54"/>
        <v>3986735475.0999999</v>
      </c>
      <c r="H49" s="5">
        <f t="shared" si="54"/>
        <v>5025056552.5999994</v>
      </c>
      <c r="I49" s="5">
        <f t="shared" ref="I49" si="55">SUM(I43:I48)</f>
        <v>5541306.9699999997</v>
      </c>
      <c r="J49" s="415">
        <f t="shared" ref="J49:P49" si="56">+C49/C$50</f>
        <v>0.34667008350578027</v>
      </c>
      <c r="K49" s="415">
        <f t="shared" si="56"/>
        <v>0.45739229514317514</v>
      </c>
      <c r="L49" s="415">
        <f t="shared" si="56"/>
        <v>0.37262603725371324</v>
      </c>
      <c r="M49" s="415">
        <f t="shared" si="56"/>
        <v>0.35096098439128515</v>
      </c>
      <c r="N49" s="415">
        <f t="shared" si="56"/>
        <v>0.3616307134991264</v>
      </c>
      <c r="O49" s="415">
        <f t="shared" si="56"/>
        <v>0.30417612563672081</v>
      </c>
      <c r="P49" s="415">
        <f t="shared" si="56"/>
        <v>0.59941157896838904</v>
      </c>
      <c r="Q49" s="425">
        <f t="shared" ref="Q49" si="57">+D49-C49</f>
        <v>1063679126.8999999</v>
      </c>
      <c r="R49" s="412">
        <f t="shared" ref="R49:R50" si="58">IFERROR(Q49/C49,"N/A")</f>
        <v>0.70348303806047152</v>
      </c>
      <c r="S49" s="425">
        <f>+E49-D49</f>
        <v>-194502479.4000001</v>
      </c>
      <c r="T49" s="412">
        <f>IFERROR(S49/D49,"N/A")</f>
        <v>-7.5514494887706382E-2</v>
      </c>
      <c r="U49" s="425">
        <f>+F49-E49</f>
        <v>1120529751.5999999</v>
      </c>
      <c r="V49" s="412">
        <f>IFERROR(U49/E49,"N/A")</f>
        <v>0.47057458270160929</v>
      </c>
      <c r="W49" s="425">
        <f>+G49-F49</f>
        <v>485010918.70000029</v>
      </c>
      <c r="X49" s="412">
        <f>IFERROR(W49/F49,"N/A")</f>
        <v>0.13850630193444541</v>
      </c>
      <c r="Y49" s="425">
        <f>+H49-G49</f>
        <v>1038321077.4999995</v>
      </c>
      <c r="Z49" s="412">
        <f>IFERROR(Y49/G49,"N/A")</f>
        <v>0.26044393564234536</v>
      </c>
      <c r="AA49" s="151"/>
    </row>
    <row r="50" spans="1:27" x14ac:dyDescent="0.35">
      <c r="A50" s="151"/>
      <c r="B50" s="20" t="s">
        <v>186</v>
      </c>
      <c r="C50" s="5">
        <f>C41+C49</f>
        <v>4361547849.7866659</v>
      </c>
      <c r="D50" s="5">
        <f>D41+D49</f>
        <v>5631265134</v>
      </c>
      <c r="E50" s="5">
        <f t="shared" ref="E50:H50" si="59">E41+E49</f>
        <v>6390307082</v>
      </c>
      <c r="F50" s="5">
        <f t="shared" si="59"/>
        <v>9977532296</v>
      </c>
      <c r="G50" s="5">
        <f t="shared" si="59"/>
        <v>11024327653.269503</v>
      </c>
      <c r="H50" s="5">
        <f t="shared" si="59"/>
        <v>16520220126.024788</v>
      </c>
      <c r="I50" s="5">
        <f t="shared" ref="I50" si="60">I41+I49</f>
        <v>9244577.7899999991</v>
      </c>
      <c r="J50" s="415">
        <f t="shared" ref="J50:P50" si="61">+C50/C$64</f>
        <v>0.48692690864982002</v>
      </c>
      <c r="K50" s="415">
        <f t="shared" si="61"/>
        <v>0.53485463393607946</v>
      </c>
      <c r="L50" s="415">
        <f t="shared" si="61"/>
        <v>0.44878879875956684</v>
      </c>
      <c r="M50" s="415">
        <f t="shared" si="61"/>
        <v>0.54148218961385552</v>
      </c>
      <c r="N50" s="415">
        <f t="shared" si="61"/>
        <v>0.55383692518470418</v>
      </c>
      <c r="O50" s="415">
        <f t="shared" si="61"/>
        <v>0.62277795277510029</v>
      </c>
      <c r="P50" s="415">
        <f t="shared" si="61"/>
        <v>0.5892458370974869</v>
      </c>
      <c r="Q50" s="425">
        <f t="shared" ref="Q50" si="62">+D50-C50</f>
        <v>1269717284.2133341</v>
      </c>
      <c r="R50" s="412">
        <f t="shared" si="58"/>
        <v>0.291116211020232</v>
      </c>
      <c r="S50" s="425">
        <f>+E50-D50</f>
        <v>759041948</v>
      </c>
      <c r="T50" s="412">
        <f>IFERROR(S50/D50,"N/A")</f>
        <v>0.1347906607020006</v>
      </c>
      <c r="U50" s="425">
        <f>+F50-E50</f>
        <v>3587225214</v>
      </c>
      <c r="V50" s="412">
        <f>IFERROR(U50/E50,"N/A")</f>
        <v>0.56135412085349923</v>
      </c>
      <c r="W50" s="425">
        <f>+G50-F50</f>
        <v>1046795357.2695026</v>
      </c>
      <c r="X50" s="412">
        <f>IFERROR(W50/F50,"N/A")</f>
        <v>0.10491525621913182</v>
      </c>
      <c r="Y50" s="425">
        <f>+H50-G50</f>
        <v>5495892472.7552853</v>
      </c>
      <c r="Z50" s="412">
        <f>IFERROR(Y50/G50,"N/A")</f>
        <v>0.49852405022861956</v>
      </c>
      <c r="AA50" s="441">
        <f>(H50/C50)^(1/5)-1</f>
        <v>0.30519390691266235</v>
      </c>
    </row>
    <row r="51" spans="1:27" x14ac:dyDescent="0.35">
      <c r="A51" s="151"/>
      <c r="B51" s="22"/>
      <c r="C51" s="3"/>
      <c r="D51" s="3"/>
      <c r="E51" s="3"/>
      <c r="F51" s="3"/>
      <c r="G51" s="3"/>
      <c r="H51" s="3"/>
      <c r="I51" s="3"/>
      <c r="J51" s="40"/>
      <c r="K51" s="40"/>
      <c r="L51" s="40"/>
      <c r="M51" s="40"/>
      <c r="N51" s="40"/>
      <c r="O51" s="40"/>
      <c r="P51" s="40"/>
      <c r="Q51" s="40"/>
      <c r="R51" s="40"/>
      <c r="S51" s="40"/>
      <c r="T51" s="40"/>
      <c r="U51" s="40"/>
      <c r="V51" s="40"/>
      <c r="W51" s="40"/>
      <c r="X51" s="40"/>
      <c r="Y51" s="40"/>
      <c r="Z51" s="40"/>
      <c r="AA51" s="151"/>
    </row>
    <row r="52" spans="1:27" x14ac:dyDescent="0.35">
      <c r="A52" s="151"/>
      <c r="B52" s="20" t="s">
        <v>101</v>
      </c>
      <c r="C52" s="5"/>
      <c r="D52" s="5"/>
      <c r="E52" s="5"/>
      <c r="F52" s="5"/>
      <c r="G52" s="5"/>
      <c r="H52" s="5"/>
      <c r="I52" s="5"/>
      <c r="J52" s="416"/>
      <c r="K52" s="416"/>
      <c r="L52" s="416"/>
      <c r="M52" s="416"/>
      <c r="N52" s="416"/>
      <c r="O52" s="416"/>
      <c r="P52" s="416"/>
      <c r="Q52" s="416"/>
      <c r="R52" s="416"/>
      <c r="S52" s="416"/>
      <c r="T52" s="416"/>
      <c r="U52" s="416"/>
      <c r="V52" s="416"/>
      <c r="W52" s="416"/>
      <c r="X52" s="416"/>
      <c r="Y52" s="416"/>
      <c r="Z52" s="416"/>
      <c r="AA52" s="151"/>
    </row>
    <row r="53" spans="1:27" x14ac:dyDescent="0.35">
      <c r="A53" s="151"/>
      <c r="B53" s="22" t="str">
        <f>+Balance!B62</f>
        <v>Capital social</v>
      </c>
      <c r="C53" s="3">
        <f>+Variables!D46</f>
        <v>1000000000</v>
      </c>
      <c r="D53" s="3">
        <f>+Variables!E46</f>
        <v>1000000000</v>
      </c>
      <c r="E53" s="3">
        <f>+Variables!F46</f>
        <v>1000000000</v>
      </c>
      <c r="F53" s="3">
        <f>+Variables!G46</f>
        <v>1000000000</v>
      </c>
      <c r="G53" s="3">
        <f>+Variables!H46</f>
        <v>1000000000</v>
      </c>
      <c r="H53" s="3">
        <f>+Variables!I46</f>
        <v>1000000000</v>
      </c>
      <c r="I53" s="3">
        <f>+Balance!I62</f>
        <v>2300.62</v>
      </c>
      <c r="J53" s="411">
        <f t="shared" ref="J53:P53" si="63">+C53/C$62</f>
        <v>0.21759248680332957</v>
      </c>
      <c r="K53" s="411">
        <f t="shared" si="63"/>
        <v>0.20419311227859438</v>
      </c>
      <c r="L53" s="411">
        <f t="shared" si="63"/>
        <v>0.12740962754961324</v>
      </c>
      <c r="M53" s="411">
        <f t="shared" si="63"/>
        <v>0.1183599640017165</v>
      </c>
      <c r="N53" s="411">
        <f t="shared" si="63"/>
        <v>0.11259942443380336</v>
      </c>
      <c r="O53" s="411">
        <f t="shared" si="63"/>
        <v>9.9935624788621669E-2</v>
      </c>
      <c r="P53" s="411">
        <f t="shared" si="63"/>
        <v>3.5700340563173951E-4</v>
      </c>
      <c r="Q53" s="423">
        <f t="shared" ref="Q53:Q60" si="64">+D53-C53</f>
        <v>0</v>
      </c>
      <c r="R53" s="411">
        <f t="shared" ref="R53:R60" si="65">IFERROR(Q53/C53,"N/A")</f>
        <v>0</v>
      </c>
      <c r="S53" s="423">
        <f t="shared" ref="S53:S60" si="66">+E53-D53</f>
        <v>0</v>
      </c>
      <c r="T53" s="411">
        <f t="shared" ref="T53:T60" si="67">IFERROR(S53/D53,"N/A")</f>
        <v>0</v>
      </c>
      <c r="U53" s="423">
        <f t="shared" ref="U53:U60" si="68">+F53-E53</f>
        <v>0</v>
      </c>
      <c r="V53" s="411">
        <f t="shared" ref="V53:V60" si="69">IFERROR(U53/E53,"N/A")</f>
        <v>0</v>
      </c>
      <c r="W53" s="423">
        <f t="shared" ref="W53:W60" si="70">+G53-F53</f>
        <v>0</v>
      </c>
      <c r="X53" s="411">
        <f t="shared" ref="X53:X60" si="71">IFERROR(W53/F53,"N/A")</f>
        <v>0</v>
      </c>
      <c r="Y53" s="423">
        <f t="shared" ref="Y53:Y60" si="72">+H53-G53</f>
        <v>0</v>
      </c>
      <c r="Z53" s="411">
        <f t="shared" ref="Z53:Z60" si="73">IFERROR(Y53/G53,"N/A")</f>
        <v>0</v>
      </c>
      <c r="AA53" s="151"/>
    </row>
    <row r="54" spans="1:27" x14ac:dyDescent="0.35">
      <c r="A54" s="151"/>
      <c r="B54" s="22" t="str">
        <f>+Balance!B63</f>
        <v>Superávit de capital</v>
      </c>
      <c r="C54" s="3">
        <f>+Variables!D47</f>
        <v>0</v>
      </c>
      <c r="D54" s="3">
        <f>+Variables!E47</f>
        <v>0</v>
      </c>
      <c r="E54" s="3">
        <f>+Variables!F47</f>
        <v>0</v>
      </c>
      <c r="F54" s="3">
        <f>+Variables!G47</f>
        <v>0</v>
      </c>
      <c r="G54" s="3">
        <f>+Variables!H47</f>
        <v>0</v>
      </c>
      <c r="H54" s="3">
        <f>+Variables!I47</f>
        <v>0</v>
      </c>
      <c r="I54" s="3">
        <f>+Balance!I63</f>
        <v>0</v>
      </c>
      <c r="J54" s="411">
        <f t="shared" ref="J54:J60" si="74">+C54/C$62</f>
        <v>0</v>
      </c>
      <c r="K54" s="411">
        <f t="shared" ref="K54:P60" si="75">+D54/D$62</f>
        <v>0</v>
      </c>
      <c r="L54" s="411">
        <f t="shared" si="75"/>
        <v>0</v>
      </c>
      <c r="M54" s="411">
        <f t="shared" si="75"/>
        <v>0</v>
      </c>
      <c r="N54" s="411">
        <f t="shared" si="75"/>
        <v>0</v>
      </c>
      <c r="O54" s="411">
        <f t="shared" si="75"/>
        <v>0</v>
      </c>
      <c r="P54" s="411">
        <f t="shared" si="75"/>
        <v>0</v>
      </c>
      <c r="Q54" s="423">
        <f t="shared" si="64"/>
        <v>0</v>
      </c>
      <c r="R54" s="411" t="str">
        <f t="shared" si="65"/>
        <v>N/A</v>
      </c>
      <c r="S54" s="423">
        <f t="shared" si="66"/>
        <v>0</v>
      </c>
      <c r="T54" s="411" t="str">
        <f t="shared" si="67"/>
        <v>N/A</v>
      </c>
      <c r="U54" s="423">
        <f t="shared" si="68"/>
        <v>0</v>
      </c>
      <c r="V54" s="411" t="str">
        <f t="shared" si="69"/>
        <v>N/A</v>
      </c>
      <c r="W54" s="423">
        <f t="shared" si="70"/>
        <v>0</v>
      </c>
      <c r="X54" s="411" t="str">
        <f t="shared" si="71"/>
        <v>N/A</v>
      </c>
      <c r="Y54" s="423">
        <f t="shared" si="72"/>
        <v>0</v>
      </c>
      <c r="Z54" s="411" t="str">
        <f t="shared" si="73"/>
        <v>N/A</v>
      </c>
      <c r="AA54" s="151"/>
    </row>
    <row r="55" spans="1:27" x14ac:dyDescent="0.35">
      <c r="A55" s="151"/>
      <c r="B55" s="22" t="str">
        <f>+Balance!B64</f>
        <v>Reservas</v>
      </c>
      <c r="C55" s="3">
        <f>+Variables!D48</f>
        <v>118776768</v>
      </c>
      <c r="D55" s="3">
        <f>+Variables!E48</f>
        <v>221041718</v>
      </c>
      <c r="E55" s="3">
        <f>+Variables!F48</f>
        <v>221041718</v>
      </c>
      <c r="F55" s="3">
        <f>+Variables!G48</f>
        <v>286051703</v>
      </c>
      <c r="G55" s="3">
        <f>+Variables!H48</f>
        <v>427575589</v>
      </c>
      <c r="H55" s="3">
        <f>+Variables!I48</f>
        <v>697820647</v>
      </c>
      <c r="I55" s="3">
        <f>+Balance!I64</f>
        <v>5615414.21</v>
      </c>
      <c r="J55" s="411">
        <f t="shared" si="74"/>
        <v>2.5844932323582138E-2</v>
      </c>
      <c r="K55" s="411">
        <f t="shared" si="75"/>
        <v>4.5135196341827395E-2</v>
      </c>
      <c r="L55" s="411">
        <f t="shared" si="75"/>
        <v>2.816284296330664E-2</v>
      </c>
      <c r="M55" s="411">
        <f t="shared" si="75"/>
        <v>3.3857069269709703E-2</v>
      </c>
      <c r="N55" s="411">
        <f t="shared" si="75"/>
        <v>4.814476522334446E-2</v>
      </c>
      <c r="O55" s="411">
        <f t="shared" si="75"/>
        <v>6.9737142348345216E-2</v>
      </c>
      <c r="P55" s="411">
        <f t="shared" si="75"/>
        <v>0.87138336492026669</v>
      </c>
      <c r="Q55" s="423">
        <f t="shared" si="64"/>
        <v>102264950</v>
      </c>
      <c r="R55" s="411">
        <f t="shared" si="65"/>
        <v>0.86098444773307858</v>
      </c>
      <c r="S55" s="423">
        <f t="shared" si="66"/>
        <v>0</v>
      </c>
      <c r="T55" s="411">
        <f t="shared" si="67"/>
        <v>0</v>
      </c>
      <c r="U55" s="423">
        <f t="shared" si="68"/>
        <v>65009985</v>
      </c>
      <c r="V55" s="411">
        <f t="shared" si="69"/>
        <v>0.29410730964369358</v>
      </c>
      <c r="W55" s="423">
        <f t="shared" si="70"/>
        <v>141523886</v>
      </c>
      <c r="X55" s="411">
        <f t="shared" si="71"/>
        <v>0.49474932159379592</v>
      </c>
      <c r="Y55" s="423">
        <f t="shared" si="72"/>
        <v>270245058</v>
      </c>
      <c r="Z55" s="411">
        <f t="shared" si="73"/>
        <v>0.63204042735938326</v>
      </c>
      <c r="AA55" s="151"/>
    </row>
    <row r="56" spans="1:27" x14ac:dyDescent="0.35">
      <c r="A56" s="151"/>
      <c r="B56" s="22" t="str">
        <f>+Balance!B65</f>
        <v>Revalorización del patrimonio</v>
      </c>
      <c r="C56" s="3">
        <f>+Variables!D49</f>
        <v>0</v>
      </c>
      <c r="D56" s="3">
        <f>+Variables!E49</f>
        <v>0</v>
      </c>
      <c r="E56" s="3">
        <f>+Variables!F49</f>
        <v>0</v>
      </c>
      <c r="F56" s="3">
        <f>+Variables!G49</f>
        <v>0</v>
      </c>
      <c r="G56" s="3">
        <f>+Variables!H49</f>
        <v>0</v>
      </c>
      <c r="H56" s="3">
        <f>+Variables!I49</f>
        <v>0</v>
      </c>
      <c r="I56" s="3">
        <f>+Balance!I65</f>
        <v>0</v>
      </c>
      <c r="J56" s="411">
        <f t="shared" si="74"/>
        <v>0</v>
      </c>
      <c r="K56" s="411">
        <f t="shared" si="75"/>
        <v>0</v>
      </c>
      <c r="L56" s="411">
        <f t="shared" si="75"/>
        <v>0</v>
      </c>
      <c r="M56" s="411">
        <f t="shared" si="75"/>
        <v>0</v>
      </c>
      <c r="N56" s="411">
        <f t="shared" si="75"/>
        <v>0</v>
      </c>
      <c r="O56" s="411">
        <f t="shared" si="75"/>
        <v>0</v>
      </c>
      <c r="P56" s="411">
        <f t="shared" si="75"/>
        <v>0</v>
      </c>
      <c r="Q56" s="423">
        <f t="shared" si="64"/>
        <v>0</v>
      </c>
      <c r="R56" s="411" t="str">
        <f t="shared" si="65"/>
        <v>N/A</v>
      </c>
      <c r="S56" s="423">
        <f t="shared" si="66"/>
        <v>0</v>
      </c>
      <c r="T56" s="411" t="str">
        <f t="shared" si="67"/>
        <v>N/A</v>
      </c>
      <c r="U56" s="423">
        <f t="shared" si="68"/>
        <v>0</v>
      </c>
      <c r="V56" s="411" t="str">
        <f t="shared" si="69"/>
        <v>N/A</v>
      </c>
      <c r="W56" s="423">
        <f t="shared" si="70"/>
        <v>0</v>
      </c>
      <c r="X56" s="411" t="str">
        <f t="shared" si="71"/>
        <v>N/A</v>
      </c>
      <c r="Y56" s="423">
        <f t="shared" si="72"/>
        <v>0</v>
      </c>
      <c r="Z56" s="411" t="str">
        <f t="shared" si="73"/>
        <v>N/A</v>
      </c>
      <c r="AA56" s="151"/>
    </row>
    <row r="57" spans="1:27" x14ac:dyDescent="0.35">
      <c r="A57" s="151"/>
      <c r="B57" s="22" t="str">
        <f>+Balance!B66</f>
        <v>Resultados del ejercicio</v>
      </c>
      <c r="C57" s="3">
        <f>+C83</f>
        <v>586891522.21333396</v>
      </c>
      <c r="D57" s="3">
        <f t="shared" ref="D57:H57" si="76">+D83</f>
        <v>721808924.99999905</v>
      </c>
      <c r="E57" s="3">
        <f t="shared" si="76"/>
        <v>2608707606.9999995</v>
      </c>
      <c r="F57" s="3">
        <f t="shared" si="76"/>
        <v>2206856222.999999</v>
      </c>
      <c r="G57" s="3">
        <f t="shared" si="76"/>
        <v>1266080319.7304978</v>
      </c>
      <c r="H57" s="3">
        <f t="shared" si="76"/>
        <v>1062044471.9752088</v>
      </c>
      <c r="I57" s="3">
        <f>+Balance!I66</f>
        <v>720484.1</v>
      </c>
      <c r="J57" s="411">
        <f t="shared" si="74"/>
        <v>0.12770318580219087</v>
      </c>
      <c r="K57" s="411">
        <f t="shared" si="75"/>
        <v>0.14738841086621632</v>
      </c>
      <c r="L57" s="411">
        <f t="shared" si="75"/>
        <v>0.33237446459371278</v>
      </c>
      <c r="M57" s="411">
        <f t="shared" si="75"/>
        <v>0.26120342311124395</v>
      </c>
      <c r="N57" s="411">
        <f t="shared" si="75"/>
        <v>0.14255991528861978</v>
      </c>
      <c r="O57" s="411">
        <f t="shared" si="75"/>
        <v>0.10613607786014428</v>
      </c>
      <c r="P57" s="411">
        <f t="shared" si="75"/>
        <v>0.11180259121607165</v>
      </c>
      <c r="Q57" s="423">
        <f t="shared" si="64"/>
        <v>134917402.78666508</v>
      </c>
      <c r="R57" s="411">
        <f t="shared" si="65"/>
        <v>0.22988473624197772</v>
      </c>
      <c r="S57" s="423">
        <f t="shared" si="66"/>
        <v>1886898682.0000005</v>
      </c>
      <c r="T57" s="411">
        <f t="shared" si="67"/>
        <v>2.6141248973888804</v>
      </c>
      <c r="U57" s="423">
        <f t="shared" si="68"/>
        <v>-401851384.00000048</v>
      </c>
      <c r="V57" s="411">
        <f t="shared" si="69"/>
        <v>-0.15404232460613995</v>
      </c>
      <c r="W57" s="423">
        <f t="shared" si="70"/>
        <v>-940775903.26950121</v>
      </c>
      <c r="X57" s="411">
        <f t="shared" si="71"/>
        <v>-0.42629687129803634</v>
      </c>
      <c r="Y57" s="423">
        <f t="shared" si="72"/>
        <v>-204035847.75528908</v>
      </c>
      <c r="Z57" s="411">
        <f t="shared" si="73"/>
        <v>-0.16115553221672449</v>
      </c>
      <c r="AA57" s="151"/>
    </row>
    <row r="58" spans="1:27" x14ac:dyDescent="0.35">
      <c r="A58" s="151"/>
      <c r="B58" s="22" t="str">
        <f>+Balance!B67</f>
        <v>Resultado de ejercicios anteriores</v>
      </c>
      <c r="C58" s="3">
        <f>+Variables!D51</f>
        <v>1328070548</v>
      </c>
      <c r="D58" s="3">
        <f>+Variables!E51</f>
        <v>1392466115</v>
      </c>
      <c r="E58" s="3">
        <f>+Variables!F51</f>
        <v>2456943038.5</v>
      </c>
      <c r="F58" s="3">
        <f>+Variables!G51</f>
        <v>3393886836</v>
      </c>
      <c r="G58" s="3">
        <f>+Variables!H51</f>
        <v>4625376081</v>
      </c>
      <c r="H58" s="3">
        <f>+Variables!I51</f>
        <v>5684568471</v>
      </c>
      <c r="I58" s="3">
        <f>+Balance!I67</f>
        <v>0</v>
      </c>
      <c r="J58" s="411">
        <f t="shared" si="74"/>
        <v>0.28897817318958069</v>
      </c>
      <c r="K58" s="411">
        <f t="shared" si="75"/>
        <v>0.2843319897643331</v>
      </c>
      <c r="L58" s="411">
        <f t="shared" si="75"/>
        <v>0.31303819744590006</v>
      </c>
      <c r="M58" s="411">
        <f t="shared" si="75"/>
        <v>0.40170032373485948</v>
      </c>
      <c r="N58" s="411">
        <f t="shared" si="75"/>
        <v>0.52081468451048107</v>
      </c>
      <c r="O58" s="411">
        <f t="shared" si="75"/>
        <v>0.56809090180308475</v>
      </c>
      <c r="P58" s="411">
        <f t="shared" si="75"/>
        <v>0</v>
      </c>
      <c r="Q58" s="423">
        <f t="shared" si="64"/>
        <v>64395567</v>
      </c>
      <c r="R58" s="411">
        <f t="shared" si="65"/>
        <v>4.8488061945938132E-2</v>
      </c>
      <c r="S58" s="423">
        <f t="shared" si="66"/>
        <v>1064476923.5</v>
      </c>
      <c r="T58" s="411">
        <f t="shared" si="67"/>
        <v>0.76445445388809341</v>
      </c>
      <c r="U58" s="423">
        <f t="shared" si="68"/>
        <v>936943797.5</v>
      </c>
      <c r="V58" s="411">
        <f t="shared" si="69"/>
        <v>0.3813453477830801</v>
      </c>
      <c r="W58" s="423">
        <f t="shared" si="70"/>
        <v>1231489245</v>
      </c>
      <c r="X58" s="411">
        <f t="shared" si="71"/>
        <v>0.36285512879722898</v>
      </c>
      <c r="Y58" s="423">
        <f t="shared" si="72"/>
        <v>1059192390</v>
      </c>
      <c r="Z58" s="411">
        <f t="shared" si="73"/>
        <v>0.22899595004845619</v>
      </c>
      <c r="AA58" s="151"/>
    </row>
    <row r="59" spans="1:27" x14ac:dyDescent="0.35">
      <c r="A59" s="151"/>
      <c r="B59" s="22" t="str">
        <f>+Balance!B68</f>
        <v>Superávit por valorización</v>
      </c>
      <c r="C59" s="3">
        <f>+Variables!D52</f>
        <v>1562008077</v>
      </c>
      <c r="D59" s="3">
        <f>+Variables!E52</f>
        <v>1562008077.5</v>
      </c>
      <c r="E59" s="3">
        <f>+Variables!F52</f>
        <v>1562008078</v>
      </c>
      <c r="F59" s="3">
        <f>+Variables!G52</f>
        <v>1562008078</v>
      </c>
      <c r="G59" s="3">
        <f>+Variables!H52</f>
        <v>1562008078</v>
      </c>
      <c r="H59" s="3">
        <f>+Variables!I52</f>
        <v>1562008078</v>
      </c>
      <c r="I59" s="3">
        <f>+Balance!I68</f>
        <v>0</v>
      </c>
      <c r="J59" s="411">
        <f t="shared" si="74"/>
        <v>0.3398812218813167</v>
      </c>
      <c r="K59" s="411">
        <f t="shared" si="75"/>
        <v>0.31895129074902884</v>
      </c>
      <c r="L59" s="411">
        <f t="shared" si="75"/>
        <v>0.19901486744746721</v>
      </c>
      <c r="M59" s="411">
        <f t="shared" si="75"/>
        <v>0.18487921988247039</v>
      </c>
      <c r="N59" s="411">
        <f t="shared" si="75"/>
        <v>0.17588121054375142</v>
      </c>
      <c r="O59" s="411">
        <f t="shared" si="75"/>
        <v>0.15610025319980408</v>
      </c>
      <c r="P59" s="411">
        <f t="shared" si="75"/>
        <v>0</v>
      </c>
      <c r="Q59" s="423">
        <f t="shared" si="64"/>
        <v>0.5</v>
      </c>
      <c r="R59" s="411">
        <f t="shared" si="65"/>
        <v>3.2010077755827121E-10</v>
      </c>
      <c r="S59" s="423">
        <f t="shared" si="66"/>
        <v>0.5</v>
      </c>
      <c r="T59" s="411">
        <f t="shared" si="67"/>
        <v>3.201007774558067E-10</v>
      </c>
      <c r="U59" s="423">
        <f t="shared" si="68"/>
        <v>0</v>
      </c>
      <c r="V59" s="411">
        <f t="shared" si="69"/>
        <v>0</v>
      </c>
      <c r="W59" s="423">
        <f t="shared" si="70"/>
        <v>0</v>
      </c>
      <c r="X59" s="411">
        <f t="shared" si="71"/>
        <v>0</v>
      </c>
      <c r="Y59" s="423">
        <f t="shared" si="72"/>
        <v>0</v>
      </c>
      <c r="Z59" s="411">
        <f t="shared" si="73"/>
        <v>0</v>
      </c>
      <c r="AA59" s="151"/>
    </row>
    <row r="60" spans="1:27" x14ac:dyDescent="0.35">
      <c r="A60" s="151"/>
      <c r="B60" s="22" t="str">
        <f>+Balance!B69</f>
        <v>Otras cuentas de patrimonio</v>
      </c>
      <c r="C60" s="3">
        <f>+Variables!D53</f>
        <v>0</v>
      </c>
      <c r="D60" s="3">
        <f>+Variables!E53</f>
        <v>0</v>
      </c>
      <c r="E60" s="3">
        <f>+Variables!F53</f>
        <v>0</v>
      </c>
      <c r="F60" s="3">
        <f>+Variables!G53</f>
        <v>0</v>
      </c>
      <c r="G60" s="3">
        <f>+Variables!H53</f>
        <v>0</v>
      </c>
      <c r="H60" s="3">
        <f>+Variables!I53</f>
        <v>0</v>
      </c>
      <c r="I60" s="3">
        <f>+Balance!I69</f>
        <v>106053.32</v>
      </c>
      <c r="J60" s="411">
        <f t="shared" si="74"/>
        <v>0</v>
      </c>
      <c r="K60" s="411">
        <f t="shared" si="75"/>
        <v>0</v>
      </c>
      <c r="L60" s="411">
        <f t="shared" si="75"/>
        <v>0</v>
      </c>
      <c r="M60" s="411">
        <f t="shared" si="75"/>
        <v>0</v>
      </c>
      <c r="N60" s="411">
        <f t="shared" si="75"/>
        <v>0</v>
      </c>
      <c r="O60" s="411">
        <f t="shared" si="75"/>
        <v>0</v>
      </c>
      <c r="P60" s="411">
        <f t="shared" si="75"/>
        <v>1.6457040458029867E-2</v>
      </c>
      <c r="Q60" s="423">
        <f t="shared" si="64"/>
        <v>0</v>
      </c>
      <c r="R60" s="411" t="str">
        <f t="shared" si="65"/>
        <v>N/A</v>
      </c>
      <c r="S60" s="423">
        <f t="shared" si="66"/>
        <v>0</v>
      </c>
      <c r="T60" s="411" t="str">
        <f t="shared" si="67"/>
        <v>N/A</v>
      </c>
      <c r="U60" s="423">
        <f t="shared" si="68"/>
        <v>0</v>
      </c>
      <c r="V60" s="411" t="str">
        <f t="shared" si="69"/>
        <v>N/A</v>
      </c>
      <c r="W60" s="423">
        <f t="shared" si="70"/>
        <v>0</v>
      </c>
      <c r="X60" s="411" t="str">
        <f t="shared" si="71"/>
        <v>N/A</v>
      </c>
      <c r="Y60" s="423">
        <f t="shared" si="72"/>
        <v>0</v>
      </c>
      <c r="Z60" s="411" t="str">
        <f t="shared" si="73"/>
        <v>N/A</v>
      </c>
      <c r="AA60" s="151"/>
    </row>
    <row r="61" spans="1:27" x14ac:dyDescent="0.35">
      <c r="A61" s="151"/>
      <c r="B61" s="22"/>
      <c r="C61" s="3"/>
      <c r="D61" s="3"/>
      <c r="E61" s="3"/>
      <c r="F61" s="3"/>
      <c r="G61" s="3"/>
      <c r="H61" s="3"/>
      <c r="I61" s="3"/>
      <c r="J61" s="40"/>
      <c r="K61" s="40"/>
      <c r="L61" s="40"/>
      <c r="M61" s="40"/>
      <c r="N61" s="40"/>
      <c r="O61" s="40"/>
      <c r="P61" s="40"/>
      <c r="Q61" s="40"/>
      <c r="R61" s="40"/>
      <c r="S61" s="40"/>
      <c r="T61" s="40"/>
      <c r="U61" s="40"/>
      <c r="V61" s="40"/>
      <c r="W61" s="40"/>
      <c r="X61" s="40"/>
      <c r="Y61" s="40"/>
      <c r="Z61" s="40"/>
      <c r="AA61" s="151"/>
    </row>
    <row r="62" spans="1:27" x14ac:dyDescent="0.35">
      <c r="A62" s="151"/>
      <c r="B62" s="20" t="s">
        <v>187</v>
      </c>
      <c r="C62" s="5">
        <f t="shared" ref="C62:I62" si="77">SUM(C53:C60)</f>
        <v>4595746915.2133341</v>
      </c>
      <c r="D62" s="5">
        <f t="shared" si="77"/>
        <v>4897324835.499999</v>
      </c>
      <c r="E62" s="5">
        <f t="shared" si="77"/>
        <v>7848700441.5</v>
      </c>
      <c r="F62" s="5">
        <f t="shared" si="77"/>
        <v>8448802839.999999</v>
      </c>
      <c r="G62" s="5">
        <f t="shared" si="77"/>
        <v>8881040067.7304974</v>
      </c>
      <c r="H62" s="5">
        <f t="shared" si="77"/>
        <v>10006441667.975208</v>
      </c>
      <c r="I62" s="5">
        <f t="shared" si="77"/>
        <v>6444252.25</v>
      </c>
      <c r="J62" s="415">
        <f t="shared" ref="J62:P62" si="78">+C62/C$64</f>
        <v>0.51307309135017998</v>
      </c>
      <c r="K62" s="415">
        <f t="shared" si="78"/>
        <v>0.46514536606392048</v>
      </c>
      <c r="L62" s="415">
        <f t="shared" si="78"/>
        <v>0.5512112012404331</v>
      </c>
      <c r="M62" s="415">
        <f t="shared" si="78"/>
        <v>0.45851781038614442</v>
      </c>
      <c r="N62" s="415">
        <f t="shared" si="78"/>
        <v>0.44616307481529582</v>
      </c>
      <c r="O62" s="415">
        <f t="shared" si="78"/>
        <v>0.37722204722489966</v>
      </c>
      <c r="P62" s="415">
        <f t="shared" si="78"/>
        <v>0.41075416290251304</v>
      </c>
      <c r="Q62" s="425">
        <f t="shared" ref="Q62" si="79">+D62-C62</f>
        <v>301577920.28666496</v>
      </c>
      <c r="R62" s="412">
        <f t="shared" ref="R62" si="80">IFERROR(Q62/C62,"N/A")</f>
        <v>6.5621089640151731E-2</v>
      </c>
      <c r="S62" s="425">
        <f>+E62-D62</f>
        <v>2951375606.000001</v>
      </c>
      <c r="T62" s="412">
        <f>IFERROR(S62/D62,"N/A")</f>
        <v>0.60265057049226267</v>
      </c>
      <c r="U62" s="425">
        <f>+F62-E62</f>
        <v>600102398.49999905</v>
      </c>
      <c r="V62" s="412">
        <f>IFERROR(U62/E62,"N/A")</f>
        <v>7.645882308451446E-2</v>
      </c>
      <c r="W62" s="425">
        <f>+G62-F62</f>
        <v>432237227.73049831</v>
      </c>
      <c r="X62" s="412">
        <f>IFERROR(W62/F62,"N/A")</f>
        <v>5.115958271438352E-2</v>
      </c>
      <c r="Y62" s="425">
        <f>+H62-G62</f>
        <v>1125401600.2447109</v>
      </c>
      <c r="Z62" s="412">
        <f>IFERROR(Y62/G62,"N/A")</f>
        <v>0.12671957244443571</v>
      </c>
      <c r="AA62" s="441">
        <f>(H62/C62)^(1/5)-1</f>
        <v>0.1683816101347213</v>
      </c>
    </row>
    <row r="63" spans="1:27" x14ac:dyDescent="0.35">
      <c r="A63" s="151"/>
      <c r="B63" s="22"/>
      <c r="C63" s="3"/>
      <c r="D63" s="3"/>
      <c r="E63" s="3"/>
      <c r="F63" s="3"/>
      <c r="G63" s="3"/>
      <c r="H63" s="3"/>
      <c r="I63" s="3"/>
      <c r="J63" s="40"/>
      <c r="K63" s="40"/>
      <c r="L63" s="40"/>
      <c r="M63" s="40"/>
      <c r="N63" s="40"/>
      <c r="O63" s="40"/>
      <c r="P63" s="40"/>
      <c r="AA63" s="151"/>
    </row>
    <row r="64" spans="1:27" x14ac:dyDescent="0.35">
      <c r="A64" s="151"/>
      <c r="B64" s="43" t="s">
        <v>188</v>
      </c>
      <c r="C64" s="44">
        <f>C41+C49+C62</f>
        <v>8957294765</v>
      </c>
      <c r="D64" s="44">
        <f>D41+D49+D62</f>
        <v>10528589969.5</v>
      </c>
      <c r="E64" s="44">
        <f t="shared" ref="E64:H64" si="81">E41+E49+E62</f>
        <v>14239007523.5</v>
      </c>
      <c r="F64" s="44">
        <f t="shared" si="81"/>
        <v>18426335136</v>
      </c>
      <c r="G64" s="44">
        <f t="shared" si="81"/>
        <v>19905367721</v>
      </c>
      <c r="H64" s="44">
        <f t="shared" si="81"/>
        <v>26526661793.999996</v>
      </c>
      <c r="I64" s="44">
        <f t="shared" ref="I64" si="82">I41+I49+I62</f>
        <v>15688830.039999999</v>
      </c>
      <c r="J64" s="413">
        <f>+J62+J50</f>
        <v>1</v>
      </c>
      <c r="K64" s="413">
        <f t="shared" ref="K64:O64" si="83">+K62+K50</f>
        <v>1</v>
      </c>
      <c r="L64" s="413">
        <f t="shared" si="83"/>
        <v>1</v>
      </c>
      <c r="M64" s="413">
        <f t="shared" si="83"/>
        <v>1</v>
      </c>
      <c r="N64" s="413">
        <f t="shared" si="83"/>
        <v>1</v>
      </c>
      <c r="O64" s="413">
        <f t="shared" si="83"/>
        <v>1</v>
      </c>
      <c r="P64" s="413">
        <f t="shared" ref="P64" si="84">+P62+P50</f>
        <v>1</v>
      </c>
      <c r="Q64" s="426">
        <f t="shared" ref="Q64" si="85">+D64-C64</f>
        <v>1571295204.5</v>
      </c>
      <c r="R64" s="413">
        <f t="shared" ref="R64" si="86">IFERROR(Q64/C64,"N/A")</f>
        <v>0.17542073200937025</v>
      </c>
      <c r="S64" s="426">
        <f>+E64-D64</f>
        <v>3710417554</v>
      </c>
      <c r="T64" s="413">
        <f>IFERROR(S64/D64,"N/A")</f>
        <v>0.35241352970802481</v>
      </c>
      <c r="U64" s="426">
        <f>+F64-E64</f>
        <v>4187327612.5</v>
      </c>
      <c r="V64" s="413">
        <f>IFERROR(U64/E64,"N/A")</f>
        <v>0.2940744012944197</v>
      </c>
      <c r="W64" s="426">
        <f>+G64-F64</f>
        <v>1479032585</v>
      </c>
      <c r="X64" s="413">
        <f>IFERROR(W64/F64,"N/A")</f>
        <v>8.0267322507902097E-2</v>
      </c>
      <c r="Y64" s="426">
        <f>+H64-G64</f>
        <v>6621294072.9999962</v>
      </c>
      <c r="Z64" s="413">
        <f>IFERROR(Y64/G64,"N/A")</f>
        <v>0.33263862119033277</v>
      </c>
      <c r="AA64" s="151"/>
    </row>
    <row r="65" spans="1:27" ht="15" thickBot="1" x14ac:dyDescent="0.4">
      <c r="A65" s="151"/>
      <c r="B65" s="4"/>
      <c r="C65" s="408">
        <f>C64-C31</f>
        <v>0</v>
      </c>
      <c r="D65" s="408">
        <f t="shared" ref="D65:H65" si="87">D64-D31</f>
        <v>0</v>
      </c>
      <c r="E65" s="408">
        <f t="shared" si="87"/>
        <v>0</v>
      </c>
      <c r="F65" s="408">
        <f t="shared" si="87"/>
        <v>0.5</v>
      </c>
      <c r="G65" s="408">
        <f t="shared" si="87"/>
        <v>0</v>
      </c>
      <c r="H65" s="408">
        <f t="shared" si="87"/>
        <v>0</v>
      </c>
      <c r="I65" s="408">
        <f t="shared" ref="I65" si="88">I64-I31</f>
        <v>0</v>
      </c>
      <c r="J65" s="408"/>
      <c r="K65" s="408"/>
      <c r="L65" s="408"/>
      <c r="M65" s="408"/>
      <c r="N65" s="408"/>
      <c r="O65" s="408"/>
      <c r="P65" s="408"/>
      <c r="Q65" s="408"/>
      <c r="R65" s="408"/>
      <c r="S65" s="408"/>
      <c r="T65" s="408"/>
      <c r="U65" s="408"/>
      <c r="V65" s="408"/>
      <c r="W65" s="408"/>
      <c r="X65" s="408"/>
      <c r="Y65" s="408"/>
      <c r="Z65" s="408"/>
      <c r="AA65" s="151"/>
    </row>
    <row r="66" spans="1:27" x14ac:dyDescent="0.35">
      <c r="A66" s="151"/>
      <c r="C66" s="2" t="b">
        <f>+C57=Variables!D50</f>
        <v>1</v>
      </c>
      <c r="D66" s="2" t="b">
        <f>+D57=Variables!E50</f>
        <v>1</v>
      </c>
      <c r="E66" s="2" t="b">
        <f>+E57=Variables!F50</f>
        <v>1</v>
      </c>
      <c r="F66" s="2" t="b">
        <f>+F57=Variables!G50</f>
        <v>1</v>
      </c>
      <c r="G66" s="2" t="b">
        <f>+G57=Variables!H50</f>
        <v>1</v>
      </c>
      <c r="H66" s="2" t="b">
        <f>+H57=Variables!I50</f>
        <v>1</v>
      </c>
      <c r="AA66" s="151"/>
    </row>
    <row r="67" spans="1:27" ht="25.2" customHeight="1" x14ac:dyDescent="0.45">
      <c r="A67" s="151"/>
      <c r="B67" s="472" t="s">
        <v>189</v>
      </c>
      <c r="C67" s="473"/>
      <c r="D67" s="473"/>
      <c r="E67" s="473"/>
      <c r="F67" s="473"/>
      <c r="G67" s="473"/>
      <c r="H67" s="473"/>
      <c r="I67" s="473"/>
      <c r="J67" s="473"/>
      <c r="K67" s="473"/>
      <c r="L67" s="473"/>
      <c r="M67" s="473"/>
      <c r="N67" s="473"/>
      <c r="O67" s="473"/>
      <c r="P67" s="473"/>
      <c r="Q67" s="473"/>
      <c r="R67" s="473"/>
      <c r="S67" s="473"/>
      <c r="T67" s="473"/>
      <c r="U67" s="473"/>
      <c r="V67" s="473"/>
      <c r="W67" s="473"/>
      <c r="X67" s="473"/>
      <c r="Y67" s="473"/>
      <c r="Z67" s="474"/>
      <c r="AA67" s="151"/>
    </row>
    <row r="68" spans="1:27" ht="22.2" x14ac:dyDescent="0.45">
      <c r="A68" s="151"/>
      <c r="B68" s="78"/>
      <c r="C68" s="478" t="s">
        <v>176</v>
      </c>
      <c r="D68" s="478"/>
      <c r="E68" s="478"/>
      <c r="F68" s="478"/>
      <c r="G68" s="478"/>
      <c r="H68" s="478"/>
      <c r="I68" s="421"/>
      <c r="J68" s="477" t="s">
        <v>177</v>
      </c>
      <c r="K68" s="477"/>
      <c r="L68" s="477"/>
      <c r="M68" s="477"/>
      <c r="N68" s="477"/>
      <c r="O68" s="477"/>
      <c r="P68" s="422"/>
      <c r="Q68" s="478" t="s">
        <v>178</v>
      </c>
      <c r="R68" s="478"/>
      <c r="S68" s="478"/>
      <c r="T68" s="478"/>
      <c r="U68" s="478"/>
      <c r="V68" s="478"/>
      <c r="W68" s="478"/>
      <c r="X68" s="478"/>
      <c r="Y68" s="478"/>
      <c r="Z68" s="479"/>
      <c r="AA68" s="151"/>
    </row>
    <row r="69" spans="1:27" ht="15" x14ac:dyDescent="0.35">
      <c r="A69" s="151"/>
      <c r="B69" s="27"/>
      <c r="C69" s="28">
        <f>+Variables!D7</f>
        <v>2018</v>
      </c>
      <c r="D69" s="28">
        <f>+Variables!E7</f>
        <v>2019</v>
      </c>
      <c r="E69" s="28">
        <f>+Variables!F7</f>
        <v>2020</v>
      </c>
      <c r="F69" s="28">
        <f>+Variables!G7</f>
        <v>2021</v>
      </c>
      <c r="G69" s="28">
        <f>+Variables!H7</f>
        <v>2022</v>
      </c>
      <c r="H69" s="28">
        <f>+Variables!I7</f>
        <v>2023</v>
      </c>
      <c r="I69" s="28" t="str">
        <f>+I5</f>
        <v>REFERENTE</v>
      </c>
      <c r="J69" s="21">
        <f>+C69</f>
        <v>2018</v>
      </c>
      <c r="K69" s="21">
        <f>+D69</f>
        <v>2019</v>
      </c>
      <c r="L69" s="21">
        <f t="shared" ref="L69:P69" si="89">+E69</f>
        <v>2020</v>
      </c>
      <c r="M69" s="21">
        <f t="shared" si="89"/>
        <v>2021</v>
      </c>
      <c r="N69" s="21">
        <f t="shared" si="89"/>
        <v>2022</v>
      </c>
      <c r="O69" s="21">
        <f t="shared" si="89"/>
        <v>2023</v>
      </c>
      <c r="P69" s="21" t="str">
        <f t="shared" si="89"/>
        <v>REFERENTE</v>
      </c>
      <c r="Q69" s="475" t="str">
        <f>+Q5</f>
        <v>2019 - 2018</v>
      </c>
      <c r="R69" s="476"/>
      <c r="S69" s="475" t="str">
        <f>+S5</f>
        <v>2020 - 2019</v>
      </c>
      <c r="T69" s="476"/>
      <c r="U69" s="475" t="str">
        <f>+U5</f>
        <v>2021 - 2020</v>
      </c>
      <c r="V69" s="476"/>
      <c r="W69" s="475" t="str">
        <f>+W5</f>
        <v>2022 - 2021</v>
      </c>
      <c r="X69" s="476"/>
      <c r="Y69" s="475" t="str">
        <f>+Y5</f>
        <v>2023 - 2022</v>
      </c>
      <c r="Z69" s="476"/>
      <c r="AA69" s="151"/>
    </row>
    <row r="70" spans="1:27" x14ac:dyDescent="0.35">
      <c r="A70" s="151"/>
      <c r="B70" s="29"/>
      <c r="C70" s="7"/>
      <c r="D70" s="7"/>
      <c r="E70" s="7"/>
      <c r="F70" s="7"/>
      <c r="G70" s="7"/>
      <c r="H70" s="7"/>
      <c r="I70" s="7"/>
      <c r="J70" s="7"/>
      <c r="K70" s="7"/>
      <c r="L70" s="7"/>
      <c r="M70" s="7"/>
      <c r="N70" s="7"/>
      <c r="O70" s="7"/>
      <c r="P70" s="7"/>
      <c r="Q70" s="7"/>
      <c r="R70" s="7"/>
      <c r="S70" s="7"/>
      <c r="T70" s="7"/>
      <c r="U70" s="7"/>
      <c r="V70" s="7"/>
      <c r="W70" s="7"/>
      <c r="X70" s="7"/>
      <c r="Y70" s="7"/>
      <c r="Z70" s="7"/>
      <c r="AA70" s="151"/>
    </row>
    <row r="71" spans="1:27" x14ac:dyDescent="0.35">
      <c r="A71" s="151"/>
      <c r="B71" s="27" t="s">
        <v>190</v>
      </c>
      <c r="C71" s="8">
        <f>+Variables!D57</f>
        <v>8762199234</v>
      </c>
      <c r="D71" s="8">
        <f>+Variables!E57</f>
        <v>11725525591</v>
      </c>
      <c r="E71" s="8">
        <f>+Variables!F57</f>
        <v>19221204200</v>
      </c>
      <c r="F71" s="8">
        <f>+Variables!G57</f>
        <v>22668489146</v>
      </c>
      <c r="G71" s="8">
        <f>+Variables!H57</f>
        <v>29057600090</v>
      </c>
      <c r="H71" s="8">
        <f>+Variables!I57</f>
        <v>34573914366</v>
      </c>
      <c r="I71" s="8">
        <f>+'Estado Resultados'!I8</f>
        <v>18906263.539999999</v>
      </c>
      <c r="J71" s="417">
        <f t="shared" ref="J71:P83" si="90">+C71/C$71</f>
        <v>1</v>
      </c>
      <c r="K71" s="417">
        <f t="shared" si="90"/>
        <v>1</v>
      </c>
      <c r="L71" s="417">
        <f t="shared" si="90"/>
        <v>1</v>
      </c>
      <c r="M71" s="417">
        <f t="shared" si="90"/>
        <v>1</v>
      </c>
      <c r="N71" s="417">
        <f t="shared" si="90"/>
        <v>1</v>
      </c>
      <c r="O71" s="417">
        <f t="shared" si="90"/>
        <v>1</v>
      </c>
      <c r="P71" s="417">
        <f t="shared" si="90"/>
        <v>1</v>
      </c>
      <c r="Q71" s="424">
        <f t="shared" ref="Q71:Q83" si="91">+D71-C71</f>
        <v>2963326357</v>
      </c>
      <c r="R71" s="417">
        <f t="shared" ref="R71:R83" si="92">IFERROR(Q71/C71,"N/A")</f>
        <v>0.33819435941394621</v>
      </c>
      <c r="S71" s="424">
        <f t="shared" ref="S71" si="93">+E71-D71</f>
        <v>7495678609</v>
      </c>
      <c r="T71" s="417">
        <f t="shared" ref="T71" si="94">IFERROR(S71/D71,"N/A")</f>
        <v>0.63926163060471719</v>
      </c>
      <c r="U71" s="424">
        <f t="shared" ref="U71" si="95">+F71-E71</f>
        <v>3447284946</v>
      </c>
      <c r="V71" s="417">
        <f t="shared" ref="V71" si="96">IFERROR(U71/E71,"N/A")</f>
        <v>0.17934802159793922</v>
      </c>
      <c r="W71" s="424">
        <f t="shared" ref="W71" si="97">+G71-F71</f>
        <v>6389110944</v>
      </c>
      <c r="X71" s="417">
        <f t="shared" ref="X71" si="98">IFERROR(W71/F71,"N/A")</f>
        <v>0.28184987993023786</v>
      </c>
      <c r="Y71" s="424">
        <f t="shared" ref="Y71" si="99">+H71-G71</f>
        <v>5516314276</v>
      </c>
      <c r="Z71" s="417">
        <f>IFERROR(Y71/G71,"N/A")</f>
        <v>0.18984067021757955</v>
      </c>
      <c r="AA71" s="587">
        <f>(H71/D71)^(1/4)-1</f>
        <v>0.31040052460117562</v>
      </c>
    </row>
    <row r="72" spans="1:27" x14ac:dyDescent="0.35">
      <c r="A72" s="151"/>
      <c r="B72" s="30" t="str">
        <f>+'Estado Resultados'!B10</f>
        <v>Costo de ventas</v>
      </c>
      <c r="C72" s="3">
        <f>+Variables!D58</f>
        <v>4499655119</v>
      </c>
      <c r="D72" s="3">
        <f>+Variables!E58</f>
        <v>6551066239</v>
      </c>
      <c r="E72" s="3">
        <f>+Variables!F58</f>
        <v>10619635810</v>
      </c>
      <c r="F72" s="3">
        <f>+Variables!G58</f>
        <v>13922233454</v>
      </c>
      <c r="G72" s="3">
        <f>+Variables!H58</f>
        <v>18723224652</v>
      </c>
      <c r="H72" s="3">
        <f>+Variables!I58</f>
        <v>23385605589</v>
      </c>
      <c r="I72" s="3">
        <f>+'Estado Resultados'!I10</f>
        <v>11508292.74</v>
      </c>
      <c r="J72" s="411">
        <f t="shared" si="90"/>
        <v>0.51353033625850097</v>
      </c>
      <c r="K72" s="411">
        <f t="shared" si="90"/>
        <v>0.55870128704749167</v>
      </c>
      <c r="L72" s="411">
        <f t="shared" si="90"/>
        <v>0.55249586339652956</v>
      </c>
      <c r="M72" s="411">
        <f t="shared" si="90"/>
        <v>0.61416680063376294</v>
      </c>
      <c r="N72" s="411">
        <f t="shared" si="90"/>
        <v>0.64434862459420683</v>
      </c>
      <c r="O72" s="411">
        <f t="shared" si="90"/>
        <v>0.67639450197740447</v>
      </c>
      <c r="P72" s="411">
        <f t="shared" si="90"/>
        <v>0.60870265114266997</v>
      </c>
      <c r="Q72" s="423">
        <f t="shared" si="91"/>
        <v>2051411120</v>
      </c>
      <c r="R72" s="411">
        <f t="shared" si="92"/>
        <v>0.4559040783676559</v>
      </c>
      <c r="S72" s="423">
        <f t="shared" ref="S72:S83" si="100">+E72-D72</f>
        <v>4068569571</v>
      </c>
      <c r="T72" s="411">
        <f t="shared" ref="T72:T83" si="101">IFERROR(S72/D72,"N/A")</f>
        <v>0.6210545615885964</v>
      </c>
      <c r="U72" s="423">
        <f t="shared" ref="U72:U83" si="102">+F72-E72</f>
        <v>3302597644</v>
      </c>
      <c r="V72" s="411">
        <f t="shared" ref="V72:V83" si="103">IFERROR(U72/E72,"N/A")</f>
        <v>0.3109897272456465</v>
      </c>
      <c r="W72" s="423">
        <f t="shared" ref="W72:W83" si="104">+G72-F72</f>
        <v>4800991198</v>
      </c>
      <c r="X72" s="411">
        <f t="shared" ref="X72:X83" si="105">IFERROR(W72/F72,"N/A")</f>
        <v>0.34484346307385227</v>
      </c>
      <c r="Y72" s="423">
        <f t="shared" ref="Y72:Y83" si="106">+H72-G72</f>
        <v>4662380937</v>
      </c>
      <c r="Z72" s="411">
        <f t="shared" ref="Z72:Z83" si="107">IFERROR(Y72/G72,"N/A")</f>
        <v>0.2490159159897688</v>
      </c>
      <c r="AA72" s="151"/>
    </row>
    <row r="73" spans="1:27" x14ac:dyDescent="0.35">
      <c r="A73" s="151"/>
      <c r="B73" s="31" t="s">
        <v>191</v>
      </c>
      <c r="C73" s="5">
        <f>C71-C72</f>
        <v>4262544115</v>
      </c>
      <c r="D73" s="5">
        <f>D71-D72</f>
        <v>5174459352</v>
      </c>
      <c r="E73" s="5">
        <f t="shared" ref="E73:I73" si="108">E71-E72</f>
        <v>8601568390</v>
      </c>
      <c r="F73" s="5">
        <f t="shared" si="108"/>
        <v>8746255692</v>
      </c>
      <c r="G73" s="5">
        <f t="shared" si="108"/>
        <v>10334375438</v>
      </c>
      <c r="H73" s="5">
        <f t="shared" si="108"/>
        <v>11188308777</v>
      </c>
      <c r="I73" s="5">
        <f t="shared" si="108"/>
        <v>7397970.7999999989</v>
      </c>
      <c r="J73" s="417">
        <f t="shared" si="90"/>
        <v>0.48646966374149897</v>
      </c>
      <c r="K73" s="417">
        <f t="shared" si="90"/>
        <v>0.44129871295250839</v>
      </c>
      <c r="L73" s="417">
        <f t="shared" si="90"/>
        <v>0.44750413660347044</v>
      </c>
      <c r="M73" s="417">
        <f t="shared" si="90"/>
        <v>0.38583319936623711</v>
      </c>
      <c r="N73" s="417">
        <f t="shared" si="90"/>
        <v>0.35565137540579317</v>
      </c>
      <c r="O73" s="417">
        <f t="shared" si="90"/>
        <v>0.32360549802259553</v>
      </c>
      <c r="P73" s="417">
        <f t="shared" si="90"/>
        <v>0.39129734885733003</v>
      </c>
      <c r="Q73" s="425">
        <f t="shared" si="91"/>
        <v>911915237</v>
      </c>
      <c r="R73" s="412">
        <f t="shared" si="92"/>
        <v>0.2139368443814921</v>
      </c>
      <c r="S73" s="425">
        <f t="shared" si="100"/>
        <v>3427109038</v>
      </c>
      <c r="T73" s="412">
        <f t="shared" si="101"/>
        <v>0.6623124861683134</v>
      </c>
      <c r="U73" s="425">
        <f t="shared" si="102"/>
        <v>144687302</v>
      </c>
      <c r="V73" s="412">
        <f t="shared" si="103"/>
        <v>1.6821037215516459E-2</v>
      </c>
      <c r="W73" s="425">
        <f t="shared" si="104"/>
        <v>1588119746</v>
      </c>
      <c r="X73" s="412">
        <f t="shared" si="105"/>
        <v>0.18157710018158019</v>
      </c>
      <c r="Y73" s="425">
        <f t="shared" si="106"/>
        <v>853933339</v>
      </c>
      <c r="Z73" s="412">
        <f t="shared" si="107"/>
        <v>8.2630377048238987E-2</v>
      </c>
      <c r="AA73" s="151"/>
    </row>
    <row r="74" spans="1:27" x14ac:dyDescent="0.35">
      <c r="A74" s="151"/>
      <c r="B74" s="30" t="str">
        <f>+'Estado Resultados'!B14</f>
        <v>Gastos de administración</v>
      </c>
      <c r="C74" s="3">
        <f>+Variables!D59</f>
        <v>988722886.32150304</v>
      </c>
      <c r="D74" s="3">
        <f>+Variables!E59</f>
        <v>1198087100.4407773</v>
      </c>
      <c r="E74" s="3">
        <f>+Variables!F59</f>
        <v>1502430504.2454386</v>
      </c>
      <c r="F74" s="3">
        <f>+Variables!G59</f>
        <v>1744225070.5946362</v>
      </c>
      <c r="G74" s="3">
        <f>+Variables!H59</f>
        <v>2327490371.9545426</v>
      </c>
      <c r="H74" s="3">
        <f>+Variables!I59</f>
        <v>2557165389.3303685</v>
      </c>
      <c r="I74" s="3">
        <f>+'Estado Resultados'!I14</f>
        <v>5669813.8400000008</v>
      </c>
      <c r="J74" s="411">
        <f t="shared" si="90"/>
        <v>0.11283958055700871</v>
      </c>
      <c r="K74" s="411">
        <f t="shared" si="90"/>
        <v>0.10217768842365382</v>
      </c>
      <c r="L74" s="411">
        <f t="shared" si="90"/>
        <v>7.816526418492753E-2</v>
      </c>
      <c r="M74" s="411">
        <f t="shared" si="90"/>
        <v>7.6944919414817542E-2</v>
      </c>
      <c r="N74" s="411">
        <f t="shared" si="90"/>
        <v>8.0099194866252374E-2</v>
      </c>
      <c r="O74" s="411">
        <f t="shared" si="90"/>
        <v>7.3962275785731849E-2</v>
      </c>
      <c r="P74" s="411">
        <f t="shared" si="90"/>
        <v>0.29989076519558561</v>
      </c>
      <c r="Q74" s="423">
        <f t="shared" si="91"/>
        <v>209364214.11927426</v>
      </c>
      <c r="R74" s="411">
        <f t="shared" si="92"/>
        <v>0.21175216738251498</v>
      </c>
      <c r="S74" s="423">
        <f t="shared" si="100"/>
        <v>304343403.80466127</v>
      </c>
      <c r="T74" s="411">
        <f t="shared" si="101"/>
        <v>0.25402443920203555</v>
      </c>
      <c r="U74" s="423">
        <f t="shared" si="102"/>
        <v>241794566.34919763</v>
      </c>
      <c r="V74" s="411">
        <f t="shared" si="103"/>
        <v>0.16093560778082938</v>
      </c>
      <c r="W74" s="423">
        <f t="shared" si="104"/>
        <v>583265301.35990644</v>
      </c>
      <c r="X74" s="411">
        <f t="shared" si="105"/>
        <v>0.33439795769078201</v>
      </c>
      <c r="Y74" s="423">
        <f t="shared" si="106"/>
        <v>229675017.37582588</v>
      </c>
      <c r="Z74" s="411">
        <f t="shared" si="107"/>
        <v>9.8679255623709869E-2</v>
      </c>
      <c r="AA74" s="151"/>
    </row>
    <row r="75" spans="1:27" x14ac:dyDescent="0.35">
      <c r="A75" s="151"/>
      <c r="B75" s="30" t="str">
        <f>+'Estado Resultados'!B15</f>
        <v>Gastos de ventas</v>
      </c>
      <c r="C75" s="3">
        <f>+Variables!D60</f>
        <v>2331647080.4849558</v>
      </c>
      <c r="D75" s="3">
        <f>+Variables!E60</f>
        <v>2832910792.5185809</v>
      </c>
      <c r="E75" s="3">
        <f>+Variables!F60</f>
        <v>3552539367.8975072</v>
      </c>
      <c r="F75" s="3">
        <f>+Variables!G60</f>
        <v>4124269450.2354164</v>
      </c>
      <c r="G75" s="3">
        <f>+Variables!H60</f>
        <v>5503416731.3606243</v>
      </c>
      <c r="H75" s="3">
        <f>+Variables!I60</f>
        <v>6046489797.7983608</v>
      </c>
      <c r="I75" s="3">
        <f>+'Estado Resultados'!I15</f>
        <v>0</v>
      </c>
      <c r="J75" s="411">
        <f t="shared" si="90"/>
        <v>0.26610295180660298</v>
      </c>
      <c r="K75" s="411">
        <f t="shared" si="90"/>
        <v>0.24160203058982696</v>
      </c>
      <c r="L75" s="411">
        <f t="shared" si="90"/>
        <v>0.18482397517516136</v>
      </c>
      <c r="M75" s="411">
        <f t="shared" si="90"/>
        <v>0.18193843549397601</v>
      </c>
      <c r="N75" s="411">
        <f t="shared" si="90"/>
        <v>0.18939680890076646</v>
      </c>
      <c r="O75" s="411">
        <f t="shared" si="90"/>
        <v>0.17488589037938038</v>
      </c>
      <c r="P75" s="411">
        <f t="shared" si="90"/>
        <v>0</v>
      </c>
      <c r="Q75" s="423">
        <f t="shared" si="91"/>
        <v>501263712.03362513</v>
      </c>
      <c r="R75" s="411">
        <f t="shared" si="92"/>
        <v>0.21498266878766578</v>
      </c>
      <c r="S75" s="423">
        <f t="shared" si="100"/>
        <v>719628575.37892628</v>
      </c>
      <c r="T75" s="411">
        <f t="shared" si="101"/>
        <v>0.25402443920203543</v>
      </c>
      <c r="U75" s="423">
        <f t="shared" si="102"/>
        <v>571730082.33790922</v>
      </c>
      <c r="V75" s="411">
        <f t="shared" si="103"/>
        <v>0.16093560778082952</v>
      </c>
      <c r="W75" s="423">
        <f t="shared" si="104"/>
        <v>1379147281.1252079</v>
      </c>
      <c r="X75" s="411">
        <f t="shared" si="105"/>
        <v>0.33439795769078207</v>
      </c>
      <c r="Y75" s="423">
        <f t="shared" si="106"/>
        <v>543073066.43773651</v>
      </c>
      <c r="Z75" s="411">
        <f t="shared" si="107"/>
        <v>9.86792556237098E-2</v>
      </c>
      <c r="AA75" s="151"/>
    </row>
    <row r="76" spans="1:27" x14ac:dyDescent="0.35">
      <c r="A76" s="151"/>
      <c r="B76" s="31" t="s">
        <v>192</v>
      </c>
      <c r="C76" s="5">
        <f>+C73-C74-C75</f>
        <v>942174148.19354105</v>
      </c>
      <c r="D76" s="5">
        <f>+D73-D74-D75</f>
        <v>1143461459.0406418</v>
      </c>
      <c r="E76" s="5">
        <f t="shared" ref="E76:I76" si="109">+E73-E74-E75</f>
        <v>3546598517.8570542</v>
      </c>
      <c r="F76" s="5">
        <f t="shared" si="109"/>
        <v>2877761171.1699476</v>
      </c>
      <c r="G76" s="5">
        <f t="shared" si="109"/>
        <v>2503468334.6848335</v>
      </c>
      <c r="H76" s="5">
        <f t="shared" si="109"/>
        <v>2584653589.8712711</v>
      </c>
      <c r="I76" s="5">
        <f t="shared" si="109"/>
        <v>1728156.9599999981</v>
      </c>
      <c r="J76" s="417">
        <f t="shared" si="90"/>
        <v>0.10752713137788725</v>
      </c>
      <c r="K76" s="417">
        <f t="shared" si="90"/>
        <v>9.7518993939027576E-2</v>
      </c>
      <c r="L76" s="417">
        <f t="shared" si="90"/>
        <v>0.18451489724338158</v>
      </c>
      <c r="M76" s="417">
        <f t="shared" si="90"/>
        <v>0.12694984445744356</v>
      </c>
      <c r="N76" s="417">
        <f t="shared" si="90"/>
        <v>8.6155371638774361E-2</v>
      </c>
      <c r="O76" s="417">
        <f t="shared" si="90"/>
        <v>7.4757331857483289E-2</v>
      </c>
      <c r="P76" s="417">
        <f t="shared" si="90"/>
        <v>9.1406583661744423E-2</v>
      </c>
      <c r="Q76" s="425">
        <f t="shared" si="91"/>
        <v>201287310.84710073</v>
      </c>
      <c r="R76" s="412">
        <f t="shared" si="92"/>
        <v>0.21364130106205417</v>
      </c>
      <c r="S76" s="425">
        <f t="shared" si="100"/>
        <v>2403137058.8164124</v>
      </c>
      <c r="T76" s="412">
        <f t="shared" si="101"/>
        <v>2.1016336316508926</v>
      </c>
      <c r="U76" s="425">
        <f t="shared" si="102"/>
        <v>-668837346.68710661</v>
      </c>
      <c r="V76" s="412">
        <f t="shared" si="103"/>
        <v>-0.18858558230358571</v>
      </c>
      <c r="W76" s="425">
        <f t="shared" si="104"/>
        <v>-374292836.4851141</v>
      </c>
      <c r="X76" s="412">
        <f t="shared" si="105"/>
        <v>-0.13006389836476462</v>
      </c>
      <c r="Y76" s="425">
        <f t="shared" si="106"/>
        <v>81185255.186437607</v>
      </c>
      <c r="Z76" s="412">
        <f t="shared" si="107"/>
        <v>3.2429112068900277E-2</v>
      </c>
      <c r="AA76" s="151"/>
    </row>
    <row r="77" spans="1:27" x14ac:dyDescent="0.35">
      <c r="A77" s="151"/>
      <c r="B77" s="30" t="str">
        <f>+'Estado Resultados'!B19</f>
        <v>Ingresos financieros</v>
      </c>
      <c r="C77" s="3">
        <f>+Variables!D61</f>
        <v>50865002</v>
      </c>
      <c r="D77" s="3">
        <f>+Variables!E61</f>
        <v>84010640</v>
      </c>
      <c r="E77" s="3">
        <f>+Variables!F61</f>
        <v>95366087</v>
      </c>
      <c r="F77" s="3">
        <f>+Variables!G61</f>
        <v>283713892</v>
      </c>
      <c r="G77" s="3">
        <f>+Variables!H61</f>
        <v>244336070</v>
      </c>
      <c r="H77" s="3">
        <f>+Variables!I61</f>
        <v>183151958</v>
      </c>
      <c r="I77" s="3">
        <f>+'Estado Resultados'!I19</f>
        <v>77353.69</v>
      </c>
      <c r="J77" s="411">
        <f t="shared" si="90"/>
        <v>5.8050496960430102E-3</v>
      </c>
      <c r="K77" s="411">
        <f t="shared" si="90"/>
        <v>7.1647653956324903E-3</v>
      </c>
      <c r="L77" s="411">
        <f t="shared" si="90"/>
        <v>4.9615042849396503E-3</v>
      </c>
      <c r="M77" s="411">
        <f t="shared" si="90"/>
        <v>1.2515783040179505E-2</v>
      </c>
      <c r="N77" s="411">
        <f t="shared" si="90"/>
        <v>8.4086803192011308E-3</v>
      </c>
      <c r="O77" s="411">
        <f t="shared" si="90"/>
        <v>5.2974030091343001E-3</v>
      </c>
      <c r="P77" s="411">
        <f t="shared" si="90"/>
        <v>4.0914319128336875E-3</v>
      </c>
      <c r="Q77" s="423">
        <f t="shared" si="91"/>
        <v>33145638</v>
      </c>
      <c r="R77" s="411">
        <f t="shared" si="92"/>
        <v>0.65163937278524042</v>
      </c>
      <c r="S77" s="423">
        <f t="shared" si="100"/>
        <v>11355447</v>
      </c>
      <c r="T77" s="411">
        <f t="shared" si="101"/>
        <v>0.13516677173272337</v>
      </c>
      <c r="U77" s="423">
        <f t="shared" si="102"/>
        <v>188347805</v>
      </c>
      <c r="V77" s="411">
        <f t="shared" si="103"/>
        <v>1.9749977263930312</v>
      </c>
      <c r="W77" s="423">
        <f t="shared" si="104"/>
        <v>-39377822</v>
      </c>
      <c r="X77" s="411">
        <f t="shared" si="105"/>
        <v>-0.13879412714834563</v>
      </c>
      <c r="Y77" s="423">
        <f t="shared" si="106"/>
        <v>-61184112</v>
      </c>
      <c r="Z77" s="411">
        <f t="shared" si="107"/>
        <v>-0.2504096591223719</v>
      </c>
      <c r="AA77" s="151"/>
    </row>
    <row r="78" spans="1:27" x14ac:dyDescent="0.35">
      <c r="A78" s="151"/>
      <c r="B78" s="30" t="str">
        <f>+'Estado Resultados'!B20</f>
        <v>Otros ingresos no operativos</v>
      </c>
      <c r="C78" s="3">
        <f>+Variables!D62</f>
        <v>172509854</v>
      </c>
      <c r="D78" s="3">
        <f>+Variables!E62</f>
        <v>191162383</v>
      </c>
      <c r="E78" s="3">
        <f>+Variables!F62</f>
        <v>240884681</v>
      </c>
      <c r="F78" s="3">
        <f>+Variables!G62</f>
        <v>182662123</v>
      </c>
      <c r="G78" s="3">
        <f>+Variables!H62</f>
        <v>173243583</v>
      </c>
      <c r="H78" s="3">
        <f>+Variables!I62</f>
        <v>200666616</v>
      </c>
      <c r="I78" s="3">
        <f>+'Estado Resultados'!I20</f>
        <v>95317.82</v>
      </c>
      <c r="J78" s="411">
        <f t="shared" si="90"/>
        <v>1.9687962963751072E-2</v>
      </c>
      <c r="K78" s="411">
        <f t="shared" si="90"/>
        <v>1.6303097163228902E-2</v>
      </c>
      <c r="L78" s="411">
        <f t="shared" si="90"/>
        <v>1.2532236715949358E-2</v>
      </c>
      <c r="M78" s="411">
        <f t="shared" si="90"/>
        <v>8.0579751841216955E-3</v>
      </c>
      <c r="N78" s="411">
        <f t="shared" si="90"/>
        <v>5.962074722737366E-3</v>
      </c>
      <c r="O78" s="411">
        <f t="shared" si="90"/>
        <v>5.8039889228549612E-3</v>
      </c>
      <c r="P78" s="411">
        <f t="shared" si="90"/>
        <v>5.0416000918603512E-3</v>
      </c>
      <c r="Q78" s="423">
        <f t="shared" si="91"/>
        <v>18652529</v>
      </c>
      <c r="R78" s="411">
        <f t="shared" si="92"/>
        <v>0.10812442632987215</v>
      </c>
      <c r="S78" s="423">
        <f t="shared" si="100"/>
        <v>49722298</v>
      </c>
      <c r="T78" s="411">
        <f t="shared" si="101"/>
        <v>0.26010503332133078</v>
      </c>
      <c r="U78" s="423">
        <f t="shared" si="102"/>
        <v>-58222558</v>
      </c>
      <c r="V78" s="411">
        <f t="shared" si="103"/>
        <v>-0.24170303299610821</v>
      </c>
      <c r="W78" s="423">
        <f t="shared" si="104"/>
        <v>-9418540</v>
      </c>
      <c r="X78" s="411">
        <f t="shared" si="105"/>
        <v>-5.1562632938411651E-2</v>
      </c>
      <c r="Y78" s="423">
        <f t="shared" si="106"/>
        <v>27423033</v>
      </c>
      <c r="Z78" s="411">
        <f t="shared" si="107"/>
        <v>0.1582917677245223</v>
      </c>
      <c r="AA78" s="151"/>
    </row>
    <row r="79" spans="1:27" x14ac:dyDescent="0.35">
      <c r="B79" s="30" t="str">
        <f>+'Estado Resultados'!B21</f>
        <v>Gastos financieros</v>
      </c>
      <c r="C79" s="3">
        <f>+Variables!D63</f>
        <v>170429359.62826386</v>
      </c>
      <c r="D79" s="3">
        <f>+Variables!E63</f>
        <v>207403497.59821624</v>
      </c>
      <c r="E79" s="3">
        <f>+Variables!F63</f>
        <v>260089054.76414385</v>
      </c>
      <c r="F79" s="3">
        <f>+Variables!G63</f>
        <v>301946644.86975276</v>
      </c>
      <c r="G79" s="3">
        <f>+Variables!H63</f>
        <v>402916986.24578196</v>
      </c>
      <c r="H79" s="3">
        <f>+Variables!I63</f>
        <v>629826349.00000024</v>
      </c>
      <c r="I79" s="3">
        <f>+'Estado Resultados'!I21</f>
        <v>896035.67</v>
      </c>
      <c r="J79" s="411">
        <f t="shared" si="90"/>
        <v>1.9450523216471279E-2</v>
      </c>
      <c r="K79" s="411">
        <f t="shared" si="90"/>
        <v>1.7688204762216379E-2</v>
      </c>
      <c r="L79" s="411">
        <f t="shared" si="90"/>
        <v>1.3531361097768466E-2</v>
      </c>
      <c r="M79" s="411">
        <f t="shared" si="90"/>
        <v>1.332010452593543E-2</v>
      </c>
      <c r="N79" s="411">
        <f t="shared" si="90"/>
        <v>1.3866148098873569E-2</v>
      </c>
      <c r="O79" s="411">
        <f t="shared" si="90"/>
        <v>1.8216807687224786E-2</v>
      </c>
      <c r="P79" s="411">
        <f t="shared" si="90"/>
        <v>4.739358827323318E-2</v>
      </c>
      <c r="Q79" s="423">
        <f t="shared" si="91"/>
        <v>36974137.969952375</v>
      </c>
      <c r="R79" s="411">
        <f t="shared" si="92"/>
        <v>0.21694699816158092</v>
      </c>
      <c r="S79" s="423">
        <f t="shared" si="100"/>
        <v>52685557.165927619</v>
      </c>
      <c r="T79" s="411">
        <f t="shared" si="101"/>
        <v>0.2540244392020356</v>
      </c>
      <c r="U79" s="423">
        <f t="shared" si="102"/>
        <v>41857590.10560891</v>
      </c>
      <c r="V79" s="411">
        <f t="shared" si="103"/>
        <v>0.16093560778082938</v>
      </c>
      <c r="W79" s="423">
        <f t="shared" si="104"/>
        <v>100970341.37602919</v>
      </c>
      <c r="X79" s="411">
        <f t="shared" si="105"/>
        <v>0.33439795769078212</v>
      </c>
      <c r="Y79" s="423">
        <f t="shared" si="106"/>
        <v>226909362.75421828</v>
      </c>
      <c r="Z79" s="411">
        <f t="shared" si="107"/>
        <v>0.5631665342989588</v>
      </c>
    </row>
    <row r="80" spans="1:27" x14ac:dyDescent="0.35">
      <c r="A80" s="151"/>
      <c r="B80" s="30" t="str">
        <f>+'Estado Resultados'!B22</f>
        <v>Otros egresos no operativos</v>
      </c>
      <c r="C80" s="3">
        <f>+Variables!D64</f>
        <v>124808707.56527698</v>
      </c>
      <c r="D80" s="3">
        <f>+Variables!E64</f>
        <v>146754059.44242641</v>
      </c>
      <c r="E80" s="3">
        <f>+Variables!F64</f>
        <v>184033177.09291098</v>
      </c>
      <c r="F80" s="3">
        <f>+Variables!G64</f>
        <v>213650668.3001956</v>
      </c>
      <c r="G80" s="3">
        <f>+Variables!H64</f>
        <v>285095015.43905175</v>
      </c>
      <c r="H80" s="3">
        <f>+Variables!I64</f>
        <v>126078164.8712714</v>
      </c>
      <c r="I80" s="3">
        <f>+'Estado Resultados'!I22</f>
        <v>2696.01</v>
      </c>
      <c r="J80" s="411">
        <f t="shared" si="90"/>
        <v>1.4243993343700884E-2</v>
      </c>
      <c r="K80" s="411">
        <f t="shared" si="90"/>
        <v>1.2515776653548768E-2</v>
      </c>
      <c r="L80" s="411">
        <f t="shared" si="90"/>
        <v>9.574487382684951E-3</v>
      </c>
      <c r="M80" s="411">
        <f t="shared" si="90"/>
        <v>9.42500697440154E-3</v>
      </c>
      <c r="N80" s="411">
        <f t="shared" si="90"/>
        <v>9.8113751499101093E-3</v>
      </c>
      <c r="O80" s="411">
        <f t="shared" si="90"/>
        <v>3.6466268625706066E-3</v>
      </c>
      <c r="P80" s="411">
        <f t="shared" si="90"/>
        <v>1.425987739087657E-4</v>
      </c>
      <c r="Q80" s="423">
        <f t="shared" si="91"/>
        <v>21945351.877149433</v>
      </c>
      <c r="R80" s="411">
        <f t="shared" si="92"/>
        <v>0.17583189751141087</v>
      </c>
      <c r="S80" s="423">
        <f t="shared" si="100"/>
        <v>37279117.650484562</v>
      </c>
      <c r="T80" s="411">
        <f t="shared" si="101"/>
        <v>0.25402443920203555</v>
      </c>
      <c r="U80" s="423">
        <f t="shared" si="102"/>
        <v>29617491.207284629</v>
      </c>
      <c r="V80" s="411">
        <f t="shared" si="103"/>
        <v>0.16093560778082935</v>
      </c>
      <c r="W80" s="423">
        <f t="shared" si="104"/>
        <v>71444347.138856143</v>
      </c>
      <c r="X80" s="411">
        <f t="shared" si="105"/>
        <v>0.33439795769078218</v>
      </c>
      <c r="Y80" s="423">
        <f t="shared" si="106"/>
        <v>-159016850.56778035</v>
      </c>
      <c r="Z80" s="411">
        <f t="shared" si="107"/>
        <v>-0.55776790878960603</v>
      </c>
      <c r="AA80" s="151"/>
    </row>
    <row r="81" spans="1:27" x14ac:dyDescent="0.35">
      <c r="A81" s="151"/>
      <c r="B81" s="31" t="s">
        <v>193</v>
      </c>
      <c r="C81" s="5">
        <f>+C76+C77+C78-C79-C80</f>
        <v>870310937.00000024</v>
      </c>
      <c r="D81" s="5">
        <f>+D76+D77+D78-D79-D80</f>
        <v>1064476924.999999</v>
      </c>
      <c r="E81" s="5">
        <f t="shared" ref="E81:I81" si="110">+E76+E77+E78-E79-E80</f>
        <v>3438727053.9999995</v>
      </c>
      <c r="F81" s="5">
        <f t="shared" si="110"/>
        <v>2828539872.999999</v>
      </c>
      <c r="G81" s="5">
        <f t="shared" si="110"/>
        <v>2233035986</v>
      </c>
      <c r="H81" s="5">
        <f t="shared" si="110"/>
        <v>2212567649.9999995</v>
      </c>
      <c r="I81" s="5">
        <f t="shared" si="110"/>
        <v>1002096.7899999981</v>
      </c>
      <c r="J81" s="417">
        <f t="shared" si="90"/>
        <v>9.9325627477509171E-2</v>
      </c>
      <c r="K81" s="417">
        <f t="shared" si="90"/>
        <v>9.0782875082123821E-2</v>
      </c>
      <c r="L81" s="417">
        <f t="shared" si="90"/>
        <v>0.17890278976381715</v>
      </c>
      <c r="M81" s="417">
        <f t="shared" si="90"/>
        <v>0.12477849118140778</v>
      </c>
      <c r="N81" s="417">
        <f t="shared" si="90"/>
        <v>7.6848603431929188E-2</v>
      </c>
      <c r="O81" s="417">
        <f t="shared" si="90"/>
        <v>6.3995289239677164E-2</v>
      </c>
      <c r="P81" s="417">
        <f t="shared" si="90"/>
        <v>5.3003428619296508E-2</v>
      </c>
      <c r="Q81" s="425">
        <f t="shared" si="91"/>
        <v>194165987.99999881</v>
      </c>
      <c r="R81" s="412">
        <f t="shared" si="92"/>
        <v>0.22309956102504863</v>
      </c>
      <c r="S81" s="425">
        <f t="shared" si="100"/>
        <v>2374250129.0000005</v>
      </c>
      <c r="T81" s="412">
        <f t="shared" si="101"/>
        <v>2.2304383244380825</v>
      </c>
      <c r="U81" s="425">
        <f t="shared" si="102"/>
        <v>-610187181.00000048</v>
      </c>
      <c r="V81" s="412">
        <f t="shared" si="103"/>
        <v>-0.17744565690092151</v>
      </c>
      <c r="W81" s="425">
        <f t="shared" si="104"/>
        <v>-595503886.99999905</v>
      </c>
      <c r="X81" s="412">
        <f t="shared" si="105"/>
        <v>-0.21053402594194198</v>
      </c>
      <c r="Y81" s="425">
        <f t="shared" si="106"/>
        <v>-20468336.000000477</v>
      </c>
      <c r="Z81" s="412">
        <f t="shared" si="107"/>
        <v>-9.1661469534420996E-3</v>
      </c>
      <c r="AA81" s="151"/>
    </row>
    <row r="82" spans="1:27" x14ac:dyDescent="0.35">
      <c r="A82" s="151"/>
      <c r="B82" s="30" t="str">
        <f>+'Estado Resultados'!B26</f>
        <v>Provisión impuesto de renta</v>
      </c>
      <c r="C82" s="3">
        <f>+Variables!D65</f>
        <v>283419414.78666627</v>
      </c>
      <c r="D82" s="3">
        <f>+Variables!E65</f>
        <v>342668000</v>
      </c>
      <c r="E82" s="3">
        <f>+Variables!F65</f>
        <v>830019447</v>
      </c>
      <c r="F82" s="3">
        <f>+Variables!G65</f>
        <v>621683650</v>
      </c>
      <c r="G82" s="3">
        <f>+Variables!H65</f>
        <v>966955666.26950216</v>
      </c>
      <c r="H82" s="3">
        <f>+Variables!I65</f>
        <v>1150523178.0247908</v>
      </c>
      <c r="I82" s="3">
        <f>+'Estado Resultados'!I26</f>
        <v>262481.98</v>
      </c>
      <c r="J82" s="411">
        <f t="shared" si="90"/>
        <v>3.2345693953969079E-2</v>
      </c>
      <c r="K82" s="411">
        <f t="shared" si="90"/>
        <v>2.9224105763158023E-2</v>
      </c>
      <c r="L82" s="411">
        <f t="shared" si="90"/>
        <v>4.3182489419679546E-2</v>
      </c>
      <c r="M82" s="411">
        <f t="shared" si="90"/>
        <v>2.742501478576485E-2</v>
      </c>
      <c r="N82" s="411">
        <f t="shared" si="90"/>
        <v>3.3277203322867474E-2</v>
      </c>
      <c r="O82" s="411">
        <f t="shared" si="90"/>
        <v>3.3277203322867474E-2</v>
      </c>
      <c r="P82" s="411">
        <f t="shared" si="90"/>
        <v>1.3883334453931979E-2</v>
      </c>
      <c r="Q82" s="423">
        <f t="shared" si="91"/>
        <v>59248585.213333726</v>
      </c>
      <c r="R82" s="411">
        <f t="shared" si="92"/>
        <v>0.2090491410333726</v>
      </c>
      <c r="S82" s="423">
        <f t="shared" si="100"/>
        <v>487351447</v>
      </c>
      <c r="T82" s="411">
        <f t="shared" si="101"/>
        <v>1.4222263152672558</v>
      </c>
      <c r="U82" s="423">
        <f t="shared" si="102"/>
        <v>-208335797</v>
      </c>
      <c r="V82" s="411">
        <f t="shared" si="103"/>
        <v>-0.2510011033512568</v>
      </c>
      <c r="W82" s="423">
        <f t="shared" si="104"/>
        <v>345272016.26950216</v>
      </c>
      <c r="X82" s="411">
        <f t="shared" si="105"/>
        <v>0.555382172700701</v>
      </c>
      <c r="Y82" s="423">
        <f t="shared" si="106"/>
        <v>183567511.7552886</v>
      </c>
      <c r="Z82" s="411">
        <f t="shared" si="107"/>
        <v>0.18984067021757969</v>
      </c>
      <c r="AA82" s="151"/>
    </row>
    <row r="83" spans="1:27" x14ac:dyDescent="0.35">
      <c r="A83" s="151"/>
      <c r="B83" s="27" t="s">
        <v>194</v>
      </c>
      <c r="C83" s="5">
        <f>C81-C82</f>
        <v>586891522.21333396</v>
      </c>
      <c r="D83" s="5">
        <f>D81-D82</f>
        <v>721808924.99999905</v>
      </c>
      <c r="E83" s="5">
        <f t="shared" ref="E83:I83" si="111">E81-E82</f>
        <v>2608707606.9999995</v>
      </c>
      <c r="F83" s="5">
        <f t="shared" si="111"/>
        <v>2206856222.999999</v>
      </c>
      <c r="G83" s="5">
        <f t="shared" si="111"/>
        <v>1266080319.7304978</v>
      </c>
      <c r="H83" s="5">
        <f t="shared" si="111"/>
        <v>1062044471.9752088</v>
      </c>
      <c r="I83" s="5">
        <f t="shared" si="111"/>
        <v>739614.80999999808</v>
      </c>
      <c r="J83" s="417">
        <f t="shared" si="90"/>
        <v>6.6979933523540092E-2</v>
      </c>
      <c r="K83" s="417">
        <f t="shared" si="90"/>
        <v>6.1558769318965791E-2</v>
      </c>
      <c r="L83" s="417">
        <f t="shared" si="90"/>
        <v>0.13572030034413762</v>
      </c>
      <c r="M83" s="417">
        <f t="shared" si="90"/>
        <v>9.7353476395642929E-2</v>
      </c>
      <c r="N83" s="417">
        <f t="shared" si="90"/>
        <v>4.3571400109061721E-2</v>
      </c>
      <c r="O83" s="417">
        <f t="shared" si="90"/>
        <v>3.071808591680969E-2</v>
      </c>
      <c r="P83" s="417">
        <f t="shared" si="90"/>
        <v>3.9120094165364529E-2</v>
      </c>
      <c r="Q83" s="425">
        <f t="shared" si="91"/>
        <v>134917402.78666508</v>
      </c>
      <c r="R83" s="412">
        <f t="shared" si="92"/>
        <v>0.22988473624197772</v>
      </c>
      <c r="S83" s="425">
        <f t="shared" si="100"/>
        <v>1886898682.0000005</v>
      </c>
      <c r="T83" s="412">
        <f t="shared" si="101"/>
        <v>2.6141248973888804</v>
      </c>
      <c r="U83" s="425">
        <f t="shared" si="102"/>
        <v>-401851384.00000048</v>
      </c>
      <c r="V83" s="412">
        <f t="shared" si="103"/>
        <v>-0.15404232460613995</v>
      </c>
      <c r="W83" s="425">
        <f t="shared" si="104"/>
        <v>-940775903.26950121</v>
      </c>
      <c r="X83" s="412">
        <f t="shared" si="105"/>
        <v>-0.42629687129803634</v>
      </c>
      <c r="Y83" s="425">
        <f t="shared" si="106"/>
        <v>-204035847.75528908</v>
      </c>
      <c r="Z83" s="412">
        <f t="shared" si="107"/>
        <v>-0.16115553221672449</v>
      </c>
      <c r="AA83" s="151"/>
    </row>
    <row r="84" spans="1:27" x14ac:dyDescent="0.35">
      <c r="A84" s="151"/>
      <c r="B84" s="151"/>
      <c r="C84" s="409">
        <f>C83-C57</f>
        <v>0</v>
      </c>
      <c r="D84" s="409">
        <f t="shared" ref="D84:H84" si="112">D83-D57</f>
        <v>0</v>
      </c>
      <c r="E84" s="409">
        <f t="shared" si="112"/>
        <v>0</v>
      </c>
      <c r="F84" s="409">
        <f t="shared" si="112"/>
        <v>0</v>
      </c>
      <c r="G84" s="409">
        <f t="shared" si="112"/>
        <v>0</v>
      </c>
      <c r="H84" s="409">
        <f t="shared" si="112"/>
        <v>0</v>
      </c>
      <c r="I84" s="409"/>
      <c r="J84" s="418"/>
      <c r="K84" s="410"/>
      <c r="L84" s="410"/>
      <c r="M84" s="410"/>
      <c r="N84" s="410"/>
      <c r="O84" s="410"/>
      <c r="P84" s="410"/>
      <c r="Q84" s="410"/>
      <c r="R84" s="410"/>
      <c r="S84" s="410"/>
      <c r="T84" s="410"/>
      <c r="U84" s="410"/>
      <c r="V84" s="410"/>
      <c r="W84" s="410"/>
      <c r="X84" s="410"/>
      <c r="Y84" s="410"/>
      <c r="Z84" s="410"/>
      <c r="AA84" s="151"/>
    </row>
    <row r="85" spans="1:27" hidden="1" x14ac:dyDescent="0.35">
      <c r="A85" s="151"/>
      <c r="B85" s="151"/>
      <c r="C85" s="151"/>
      <c r="D85" s="151"/>
      <c r="E85" s="151"/>
      <c r="F85" s="151"/>
      <c r="G85" s="151"/>
      <c r="H85" s="151"/>
      <c r="I85" s="151"/>
      <c r="J85" s="410"/>
      <c r="K85" s="410"/>
      <c r="L85" s="410"/>
      <c r="M85" s="410"/>
      <c r="N85" s="410"/>
      <c r="O85" s="410"/>
      <c r="P85" s="410"/>
      <c r="Q85" s="410"/>
      <c r="R85" s="410"/>
      <c r="S85" s="410"/>
      <c r="T85" s="410"/>
      <c r="U85" s="410"/>
      <c r="V85" s="410"/>
      <c r="W85" s="410"/>
      <c r="X85" s="410"/>
      <c r="Y85" s="410"/>
      <c r="Z85" s="410"/>
      <c r="AA85" s="151"/>
    </row>
  </sheetData>
  <sheetProtection selectLockedCells="1" selectUnlockedCells="1"/>
  <mergeCells count="18">
    <mergeCell ref="U69:V69"/>
    <mergeCell ref="W69:X69"/>
    <mergeCell ref="C4:I4"/>
    <mergeCell ref="B67:Z67"/>
    <mergeCell ref="Q69:R69"/>
    <mergeCell ref="Y69:Z69"/>
    <mergeCell ref="C68:H68"/>
    <mergeCell ref="Q68:Z68"/>
    <mergeCell ref="J68:O68"/>
    <mergeCell ref="S69:T69"/>
    <mergeCell ref="B3:Z3"/>
    <mergeCell ref="Q5:R5"/>
    <mergeCell ref="Y5:Z5"/>
    <mergeCell ref="J4:O4"/>
    <mergeCell ref="Q4:Z4"/>
    <mergeCell ref="S5:T5"/>
    <mergeCell ref="U5:V5"/>
    <mergeCell ref="W5:X5"/>
  </mergeCells>
  <conditionalFormatting sqref="J6:P11">
    <cfRule type="colorScale" priority="57">
      <colorScale>
        <cfvo type="min"/>
        <cfvo type="max"/>
        <color rgb="FFFCFCFF"/>
        <color rgb="FFF8696B"/>
      </colorScale>
    </cfRule>
  </conditionalFormatting>
  <conditionalFormatting sqref="K6:N11">
    <cfRule type="colorScale" priority="56">
      <colorScale>
        <cfvo type="min"/>
        <cfvo type="max"/>
        <color rgb="FFFCFCFF"/>
        <color rgb="FFF8696B"/>
      </colorScale>
    </cfRule>
  </conditionalFormatting>
  <conditionalFormatting sqref="O6:P11">
    <cfRule type="colorScale" priority="31">
      <colorScale>
        <cfvo type="min"/>
        <cfvo type="max"/>
        <color rgb="FFFCFCFF"/>
        <color rgb="FFF8696B"/>
      </colorScale>
    </cfRule>
  </conditionalFormatting>
  <conditionalFormatting sqref="J15:J27 J23:P27">
    <cfRule type="colorScale" priority="54">
      <colorScale>
        <cfvo type="min"/>
        <cfvo type="max"/>
        <color rgb="FFFCFCFF"/>
        <color rgb="FFF8696B"/>
      </colorScale>
    </cfRule>
  </conditionalFormatting>
  <conditionalFormatting sqref="K15:N27">
    <cfRule type="colorScale" priority="53">
      <colorScale>
        <cfvo type="min"/>
        <cfvo type="max"/>
        <color rgb="FFFCFCFF"/>
        <color rgb="FFF8696B"/>
      </colorScale>
    </cfRule>
  </conditionalFormatting>
  <conditionalFormatting sqref="O15:P27">
    <cfRule type="colorScale" priority="52">
      <colorScale>
        <cfvo type="min"/>
        <cfvo type="max"/>
        <color rgb="FFFCFCFF"/>
        <color rgb="FFF8696B"/>
      </colorScale>
    </cfRule>
  </conditionalFormatting>
  <conditionalFormatting sqref="J34:P39">
    <cfRule type="colorScale" priority="51">
      <colorScale>
        <cfvo type="min"/>
        <cfvo type="max"/>
        <color rgb="FFFCFCFF"/>
        <color rgb="FFF8696B"/>
      </colorScale>
    </cfRule>
  </conditionalFormatting>
  <conditionalFormatting sqref="K34:N39">
    <cfRule type="colorScale" priority="50">
      <colorScale>
        <cfvo type="min"/>
        <cfvo type="max"/>
        <color rgb="FFFCFCFF"/>
        <color rgb="FFF8696B"/>
      </colorScale>
    </cfRule>
  </conditionalFormatting>
  <conditionalFormatting sqref="O34:P39">
    <cfRule type="colorScale" priority="49">
      <colorScale>
        <cfvo type="min"/>
        <cfvo type="max"/>
        <color rgb="FFFCFCFF"/>
        <color rgb="FFF8696B"/>
      </colorScale>
    </cfRule>
  </conditionalFormatting>
  <conditionalFormatting sqref="J43:P47">
    <cfRule type="colorScale" priority="48">
      <colorScale>
        <cfvo type="min"/>
        <cfvo type="max"/>
        <color rgb="FFFCFCFF"/>
        <color rgb="FFF8696B"/>
      </colorScale>
    </cfRule>
  </conditionalFormatting>
  <conditionalFormatting sqref="K53:N60">
    <cfRule type="colorScale" priority="45">
      <colorScale>
        <cfvo type="min"/>
        <cfvo type="max"/>
        <color rgb="FFFCFCFF"/>
        <color rgb="FFF8696B"/>
      </colorScale>
    </cfRule>
  </conditionalFormatting>
  <conditionalFormatting sqref="O53:P60">
    <cfRule type="colorScale" priority="44">
      <colorScale>
        <cfvo type="min"/>
        <cfvo type="max"/>
        <color rgb="FFFCFCFF"/>
        <color rgb="FFF8696B"/>
      </colorScale>
    </cfRule>
  </conditionalFormatting>
  <conditionalFormatting sqref="J53:P60">
    <cfRule type="colorScale" priority="43">
      <colorScale>
        <cfvo type="min"/>
        <cfvo type="max"/>
        <color rgb="FFFCFCFF"/>
        <color rgb="FFF8696B"/>
      </colorScale>
    </cfRule>
  </conditionalFormatting>
  <conditionalFormatting sqref="J6:J11">
    <cfRule type="colorScale" priority="36">
      <colorScale>
        <cfvo type="min"/>
        <cfvo type="max"/>
        <color rgb="FFFCFCFF"/>
        <color rgb="FFF8696B"/>
      </colorScale>
    </cfRule>
  </conditionalFormatting>
  <conditionalFormatting sqref="K6:K11">
    <cfRule type="colorScale" priority="35">
      <colorScale>
        <cfvo type="min"/>
        <cfvo type="max"/>
        <color rgb="FFFCFCFF"/>
        <color rgb="FFF8696B"/>
      </colorScale>
    </cfRule>
  </conditionalFormatting>
  <conditionalFormatting sqref="L6:L11">
    <cfRule type="colorScale" priority="34">
      <colorScale>
        <cfvo type="min"/>
        <cfvo type="max"/>
        <color rgb="FFFCFCFF"/>
        <color rgb="FFF8696B"/>
      </colorScale>
    </cfRule>
  </conditionalFormatting>
  <conditionalFormatting sqref="M6:M11">
    <cfRule type="colorScale" priority="33">
      <colorScale>
        <cfvo type="min"/>
        <cfvo type="max"/>
        <color rgb="FFFCFCFF"/>
        <color rgb="FFF8696B"/>
      </colorScale>
    </cfRule>
  </conditionalFormatting>
  <conditionalFormatting sqref="N6:N11">
    <cfRule type="colorScale" priority="32">
      <colorScale>
        <cfvo type="min"/>
        <cfvo type="max"/>
        <color rgb="FFFCFCFF"/>
        <color rgb="FFF8696B"/>
      </colorScale>
    </cfRule>
  </conditionalFormatting>
  <conditionalFormatting sqref="Q6:Q11">
    <cfRule type="colorScale" priority="30">
      <colorScale>
        <cfvo type="min"/>
        <cfvo type="percentile" val="50"/>
        <cfvo type="max"/>
        <color rgb="FFF8696B"/>
        <color rgb="FFFCFCFF"/>
        <color rgb="FF63BE7B"/>
      </colorScale>
    </cfRule>
  </conditionalFormatting>
  <conditionalFormatting sqref="S6:S11">
    <cfRule type="colorScale" priority="29">
      <colorScale>
        <cfvo type="min"/>
        <cfvo type="percentile" val="50"/>
        <cfvo type="max"/>
        <color rgb="FFF8696B"/>
        <color rgb="FFFCFCFF"/>
        <color rgb="FF63BE7B"/>
      </colorScale>
    </cfRule>
  </conditionalFormatting>
  <conditionalFormatting sqref="U6:U11">
    <cfRule type="colorScale" priority="28">
      <colorScale>
        <cfvo type="min"/>
        <cfvo type="percentile" val="50"/>
        <cfvo type="max"/>
        <color rgb="FFF8696B"/>
        <color rgb="FFFCFCFF"/>
        <color rgb="FF63BE7B"/>
      </colorScale>
    </cfRule>
  </conditionalFormatting>
  <conditionalFormatting sqref="W6:W11">
    <cfRule type="colorScale" priority="27">
      <colorScale>
        <cfvo type="min"/>
        <cfvo type="percentile" val="50"/>
        <cfvo type="max"/>
        <color rgb="FFF8696B"/>
        <color rgb="FFFCFCFF"/>
        <color rgb="FF63BE7B"/>
      </colorScale>
    </cfRule>
  </conditionalFormatting>
  <conditionalFormatting sqref="Y6:Y11">
    <cfRule type="colorScale" priority="26">
      <colorScale>
        <cfvo type="min"/>
        <cfvo type="percentile" val="50"/>
        <cfvo type="max"/>
        <color rgb="FFF8696B"/>
        <color rgb="FFFCFCFF"/>
        <color rgb="FF63BE7B"/>
      </colorScale>
    </cfRule>
  </conditionalFormatting>
  <conditionalFormatting sqref="Q23:Q27">
    <cfRule type="colorScale" priority="25">
      <colorScale>
        <cfvo type="min"/>
        <cfvo type="percentile" val="50"/>
        <cfvo type="max"/>
        <color rgb="FFF8696B"/>
        <color rgb="FFFCFCFF"/>
        <color rgb="FF63BE7B"/>
      </colorScale>
    </cfRule>
  </conditionalFormatting>
  <conditionalFormatting sqref="S23:S27">
    <cfRule type="colorScale" priority="24">
      <colorScale>
        <cfvo type="min"/>
        <cfvo type="percentile" val="50"/>
        <cfvo type="max"/>
        <color rgb="FFF8696B"/>
        <color rgb="FFFCFCFF"/>
        <color rgb="FF63BE7B"/>
      </colorScale>
    </cfRule>
  </conditionalFormatting>
  <conditionalFormatting sqref="U23:U27">
    <cfRule type="colorScale" priority="23">
      <colorScale>
        <cfvo type="min"/>
        <cfvo type="percentile" val="50"/>
        <cfvo type="max"/>
        <color rgb="FFF8696B"/>
        <color rgb="FFFCFCFF"/>
        <color rgb="FF63BE7B"/>
      </colorScale>
    </cfRule>
  </conditionalFormatting>
  <conditionalFormatting sqref="W23:W27">
    <cfRule type="colorScale" priority="22">
      <colorScale>
        <cfvo type="min"/>
        <cfvo type="percentile" val="50"/>
        <cfvo type="max"/>
        <color rgb="FFF8696B"/>
        <color rgb="FFFCFCFF"/>
        <color rgb="FF63BE7B"/>
      </colorScale>
    </cfRule>
  </conditionalFormatting>
  <conditionalFormatting sqref="Y23:Y27">
    <cfRule type="colorScale" priority="21">
      <colorScale>
        <cfvo type="min"/>
        <cfvo type="percentile" val="50"/>
        <cfvo type="max"/>
        <color rgb="FFF8696B"/>
        <color rgb="FFFCFCFF"/>
        <color rgb="FF63BE7B"/>
      </colorScale>
    </cfRule>
  </conditionalFormatting>
  <conditionalFormatting sqref="Q34:Q39">
    <cfRule type="colorScale" priority="20">
      <colorScale>
        <cfvo type="min"/>
        <cfvo type="percentile" val="50"/>
        <cfvo type="max"/>
        <color rgb="FFF8696B"/>
        <color rgb="FFFCFCFF"/>
        <color rgb="FF63BE7B"/>
      </colorScale>
    </cfRule>
  </conditionalFormatting>
  <conditionalFormatting sqref="S34:S39">
    <cfRule type="colorScale" priority="19">
      <colorScale>
        <cfvo type="min"/>
        <cfvo type="percentile" val="50"/>
        <cfvo type="max"/>
        <color rgb="FFF8696B"/>
        <color rgb="FFFCFCFF"/>
        <color rgb="FF63BE7B"/>
      </colorScale>
    </cfRule>
  </conditionalFormatting>
  <conditionalFormatting sqref="U34:U39">
    <cfRule type="colorScale" priority="18">
      <colorScale>
        <cfvo type="min"/>
        <cfvo type="percentile" val="50"/>
        <cfvo type="max"/>
        <color rgb="FFF8696B"/>
        <color rgb="FFFCFCFF"/>
        <color rgb="FF63BE7B"/>
      </colorScale>
    </cfRule>
  </conditionalFormatting>
  <conditionalFormatting sqref="W34:W39">
    <cfRule type="colorScale" priority="17">
      <colorScale>
        <cfvo type="min"/>
        <cfvo type="percentile" val="50"/>
        <cfvo type="max"/>
        <color rgb="FFF8696B"/>
        <color rgb="FFFCFCFF"/>
        <color rgb="FF63BE7B"/>
      </colorScale>
    </cfRule>
  </conditionalFormatting>
  <conditionalFormatting sqref="Y34:Y39">
    <cfRule type="colorScale" priority="16">
      <colorScale>
        <cfvo type="min"/>
        <cfvo type="percentile" val="50"/>
        <cfvo type="max"/>
        <color rgb="FFF8696B"/>
        <color rgb="FFFCFCFF"/>
        <color rgb="FF63BE7B"/>
      </colorScale>
    </cfRule>
  </conditionalFormatting>
  <conditionalFormatting sqref="Q43:Q47">
    <cfRule type="colorScale" priority="15">
      <colorScale>
        <cfvo type="min"/>
        <cfvo type="percentile" val="50"/>
        <cfvo type="max"/>
        <color rgb="FFF8696B"/>
        <color rgb="FFFCFCFF"/>
        <color rgb="FF63BE7B"/>
      </colorScale>
    </cfRule>
  </conditionalFormatting>
  <conditionalFormatting sqref="S43:S47">
    <cfRule type="colorScale" priority="14">
      <colorScale>
        <cfvo type="min"/>
        <cfvo type="percentile" val="50"/>
        <cfvo type="max"/>
        <color rgb="FFF8696B"/>
        <color rgb="FFFCFCFF"/>
        <color rgb="FF63BE7B"/>
      </colorScale>
    </cfRule>
  </conditionalFormatting>
  <conditionalFormatting sqref="U43:U47">
    <cfRule type="colorScale" priority="13">
      <colorScale>
        <cfvo type="min"/>
        <cfvo type="percentile" val="50"/>
        <cfvo type="max"/>
        <color rgb="FFF8696B"/>
        <color rgb="FFFCFCFF"/>
        <color rgb="FF63BE7B"/>
      </colorScale>
    </cfRule>
  </conditionalFormatting>
  <conditionalFormatting sqref="W43:W47">
    <cfRule type="colorScale" priority="12">
      <colorScale>
        <cfvo type="min"/>
        <cfvo type="percentile" val="50"/>
        <cfvo type="max"/>
        <color rgb="FFF8696B"/>
        <color rgb="FFFCFCFF"/>
        <color rgb="FF63BE7B"/>
      </colorScale>
    </cfRule>
  </conditionalFormatting>
  <conditionalFormatting sqref="Y43:Y47">
    <cfRule type="colorScale" priority="11">
      <colorScale>
        <cfvo type="min"/>
        <cfvo type="percentile" val="50"/>
        <cfvo type="max"/>
        <color rgb="FFF8696B"/>
        <color rgb="FFFCFCFF"/>
        <color rgb="FF63BE7B"/>
      </colorScale>
    </cfRule>
  </conditionalFormatting>
  <conditionalFormatting sqref="Q53:Q60">
    <cfRule type="colorScale" priority="10">
      <colorScale>
        <cfvo type="min"/>
        <cfvo type="percentile" val="50"/>
        <cfvo type="max"/>
        <color rgb="FFF8696B"/>
        <color rgb="FFFCFCFF"/>
        <color rgb="FF63BE7B"/>
      </colorScale>
    </cfRule>
  </conditionalFormatting>
  <conditionalFormatting sqref="S53:S60">
    <cfRule type="colorScale" priority="9">
      <colorScale>
        <cfvo type="min"/>
        <cfvo type="percentile" val="50"/>
        <cfvo type="max"/>
        <color rgb="FFF8696B"/>
        <color rgb="FFFCFCFF"/>
        <color rgb="FF63BE7B"/>
      </colorScale>
    </cfRule>
  </conditionalFormatting>
  <conditionalFormatting sqref="U53:U60">
    <cfRule type="colorScale" priority="8">
      <colorScale>
        <cfvo type="min"/>
        <cfvo type="percentile" val="50"/>
        <cfvo type="max"/>
        <color rgb="FFF8696B"/>
        <color rgb="FFFCFCFF"/>
        <color rgb="FF63BE7B"/>
      </colorScale>
    </cfRule>
  </conditionalFormatting>
  <conditionalFormatting sqref="W53:W60">
    <cfRule type="colorScale" priority="7">
      <colorScale>
        <cfvo type="min"/>
        <cfvo type="percentile" val="50"/>
        <cfvo type="max"/>
        <color rgb="FFF8696B"/>
        <color rgb="FFFCFCFF"/>
        <color rgb="FF63BE7B"/>
      </colorScale>
    </cfRule>
  </conditionalFormatting>
  <conditionalFormatting sqref="Y53:Y60">
    <cfRule type="colorScale" priority="6">
      <colorScale>
        <cfvo type="min"/>
        <cfvo type="percentile" val="50"/>
        <cfvo type="max"/>
        <color rgb="FFF8696B"/>
        <color rgb="FFFCFCFF"/>
        <color rgb="FF63BE7B"/>
      </colorScale>
    </cfRule>
  </conditionalFormatting>
  <conditionalFormatting sqref="P6:P11">
    <cfRule type="colorScale" priority="5">
      <colorScale>
        <cfvo type="min"/>
        <cfvo type="max"/>
        <color rgb="FFFCFCFF"/>
        <color rgb="FFF8696B"/>
      </colorScale>
    </cfRule>
  </conditionalFormatting>
  <conditionalFormatting sqref="P23:P27">
    <cfRule type="colorScale" priority="4">
      <colorScale>
        <cfvo type="min"/>
        <cfvo type="max"/>
        <color rgb="FFFCFCFF"/>
        <color rgb="FFF8696B"/>
      </colorScale>
    </cfRule>
  </conditionalFormatting>
  <conditionalFormatting sqref="P34:P39">
    <cfRule type="colorScale" priority="3">
      <colorScale>
        <cfvo type="min"/>
        <cfvo type="max"/>
        <color rgb="FFFCFCFF"/>
        <color rgb="FFF8696B"/>
      </colorScale>
    </cfRule>
  </conditionalFormatting>
  <conditionalFormatting sqref="P43:P47">
    <cfRule type="colorScale" priority="2">
      <colorScale>
        <cfvo type="min"/>
        <cfvo type="max"/>
        <color rgb="FFFCFCFF"/>
        <color rgb="FFF8696B"/>
      </colorScale>
    </cfRule>
  </conditionalFormatting>
  <conditionalFormatting sqref="P53:P60">
    <cfRule type="colorScale" priority="1">
      <colorScale>
        <cfvo type="min"/>
        <cfvo type="max"/>
        <color rgb="FFFCFCFF"/>
        <color rgb="FFF8696B"/>
      </colorScale>
    </cfRule>
  </conditionalFormatting>
  <pageMargins left="0.24" right="0.14000000000000001" top="0.3" bottom="0.28999999999999998" header="0.15" footer="0.05"/>
  <pageSetup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J76"/>
  <sheetViews>
    <sheetView topLeftCell="A46" workbookViewId="0">
      <selection activeCell="C66" sqref="C66"/>
    </sheetView>
  </sheetViews>
  <sheetFormatPr baseColWidth="10" defaultColWidth="0" defaultRowHeight="13.8" zeroHeight="1" x14ac:dyDescent="0.25"/>
  <cols>
    <col min="1" max="1" width="4.44140625" style="80" customWidth="1"/>
    <col min="2" max="2" width="36" style="80" customWidth="1"/>
    <col min="3" max="4" width="16.44140625" style="80" bestFit="1" customWidth="1"/>
    <col min="5" max="5" width="16.44140625" style="80" customWidth="1"/>
    <col min="6" max="6" width="18" style="80" bestFit="1" customWidth="1"/>
    <col min="7" max="9" width="18" style="80" customWidth="1"/>
    <col min="10" max="10" width="4.5546875" style="80" customWidth="1"/>
    <col min="11" max="16384" width="11.44140625" style="80" hidden="1"/>
  </cols>
  <sheetData>
    <row r="1" spans="2:9" x14ac:dyDescent="0.25">
      <c r="C1" s="86"/>
      <c r="D1" s="86"/>
      <c r="E1" s="86"/>
      <c r="F1" s="86"/>
      <c r="G1" s="86"/>
      <c r="H1" s="86"/>
      <c r="I1" s="86"/>
    </row>
    <row r="2" spans="2:9" x14ac:dyDescent="0.25">
      <c r="C2" s="86"/>
      <c r="D2" s="86"/>
      <c r="E2" s="86"/>
      <c r="F2" s="86"/>
      <c r="G2" s="86"/>
      <c r="H2" s="86"/>
      <c r="I2" s="86"/>
    </row>
    <row r="3" spans="2:9" ht="24.6" x14ac:dyDescent="0.4">
      <c r="B3" s="480" t="str">
        <f>+Variables!D3</f>
        <v>K-LISTO</v>
      </c>
      <c r="C3" s="481"/>
      <c r="D3" s="481"/>
      <c r="E3" s="481"/>
      <c r="F3" s="481"/>
      <c r="G3" s="481"/>
      <c r="H3" s="481"/>
      <c r="I3" s="481"/>
    </row>
    <row r="4" spans="2:9" ht="21" x14ac:dyDescent="0.4">
      <c r="B4" s="482" t="s">
        <v>174</v>
      </c>
      <c r="C4" s="483"/>
      <c r="D4" s="483"/>
      <c r="E4" s="483"/>
      <c r="F4" s="483"/>
      <c r="G4" s="483"/>
      <c r="H4" s="483"/>
      <c r="I4" s="483"/>
    </row>
    <row r="5" spans="2:9" x14ac:dyDescent="0.25">
      <c r="B5" s="484" t="str">
        <f>+Variables!D5</f>
        <v>(Valores en pesos)</v>
      </c>
      <c r="C5" s="485"/>
      <c r="D5" s="485"/>
      <c r="E5" s="485"/>
      <c r="F5" s="485"/>
      <c r="G5" s="485"/>
      <c r="H5" s="485"/>
      <c r="I5" s="485"/>
    </row>
    <row r="6" spans="2:9" x14ac:dyDescent="0.25">
      <c r="C6" s="86"/>
      <c r="D6" s="86"/>
      <c r="E6" s="86"/>
      <c r="F6" s="86"/>
      <c r="G6" s="86"/>
      <c r="H6" s="86"/>
      <c r="I6" s="86"/>
    </row>
    <row r="7" spans="2:9" x14ac:dyDescent="0.25">
      <c r="C7" s="97">
        <f>+Variables!D7</f>
        <v>2018</v>
      </c>
      <c r="D7" s="97">
        <f>+Variables!E7</f>
        <v>2019</v>
      </c>
      <c r="E7" s="97">
        <v>2020</v>
      </c>
      <c r="F7" s="97">
        <f>+Variables!G7</f>
        <v>2021</v>
      </c>
      <c r="G7" s="97">
        <f>+Variables!H7</f>
        <v>2022</v>
      </c>
      <c r="H7" s="97">
        <f>+Variables!I7</f>
        <v>2023</v>
      </c>
      <c r="I7" s="97" t="s">
        <v>195</v>
      </c>
    </row>
    <row r="8" spans="2:9" x14ac:dyDescent="0.25">
      <c r="D8" s="86"/>
      <c r="E8" s="86"/>
      <c r="F8" s="86"/>
      <c r="G8" s="86"/>
      <c r="H8" s="86"/>
      <c r="I8" s="86"/>
    </row>
    <row r="9" spans="2:9" ht="15" customHeight="1" x14ac:dyDescent="0.25">
      <c r="B9" s="81" t="str">
        <f>+Variables!C9</f>
        <v xml:space="preserve">ACTIVO </v>
      </c>
      <c r="C9" s="83"/>
      <c r="D9" s="83"/>
      <c r="E9" s="83"/>
      <c r="F9" s="83"/>
      <c r="G9" s="83"/>
      <c r="H9" s="83"/>
      <c r="I9" s="83"/>
    </row>
    <row r="10" spans="2:9" ht="15" customHeight="1" x14ac:dyDescent="0.25">
      <c r="B10" s="82"/>
      <c r="C10" s="83"/>
      <c r="D10" s="83"/>
      <c r="E10" s="83"/>
      <c r="F10" s="83"/>
      <c r="G10" s="83"/>
      <c r="H10" s="83"/>
      <c r="I10" s="83"/>
    </row>
    <row r="11" spans="2:9" ht="15" customHeight="1" x14ac:dyDescent="0.25">
      <c r="B11" s="82" t="str">
        <f>+Variables!C10</f>
        <v>Disponible</v>
      </c>
      <c r="C11" s="83">
        <f>+Variables!D10</f>
        <v>227038885</v>
      </c>
      <c r="D11" s="83">
        <f>+Variables!E10</f>
        <v>118467733</v>
      </c>
      <c r="E11" s="83">
        <f>+Variables!F10</f>
        <v>382144220</v>
      </c>
      <c r="F11" s="83">
        <f>+Variables!G10</f>
        <v>67465736</v>
      </c>
      <c r="G11" s="83">
        <f>+Variables!H10</f>
        <v>132682041</v>
      </c>
      <c r="H11" s="83">
        <f>+Variables!I10</f>
        <v>74494491</v>
      </c>
      <c r="I11" s="83">
        <v>1068070.8500000001</v>
      </c>
    </row>
    <row r="12" spans="2:9" ht="15" customHeight="1" x14ac:dyDescent="0.25">
      <c r="B12" s="82" t="str">
        <f>+Variables!C11</f>
        <v>Inversiones</v>
      </c>
      <c r="C12" s="83">
        <f>+Variables!D11</f>
        <v>0</v>
      </c>
      <c r="D12" s="83">
        <f>+Variables!E11</f>
        <v>127178393</v>
      </c>
      <c r="E12" s="83">
        <f>+Variables!F11</f>
        <v>216452017</v>
      </c>
      <c r="F12" s="83">
        <f>+Variables!G11</f>
        <v>50261488</v>
      </c>
      <c r="G12" s="83">
        <f>+Variables!H11</f>
        <v>10116020</v>
      </c>
      <c r="H12" s="83">
        <f>+Variables!I11</f>
        <v>5550131</v>
      </c>
      <c r="I12" s="83">
        <v>227474.71</v>
      </c>
    </row>
    <row r="13" spans="2:9" ht="15" customHeight="1" x14ac:dyDescent="0.25">
      <c r="B13" s="82" t="str">
        <f>+Variables!C12</f>
        <v>Deudores (cartera)</v>
      </c>
      <c r="C13" s="83">
        <f>+Variables!D12</f>
        <v>4907544657</v>
      </c>
      <c r="D13" s="83">
        <f>+Variables!E12</f>
        <v>3323595296</v>
      </c>
      <c r="E13" s="83">
        <f>+Variables!F12</f>
        <v>4509474310</v>
      </c>
      <c r="F13" s="83">
        <f>+Variables!G12</f>
        <v>4728878028</v>
      </c>
      <c r="G13" s="83">
        <f>+Variables!H12</f>
        <v>3867312996</v>
      </c>
      <c r="H13" s="83">
        <f>+Variables!I12</f>
        <v>8490046187</v>
      </c>
      <c r="I13" s="83">
        <v>1703828.12</v>
      </c>
    </row>
    <row r="14" spans="2:9" ht="15" customHeight="1" x14ac:dyDescent="0.25">
      <c r="B14" s="82" t="str">
        <f>+Variables!C13</f>
        <v>Inventarios</v>
      </c>
      <c r="C14" s="83">
        <f>+Variables!D13</f>
        <v>528643264</v>
      </c>
      <c r="D14" s="83">
        <f>+Variables!E13</f>
        <v>994831546</v>
      </c>
      <c r="E14" s="83">
        <f>+Variables!F13</f>
        <v>1353632203</v>
      </c>
      <c r="F14" s="83">
        <f>+Variables!G13</f>
        <v>1190080987</v>
      </c>
      <c r="G14" s="83">
        <f>+Variables!H13</f>
        <v>1690216833</v>
      </c>
      <c r="H14" s="83">
        <f>+Variables!I13</f>
        <v>2056290139</v>
      </c>
      <c r="I14" s="83">
        <v>2232800.69</v>
      </c>
    </row>
    <row r="15" spans="2:9" ht="15" customHeight="1" x14ac:dyDescent="0.25">
      <c r="B15" s="82" t="str">
        <f>+Variables!C14</f>
        <v>Diferidos</v>
      </c>
      <c r="C15" s="83">
        <f>+Variables!D14</f>
        <v>37023704</v>
      </c>
      <c r="D15" s="83">
        <f>+Variables!E14</f>
        <v>86716968</v>
      </c>
      <c r="E15" s="83">
        <f>+Variables!F14</f>
        <v>61957103</v>
      </c>
      <c r="F15" s="83">
        <f>+Variables!G14</f>
        <v>157221119</v>
      </c>
      <c r="G15" s="83">
        <f>+Variables!H14</f>
        <v>207293017</v>
      </c>
      <c r="H15" s="83">
        <f>+Variables!I14</f>
        <v>749838027</v>
      </c>
      <c r="I15" s="83">
        <v>246.07</v>
      </c>
    </row>
    <row r="16" spans="2:9" ht="15" customHeight="1" x14ac:dyDescent="0.25">
      <c r="B16" s="82" t="str">
        <f>+Variables!C15</f>
        <v>Otros activos corrientes</v>
      </c>
      <c r="C16" s="83">
        <f>+Variables!D15</f>
        <v>0</v>
      </c>
      <c r="D16" s="83">
        <f>+Variables!E15</f>
        <v>964766535</v>
      </c>
      <c r="E16" s="83">
        <f>+Variables!F15</f>
        <v>2001786517</v>
      </c>
      <c r="F16" s="83">
        <f>+Variables!G15</f>
        <v>2433634356</v>
      </c>
      <c r="G16" s="83">
        <f>+Variables!H15</f>
        <v>3742620910</v>
      </c>
      <c r="H16" s="83">
        <f>+Variables!I15</f>
        <v>3323309134</v>
      </c>
      <c r="I16" s="83">
        <v>549377.66</v>
      </c>
    </row>
    <row r="17" spans="2:9" ht="15" customHeight="1" x14ac:dyDescent="0.25">
      <c r="B17" s="82"/>
      <c r="C17" s="83"/>
      <c r="D17" s="83"/>
      <c r="E17" s="83"/>
      <c r="F17" s="83"/>
      <c r="G17" s="83"/>
      <c r="H17" s="83"/>
      <c r="I17" s="83"/>
    </row>
    <row r="18" spans="2:9" ht="15" customHeight="1" x14ac:dyDescent="0.25">
      <c r="B18" s="84" t="s">
        <v>196</v>
      </c>
      <c r="C18" s="85">
        <f>SUM(C11:C17)</f>
        <v>5700250510</v>
      </c>
      <c r="D18" s="85">
        <f>SUM(D11:D17)</f>
        <v>5615556471</v>
      </c>
      <c r="E18" s="85">
        <f>SUM(E11:E17)</f>
        <v>8525446370</v>
      </c>
      <c r="F18" s="85">
        <f>SUM(F11:F17)</f>
        <v>8627541714</v>
      </c>
      <c r="G18" s="85">
        <f t="shared" ref="G18:H18" si="0">SUM(G11:G17)</f>
        <v>9650241817</v>
      </c>
      <c r="H18" s="85">
        <f t="shared" si="0"/>
        <v>14699528109</v>
      </c>
      <c r="I18" s="85">
        <f>SUM(I11:I17)</f>
        <v>5781798.1000000006</v>
      </c>
    </row>
    <row r="19" spans="2:9" ht="15" customHeight="1" x14ac:dyDescent="0.25">
      <c r="B19" s="82"/>
      <c r="C19" s="83"/>
      <c r="D19" s="83"/>
      <c r="E19" s="83"/>
      <c r="F19" s="83"/>
      <c r="G19" s="83"/>
      <c r="H19" s="83"/>
      <c r="I19" s="83"/>
    </row>
    <row r="20" spans="2:9" x14ac:dyDescent="0.25">
      <c r="B20" s="82" t="str">
        <f>+Variables!C17</f>
        <v>Muebles y enseres</v>
      </c>
      <c r="C20" s="83">
        <f>+Variables!D17</f>
        <v>0</v>
      </c>
      <c r="D20" s="83">
        <f>+Variables!E17</f>
        <v>0</v>
      </c>
      <c r="E20" s="83">
        <f>+Variables!F17</f>
        <v>0</v>
      </c>
      <c r="F20" s="83">
        <f>+Variables!G17</f>
        <v>0</v>
      </c>
      <c r="G20" s="83">
        <f>+Variables!H17</f>
        <v>0</v>
      </c>
      <c r="H20" s="83">
        <f>+Variables!I17</f>
        <v>0</v>
      </c>
      <c r="I20" s="83"/>
    </row>
    <row r="21" spans="2:9" x14ac:dyDescent="0.25">
      <c r="B21" s="82" t="str">
        <f>+Variables!C18</f>
        <v>Equipo de oficina</v>
      </c>
      <c r="C21" s="83">
        <f>+Variables!D18</f>
        <v>0</v>
      </c>
      <c r="D21" s="83">
        <f>+Variables!E18</f>
        <v>0</v>
      </c>
      <c r="E21" s="83">
        <f>+Variables!F18</f>
        <v>0</v>
      </c>
      <c r="F21" s="83">
        <f>+Variables!G18</f>
        <v>0</v>
      </c>
      <c r="G21" s="83">
        <f>+Variables!H18</f>
        <v>0</v>
      </c>
      <c r="H21" s="83">
        <f>+Variables!I18</f>
        <v>0</v>
      </c>
      <c r="I21" s="83"/>
    </row>
    <row r="22" spans="2:9" x14ac:dyDescent="0.25">
      <c r="B22" s="82" t="str">
        <f>+Variables!C19</f>
        <v>Maquinaria</v>
      </c>
      <c r="C22" s="83">
        <f>+Variables!D19</f>
        <v>2595940276</v>
      </c>
      <c r="D22" s="83">
        <f>+Variables!E19</f>
        <v>2800564815</v>
      </c>
      <c r="E22" s="83">
        <f>+Variables!F19</f>
        <v>3410131694</v>
      </c>
      <c r="F22" s="83">
        <f>+Variables!G19</f>
        <v>4664665679</v>
      </c>
      <c r="G22" s="83">
        <f>+Variables!H19</f>
        <v>4890523503</v>
      </c>
      <c r="H22" s="83">
        <f>+Variables!I19</f>
        <v>5021200039</v>
      </c>
      <c r="I22" s="83"/>
    </row>
    <row r="23" spans="2:9" x14ac:dyDescent="0.25">
      <c r="B23" s="82" t="str">
        <f>+Variables!C20</f>
        <v>Vehículos</v>
      </c>
      <c r="C23" s="83">
        <f>+Variables!D20</f>
        <v>152999947</v>
      </c>
      <c r="D23" s="83">
        <f>+Variables!E20</f>
        <v>152999947</v>
      </c>
      <c r="E23" s="83">
        <f>+Variables!F20</f>
        <v>152999947</v>
      </c>
      <c r="F23" s="83">
        <f>+Variables!G20</f>
        <v>152999947</v>
      </c>
      <c r="G23" s="83">
        <f>+Variables!H20</f>
        <v>152999947</v>
      </c>
      <c r="H23" s="83">
        <f>+Variables!I20</f>
        <v>152999947</v>
      </c>
      <c r="I23" s="83"/>
    </row>
    <row r="24" spans="2:9" x14ac:dyDescent="0.25">
      <c r="B24" s="82" t="str">
        <f>+Variables!C21</f>
        <v>Edificios</v>
      </c>
      <c r="C24" s="83">
        <f>+Variables!D21</f>
        <v>0</v>
      </c>
      <c r="D24" s="83">
        <f>+Variables!E21</f>
        <v>0</v>
      </c>
      <c r="E24" s="83">
        <f>+Variables!F21</f>
        <v>0</v>
      </c>
      <c r="F24" s="83">
        <f>+Variables!G21</f>
        <v>0</v>
      </c>
      <c r="G24" s="83">
        <f>+Variables!H21</f>
        <v>0</v>
      </c>
      <c r="H24" s="83">
        <f>+Variables!I21</f>
        <v>0</v>
      </c>
      <c r="I24" s="83"/>
    </row>
    <row r="25" spans="2:9" x14ac:dyDescent="0.25">
      <c r="B25" s="82" t="str">
        <f>+Variables!C22</f>
        <v>Terrenos</v>
      </c>
      <c r="C25" s="83">
        <f>+Variables!D22</f>
        <v>0</v>
      </c>
      <c r="D25" s="83">
        <f>+Variables!E22</f>
        <v>0</v>
      </c>
      <c r="E25" s="83">
        <f>+Variables!F22</f>
        <v>0</v>
      </c>
      <c r="F25" s="83">
        <f>+Variables!G22</f>
        <v>0</v>
      </c>
      <c r="G25" s="83">
        <f>+Variables!H22</f>
        <v>0</v>
      </c>
      <c r="H25" s="83">
        <f>+Variables!I22</f>
        <v>0</v>
      </c>
      <c r="I25" s="83"/>
    </row>
    <row r="26" spans="2:9" x14ac:dyDescent="0.25">
      <c r="B26" s="82" t="str">
        <f>+Variables!C23</f>
        <v>Equipo de cómputo</v>
      </c>
      <c r="C26" s="83">
        <f>+Variables!D23</f>
        <v>0</v>
      </c>
      <c r="D26" s="83">
        <f>+Variables!E23</f>
        <v>0</v>
      </c>
      <c r="E26" s="83">
        <f>+Variables!F23</f>
        <v>0</v>
      </c>
      <c r="F26" s="83">
        <f>+Variables!G23</f>
        <v>0</v>
      </c>
      <c r="G26" s="83">
        <f>+Variables!H23</f>
        <v>0</v>
      </c>
      <c r="H26" s="83">
        <f>+Variables!I23</f>
        <v>0</v>
      </c>
      <c r="I26" s="83"/>
    </row>
    <row r="27" spans="2:9" x14ac:dyDescent="0.25">
      <c r="B27" s="82" t="str">
        <f>+Variables!C24</f>
        <v>Depreciación acumulada</v>
      </c>
      <c r="C27" s="83">
        <f>+Variables!D24</f>
        <v>1674333990</v>
      </c>
      <c r="D27" s="83">
        <f>+Variables!E24</f>
        <v>1916880522</v>
      </c>
      <c r="E27" s="83">
        <f>+Variables!F24</f>
        <v>2267803494</v>
      </c>
      <c r="F27" s="83">
        <f>+Variables!G24</f>
        <v>2404985311</v>
      </c>
      <c r="G27" s="83">
        <f>+Variables!H24</f>
        <v>2778359734</v>
      </c>
      <c r="H27" s="83">
        <f>+Variables!I24</f>
        <v>3059062173</v>
      </c>
      <c r="I27" s="83"/>
    </row>
    <row r="28" spans="2:9" ht="15" customHeight="1" x14ac:dyDescent="0.25">
      <c r="B28" s="82" t="str">
        <f>+Variables!C25</f>
        <v>Propiedad planta y equipo</v>
      </c>
      <c r="C28" s="83">
        <f>+Variables!D25</f>
        <v>1074606233</v>
      </c>
      <c r="D28" s="83">
        <f>+Variables!E25</f>
        <v>1036684240</v>
      </c>
      <c r="E28" s="83">
        <f>+Variables!F25</f>
        <v>1295328147</v>
      </c>
      <c r="F28" s="83">
        <f>+Variables!G25</f>
        <v>2412680315</v>
      </c>
      <c r="G28" s="83">
        <f>+Variables!H25</f>
        <v>2265163716</v>
      </c>
      <c r="H28" s="83">
        <f>+Variables!I25</f>
        <v>2115137813</v>
      </c>
      <c r="I28" s="83">
        <v>3967953.38</v>
      </c>
    </row>
    <row r="29" spans="2:9" ht="15" customHeight="1" x14ac:dyDescent="0.25">
      <c r="B29" s="82" t="str">
        <f>+Variables!C26</f>
        <v>Intangibles</v>
      </c>
      <c r="C29" s="83">
        <f>+Variables!D26</f>
        <v>620429945</v>
      </c>
      <c r="D29" s="83">
        <f>+Variables!E26</f>
        <v>801357514</v>
      </c>
      <c r="E29" s="83">
        <f>+Variables!F26</f>
        <v>983070179</v>
      </c>
      <c r="F29" s="83">
        <f>+Variables!G26</f>
        <v>1992726743</v>
      </c>
      <c r="G29" s="83">
        <f>+Variables!H26</f>
        <v>2365985857</v>
      </c>
      <c r="H29" s="83">
        <f>+Variables!I26</f>
        <v>2643451039</v>
      </c>
      <c r="I29" s="83">
        <v>3736497.33</v>
      </c>
    </row>
    <row r="30" spans="2:9" ht="15" customHeight="1" x14ac:dyDescent="0.25">
      <c r="B30" s="82" t="str">
        <f>+Variables!C27</f>
        <v>Inversiones permanentes</v>
      </c>
      <c r="C30" s="83">
        <f>+Variables!D27</f>
        <v>0</v>
      </c>
      <c r="D30" s="83">
        <f>+Variables!E27</f>
        <v>0</v>
      </c>
      <c r="E30" s="83">
        <f>+Variables!F27</f>
        <v>0</v>
      </c>
      <c r="F30" s="83">
        <f>+Variables!G27</f>
        <v>0</v>
      </c>
      <c r="G30" s="83">
        <f>+Variables!H27</f>
        <v>0</v>
      </c>
      <c r="H30" s="83">
        <f>+Variables!I27</f>
        <v>0</v>
      </c>
      <c r="I30" s="83">
        <v>403402.77</v>
      </c>
    </row>
    <row r="31" spans="2:9" ht="15" customHeight="1" x14ac:dyDescent="0.25">
      <c r="B31" s="82" t="str">
        <f>+Variables!C28</f>
        <v>Valorizaciones</v>
      </c>
      <c r="C31" s="83">
        <f>+Variables!D28</f>
        <v>1562008077</v>
      </c>
      <c r="D31" s="83">
        <f>+Variables!E28</f>
        <v>1562008077.5</v>
      </c>
      <c r="E31" s="83">
        <f>+Variables!F28</f>
        <v>1562008077.5</v>
      </c>
      <c r="F31" s="83">
        <f>+Variables!G28</f>
        <v>1562008077.5</v>
      </c>
      <c r="G31" s="83">
        <f>+Variables!H28</f>
        <v>1562008078</v>
      </c>
      <c r="H31" s="83">
        <f>+Variables!I28</f>
        <v>1562008078</v>
      </c>
      <c r="I31" s="83">
        <v>0</v>
      </c>
    </row>
    <row r="32" spans="2:9" ht="15" customHeight="1" x14ac:dyDescent="0.25">
      <c r="B32" s="82" t="str">
        <f>+Variables!C29</f>
        <v>Otros activos no corrientes</v>
      </c>
      <c r="C32" s="83">
        <f>+Variables!D29</f>
        <v>0</v>
      </c>
      <c r="D32" s="83">
        <f>+Variables!E29</f>
        <v>1512983667</v>
      </c>
      <c r="E32" s="83">
        <f>+Variables!F29</f>
        <v>1873154750</v>
      </c>
      <c r="F32" s="83">
        <f>+Variables!G29</f>
        <v>3831378286</v>
      </c>
      <c r="G32" s="83">
        <f>+Variables!H29</f>
        <v>4061968253</v>
      </c>
      <c r="H32" s="83">
        <f>+Variables!I29</f>
        <v>5506536755</v>
      </c>
      <c r="I32" s="83">
        <f>37227.25+951413.14+810538.07</f>
        <v>1799178.46</v>
      </c>
    </row>
    <row r="33" spans="2:10" ht="15" customHeight="1" x14ac:dyDescent="0.25">
      <c r="B33" s="82"/>
      <c r="C33" s="83"/>
      <c r="D33" s="83"/>
      <c r="E33" s="83"/>
      <c r="F33" s="83"/>
      <c r="G33" s="83"/>
      <c r="H33" s="83"/>
      <c r="I33" s="83"/>
    </row>
    <row r="34" spans="2:10" ht="15" customHeight="1" x14ac:dyDescent="0.25">
      <c r="B34" s="84" t="s">
        <v>197</v>
      </c>
      <c r="C34" s="85">
        <f>+C28+C29+C30+C31+C32</f>
        <v>3257044255</v>
      </c>
      <c r="D34" s="85">
        <f>+D28+D29+D30+D31+D32</f>
        <v>4913033498.5</v>
      </c>
      <c r="E34" s="85">
        <f>+E28+E29+E30+E31+E32</f>
        <v>5713561153.5</v>
      </c>
      <c r="F34" s="85">
        <f>+F28+F29+F30+F31+F32</f>
        <v>9798793421.5</v>
      </c>
      <c r="G34" s="85">
        <f t="shared" ref="G34:H34" si="1">+G28+G29+G30+G31+G32</f>
        <v>10255125904</v>
      </c>
      <c r="H34" s="85">
        <f t="shared" si="1"/>
        <v>11827133685</v>
      </c>
      <c r="I34" s="85">
        <f>+I28+I29+I30+I31+I32</f>
        <v>9907031.9400000013</v>
      </c>
      <c r="J34" s="86"/>
    </row>
    <row r="35" spans="2:10" ht="15" customHeight="1" x14ac:dyDescent="0.25">
      <c r="B35" s="82"/>
      <c r="C35" s="83"/>
      <c r="D35" s="83"/>
      <c r="E35" s="83"/>
      <c r="F35" s="83"/>
      <c r="G35" s="83"/>
      <c r="H35" s="83"/>
      <c r="I35" s="83"/>
      <c r="J35" s="86"/>
    </row>
    <row r="36" spans="2:10" ht="15" customHeight="1" x14ac:dyDescent="0.25">
      <c r="B36" s="87" t="s">
        <v>182</v>
      </c>
      <c r="C36" s="88">
        <f>+C34+C18</f>
        <v>8957294765</v>
      </c>
      <c r="D36" s="88">
        <f>+D34+D18</f>
        <v>10528589969.5</v>
      </c>
      <c r="E36" s="88">
        <f>+E34+E18</f>
        <v>14239007523.5</v>
      </c>
      <c r="F36" s="88">
        <f>+F34+F18</f>
        <v>18426335135.5</v>
      </c>
      <c r="G36" s="88">
        <f t="shared" ref="G36:H36" si="2">+G34+G18</f>
        <v>19905367721</v>
      </c>
      <c r="H36" s="88">
        <f t="shared" si="2"/>
        <v>26526661794</v>
      </c>
      <c r="I36" s="88">
        <f>+I34+I18</f>
        <v>15688830.040000003</v>
      </c>
    </row>
    <row r="37" spans="2:10" ht="15" customHeight="1" x14ac:dyDescent="0.25">
      <c r="D37" s="86"/>
      <c r="E37" s="86"/>
      <c r="F37" s="86"/>
      <c r="G37" s="86"/>
      <c r="H37" s="86"/>
      <c r="I37" s="86"/>
    </row>
    <row r="38" spans="2:10" ht="15" customHeight="1" x14ac:dyDescent="0.25">
      <c r="C38" s="86"/>
      <c r="D38" s="86"/>
      <c r="E38" s="86"/>
      <c r="F38" s="86"/>
      <c r="G38" s="86"/>
      <c r="H38" s="86"/>
      <c r="I38" s="86"/>
    </row>
    <row r="39" spans="2:10" ht="15" customHeight="1" x14ac:dyDescent="0.25">
      <c r="B39" s="81" t="s">
        <v>89</v>
      </c>
      <c r="C39" s="79"/>
      <c r="D39" s="79"/>
      <c r="E39" s="79"/>
      <c r="F39" s="79"/>
      <c r="G39" s="79"/>
      <c r="H39" s="79"/>
      <c r="I39" s="79"/>
    </row>
    <row r="40" spans="2:10" ht="15" customHeight="1" x14ac:dyDescent="0.25">
      <c r="B40" s="82"/>
      <c r="C40" s="83"/>
      <c r="D40" s="83"/>
      <c r="E40" s="83"/>
      <c r="F40" s="83"/>
      <c r="G40" s="83"/>
      <c r="H40" s="83"/>
      <c r="I40" s="83"/>
    </row>
    <row r="41" spans="2:10" ht="15" customHeight="1" x14ac:dyDescent="0.25">
      <c r="B41" s="82" t="str">
        <f>+Variables!C32</f>
        <v>Obligaciones financieras corto plazo</v>
      </c>
      <c r="C41" s="83">
        <f>+Variables!D32</f>
        <v>648007781.69999993</v>
      </c>
      <c r="D41" s="83">
        <f>+Variables!E32</f>
        <v>962289205.79999995</v>
      </c>
      <c r="E41" s="83">
        <f>+Variables!F32</f>
        <v>1020512059.1999999</v>
      </c>
      <c r="F41" s="83">
        <f>+Variables!G32</f>
        <v>1500739095.5999999</v>
      </c>
      <c r="G41" s="83">
        <f>+Variables!H32</f>
        <v>1708600917.8999999</v>
      </c>
      <c r="H41" s="83">
        <f>+Variables!I32</f>
        <v>2153595665.4000001</v>
      </c>
      <c r="I41" s="83">
        <v>757726.87</v>
      </c>
    </row>
    <row r="42" spans="2:10" ht="15" customHeight="1" x14ac:dyDescent="0.25">
      <c r="B42" s="82" t="str">
        <f>+Variables!C33</f>
        <v>Proveedores</v>
      </c>
      <c r="C42" s="83">
        <f>+Variables!D33</f>
        <v>288540127</v>
      </c>
      <c r="D42" s="83">
        <f>+Variables!E33</f>
        <v>455015983</v>
      </c>
      <c r="E42" s="83">
        <f>+Variables!F33</f>
        <v>232757746</v>
      </c>
      <c r="F42" s="83">
        <f>+Variables!G33</f>
        <v>714066403</v>
      </c>
      <c r="G42" s="83">
        <f>+Variables!H33</f>
        <v>928720815</v>
      </c>
      <c r="H42" s="83">
        <f>+Variables!I33</f>
        <v>2093105985</v>
      </c>
      <c r="I42" s="83">
        <v>1924833</v>
      </c>
    </row>
    <row r="43" spans="2:10" ht="15" customHeight="1" x14ac:dyDescent="0.25">
      <c r="B43" s="82" t="str">
        <f>+Variables!C34</f>
        <v>Cuentas y gastos por pagar</v>
      </c>
      <c r="C43" s="83">
        <f>+Variables!D34</f>
        <v>971008853</v>
      </c>
      <c r="D43" s="83">
        <f>+Variables!E34</f>
        <v>547278396</v>
      </c>
      <c r="E43" s="83">
        <f>+Variables!F34</f>
        <v>816276118</v>
      </c>
      <c r="F43" s="83">
        <f>+Variables!G34</f>
        <v>1883471851</v>
      </c>
      <c r="G43" s="83">
        <f>+Variables!H34</f>
        <v>1884210580</v>
      </c>
      <c r="H43" s="83">
        <f>+Variables!I34</f>
        <v>2531480554</v>
      </c>
      <c r="I43" s="83"/>
    </row>
    <row r="44" spans="2:10" ht="15" customHeight="1" x14ac:dyDescent="0.25">
      <c r="B44" s="82" t="str">
        <f>+Variables!C35</f>
        <v>Impuestos, gravámenes y tasas</v>
      </c>
      <c r="C44" s="83">
        <f>+'Estados y analisis'!C37</f>
        <v>496896427.78666627</v>
      </c>
      <c r="D44" s="83">
        <f>+'Estados y analisis'!D37</f>
        <v>633365626</v>
      </c>
      <c r="E44" s="83">
        <f>+'Estados y analisis'!E37</f>
        <v>1205288567</v>
      </c>
      <c r="F44" s="83">
        <f>+'Estados y analisis'!F37</f>
        <v>1672077608</v>
      </c>
      <c r="G44" s="83">
        <f>+'Estados y analisis'!G37</f>
        <v>1642022971.2695022</v>
      </c>
      <c r="H44" s="83">
        <f>+'Estados y analisis'!H37</f>
        <v>3529110698.0247908</v>
      </c>
      <c r="I44" s="83">
        <v>378277.73</v>
      </c>
    </row>
    <row r="45" spans="2:10" ht="15" customHeight="1" x14ac:dyDescent="0.25">
      <c r="B45" s="82" t="str">
        <f>+Variables!C36</f>
        <v>Obligaciones laborales</v>
      </c>
      <c r="C45" s="83">
        <f>+Variables!D36</f>
        <v>374527975</v>
      </c>
      <c r="D45" s="83">
        <f>+Variables!E36</f>
        <v>385992891</v>
      </c>
      <c r="E45" s="83">
        <f>+Variables!F36</f>
        <v>616890362</v>
      </c>
      <c r="F45" s="83">
        <f>+Variables!G36</f>
        <v>624717627</v>
      </c>
      <c r="G45" s="83">
        <f>+Variables!H36</f>
        <v>740507708</v>
      </c>
      <c r="H45" s="83">
        <f>+Variables!I36</f>
        <v>844785681</v>
      </c>
      <c r="I45" s="83"/>
    </row>
    <row r="46" spans="2:10" ht="15" customHeight="1" x14ac:dyDescent="0.25">
      <c r="B46" s="82" t="str">
        <f>+Variables!C37</f>
        <v>Otros pasivos corto plazo</v>
      </c>
      <c r="C46" s="83">
        <f>+Variables!D37</f>
        <v>70548528</v>
      </c>
      <c r="D46" s="83">
        <f>+Variables!E37</f>
        <v>71625748</v>
      </c>
      <c r="E46" s="83">
        <f>+Variables!F37</f>
        <v>117387425</v>
      </c>
      <c r="F46" s="83">
        <f>+Variables!G37</f>
        <v>80735155</v>
      </c>
      <c r="G46" s="83">
        <f>+Variables!H37</f>
        <v>133529186</v>
      </c>
      <c r="H46" s="83">
        <f>+Variables!I37</f>
        <v>343084990</v>
      </c>
      <c r="I46" s="83">
        <f>314242.66+328190.56</f>
        <v>642433.22</v>
      </c>
    </row>
    <row r="47" spans="2:10" ht="15" customHeight="1" x14ac:dyDescent="0.25">
      <c r="B47" s="82"/>
      <c r="C47" s="83"/>
      <c r="D47" s="83"/>
      <c r="E47" s="83"/>
      <c r="F47" s="83"/>
      <c r="G47" s="83"/>
      <c r="H47" s="83"/>
      <c r="I47" s="83"/>
    </row>
    <row r="48" spans="2:10" s="89" customFormat="1" ht="15" customHeight="1" x14ac:dyDescent="0.25">
      <c r="B48" s="90" t="s">
        <v>184</v>
      </c>
      <c r="C48" s="85">
        <f>SUM(C41:C47)</f>
        <v>2849529692.4866662</v>
      </c>
      <c r="D48" s="85">
        <f>SUM(D41:D47)</f>
        <v>3055567849.8000002</v>
      </c>
      <c r="E48" s="85">
        <f>SUM(E41:E47)</f>
        <v>4009112277.1999998</v>
      </c>
      <c r="F48" s="85">
        <f>SUM(F41:F47)</f>
        <v>6475807739.6000004</v>
      </c>
      <c r="G48" s="85">
        <f t="shared" ref="G48:H48" si="3">SUM(G41:G47)</f>
        <v>7037592178.1695023</v>
      </c>
      <c r="H48" s="85">
        <f t="shared" si="3"/>
        <v>11495163573.424789</v>
      </c>
      <c r="I48" s="85">
        <f>SUM(I41:I47)</f>
        <v>3703270.8200000003</v>
      </c>
    </row>
    <row r="49" spans="2:9" ht="15" customHeight="1" x14ac:dyDescent="0.25">
      <c r="B49" s="91"/>
      <c r="C49" s="420"/>
      <c r="D49" s="83"/>
      <c r="E49" s="83"/>
      <c r="F49" s="83"/>
      <c r="G49" s="83"/>
      <c r="H49" s="83"/>
      <c r="I49" s="83"/>
    </row>
    <row r="50" spans="2:9" ht="15" customHeight="1" x14ac:dyDescent="0.25">
      <c r="B50" s="82" t="str">
        <f>+Variables!C39</f>
        <v>Obligaciones financieras largo plazo</v>
      </c>
      <c r="C50" s="83">
        <f>+Variables!D39</f>
        <v>1512018157.3</v>
      </c>
      <c r="D50" s="83">
        <f>+Variables!E39</f>
        <v>2245341480.1999998</v>
      </c>
      <c r="E50" s="83">
        <f>+Variables!F39</f>
        <v>2381194804.7999997</v>
      </c>
      <c r="F50" s="83">
        <f>+Variables!G39</f>
        <v>3501724556.3999996</v>
      </c>
      <c r="G50" s="83">
        <f>+Variables!H39</f>
        <v>3986735475.0999999</v>
      </c>
      <c r="H50" s="83">
        <f>+Variables!I39</f>
        <v>5025056552.5999994</v>
      </c>
      <c r="I50" s="83">
        <v>3346230.47</v>
      </c>
    </row>
    <row r="51" spans="2:9" ht="15" customHeight="1" x14ac:dyDescent="0.25">
      <c r="B51" s="82" t="str">
        <f>+Variables!C40</f>
        <v>Bonos y papeles comerciales por pagar</v>
      </c>
      <c r="C51" s="83">
        <f>+Variables!D40</f>
        <v>0</v>
      </c>
      <c r="D51" s="83">
        <f>+Variables!E40</f>
        <v>330355804</v>
      </c>
      <c r="E51" s="83">
        <f>+Variables!F40</f>
        <v>0</v>
      </c>
      <c r="F51" s="83">
        <f>+Variables!G40</f>
        <v>0</v>
      </c>
      <c r="G51" s="83">
        <f>+Variables!H40</f>
        <v>0</v>
      </c>
      <c r="H51" s="83">
        <f>+Variables!I40</f>
        <v>0</v>
      </c>
      <c r="I51" s="83">
        <v>1112388.8600000001</v>
      </c>
    </row>
    <row r="52" spans="2:9" ht="15" customHeight="1" x14ac:dyDescent="0.25">
      <c r="B52" s="82" t="str">
        <f>+Variables!C41</f>
        <v>Obligaciones laborales largo plazo</v>
      </c>
      <c r="C52" s="83">
        <f>+Variables!D41</f>
        <v>0</v>
      </c>
      <c r="D52" s="83">
        <f>+Variables!E41</f>
        <v>0</v>
      </c>
      <c r="E52" s="83">
        <f>+Variables!F41</f>
        <v>0</v>
      </c>
      <c r="F52" s="83">
        <f>+Variables!G41</f>
        <v>0</v>
      </c>
      <c r="G52" s="83">
        <f>+Variables!H41</f>
        <v>0</v>
      </c>
      <c r="H52" s="83">
        <f>+Variables!I41</f>
        <v>0</v>
      </c>
      <c r="I52" s="83"/>
    </row>
    <row r="53" spans="2:9" ht="15" customHeight="1" x14ac:dyDescent="0.25">
      <c r="B53" s="82" t="str">
        <f>+Variables!C42</f>
        <v>Pasivos estimados y provisiones</v>
      </c>
      <c r="C53" s="83">
        <f>+Variables!D42</f>
        <v>0</v>
      </c>
      <c r="D53" s="83">
        <f>+Variables!E42</f>
        <v>0</v>
      </c>
      <c r="E53" s="83">
        <f>+Variables!F42</f>
        <v>0</v>
      </c>
      <c r="F53" s="83">
        <f>+Variables!G42</f>
        <v>0</v>
      </c>
      <c r="G53" s="83">
        <f>+Variables!H42</f>
        <v>0</v>
      </c>
      <c r="H53" s="83">
        <f>+Variables!I42</f>
        <v>0</v>
      </c>
      <c r="I53" s="83">
        <v>226546.22</v>
      </c>
    </row>
    <row r="54" spans="2:9" ht="15" customHeight="1" x14ac:dyDescent="0.25">
      <c r="B54" s="82" t="str">
        <f>+Variables!C43</f>
        <v>Otros pasivos largo plazo</v>
      </c>
      <c r="C54" s="83">
        <f>+Variables!D43</f>
        <v>0</v>
      </c>
      <c r="D54" s="83">
        <f>+Variables!E43</f>
        <v>0</v>
      </c>
      <c r="E54" s="83">
        <f>+Variables!F43</f>
        <v>0</v>
      </c>
      <c r="F54" s="83">
        <f>+Variables!G43</f>
        <v>0</v>
      </c>
      <c r="G54" s="83">
        <f>+Variables!H43</f>
        <v>0</v>
      </c>
      <c r="H54" s="83">
        <f>+Variables!I43</f>
        <v>0</v>
      </c>
      <c r="I54" s="83">
        <v>856141.42</v>
      </c>
    </row>
    <row r="55" spans="2:9" ht="15" customHeight="1" x14ac:dyDescent="0.25">
      <c r="B55" s="82"/>
      <c r="C55" s="83"/>
      <c r="D55" s="83"/>
      <c r="E55" s="83"/>
      <c r="F55" s="83"/>
      <c r="G55" s="83"/>
      <c r="H55" s="83"/>
      <c r="I55" s="83"/>
    </row>
    <row r="56" spans="2:9" ht="15" customHeight="1" x14ac:dyDescent="0.25">
      <c r="B56" s="90" t="s">
        <v>185</v>
      </c>
      <c r="C56" s="85">
        <f>SUM(C50:C55)</f>
        <v>1512018157.3</v>
      </c>
      <c r="D56" s="85">
        <f>SUM(D50:D55)</f>
        <v>2575697284.1999998</v>
      </c>
      <c r="E56" s="85">
        <f>SUM(E50:E55)</f>
        <v>2381194804.7999997</v>
      </c>
      <c r="F56" s="85">
        <f>SUM(F50:F55)</f>
        <v>3501724556.3999996</v>
      </c>
      <c r="G56" s="85">
        <f t="shared" ref="G56:H56" si="4">SUM(G50:G55)</f>
        <v>3986735475.0999999</v>
      </c>
      <c r="H56" s="85">
        <f t="shared" si="4"/>
        <v>5025056552.5999994</v>
      </c>
      <c r="I56" s="85">
        <f>SUM(I50:I55)</f>
        <v>5541306.9699999997</v>
      </c>
    </row>
    <row r="57" spans="2:9" ht="15" customHeight="1" x14ac:dyDescent="0.25">
      <c r="B57" s="82"/>
      <c r="C57" s="83"/>
      <c r="D57" s="83"/>
      <c r="E57" s="83"/>
      <c r="F57" s="83"/>
      <c r="G57" s="83"/>
      <c r="H57" s="83"/>
      <c r="I57" s="83"/>
    </row>
    <row r="58" spans="2:9" ht="15" customHeight="1" x14ac:dyDescent="0.25">
      <c r="B58" s="81" t="s">
        <v>186</v>
      </c>
      <c r="C58" s="85">
        <f>C48+C56</f>
        <v>4361547849.7866659</v>
      </c>
      <c r="D58" s="85">
        <f>D48+D56</f>
        <v>5631265134</v>
      </c>
      <c r="E58" s="85">
        <f>E48+E56</f>
        <v>6390307082</v>
      </c>
      <c r="F58" s="85">
        <f>F48+F56</f>
        <v>9977532296</v>
      </c>
      <c r="G58" s="85">
        <f t="shared" ref="G58:H58" si="5">G48+G56</f>
        <v>11024327653.269503</v>
      </c>
      <c r="H58" s="85">
        <f t="shared" si="5"/>
        <v>16520220126.024788</v>
      </c>
      <c r="I58" s="85">
        <f>I48+I56</f>
        <v>9244577.7899999991</v>
      </c>
    </row>
    <row r="59" spans="2:9" ht="15" customHeight="1" x14ac:dyDescent="0.25">
      <c r="B59" s="95"/>
      <c r="C59" s="308"/>
      <c r="D59" s="308"/>
      <c r="E59" s="308"/>
      <c r="F59" s="308"/>
      <c r="G59" s="86"/>
      <c r="H59" s="86"/>
      <c r="I59" s="86"/>
    </row>
    <row r="60" spans="2:9" ht="15" customHeight="1" x14ac:dyDescent="0.25">
      <c r="B60" s="81" t="s">
        <v>101</v>
      </c>
      <c r="C60" s="79"/>
      <c r="D60" s="79"/>
      <c r="E60" s="79"/>
      <c r="F60" s="79"/>
      <c r="G60" s="79"/>
      <c r="H60" s="79"/>
      <c r="I60" s="79"/>
    </row>
    <row r="61" spans="2:9" ht="15" customHeight="1" x14ac:dyDescent="0.25">
      <c r="B61" s="82"/>
      <c r="C61" s="83"/>
      <c r="D61" s="83"/>
      <c r="E61" s="83"/>
      <c r="F61" s="83"/>
      <c r="G61" s="83"/>
      <c r="H61" s="83"/>
      <c r="I61" s="83"/>
    </row>
    <row r="62" spans="2:9" ht="15" customHeight="1" x14ac:dyDescent="0.25">
      <c r="B62" s="82" t="str">
        <f>+Variables!C46</f>
        <v>Capital social</v>
      </c>
      <c r="C62" s="83">
        <f>+Variables!D46</f>
        <v>1000000000</v>
      </c>
      <c r="D62" s="83">
        <f>+Variables!E46</f>
        <v>1000000000</v>
      </c>
      <c r="E62" s="83">
        <f>+Variables!F46</f>
        <v>1000000000</v>
      </c>
      <c r="F62" s="83">
        <f>+Variables!G46</f>
        <v>1000000000</v>
      </c>
      <c r="G62" s="83">
        <f>+Variables!H46</f>
        <v>1000000000</v>
      </c>
      <c r="H62" s="83">
        <f>+Variables!I46</f>
        <v>1000000000</v>
      </c>
      <c r="I62" s="83">
        <v>2300.62</v>
      </c>
    </row>
    <row r="63" spans="2:9" ht="15" customHeight="1" x14ac:dyDescent="0.25">
      <c r="B63" s="82" t="str">
        <f>+Variables!C47</f>
        <v>Superávit de capital</v>
      </c>
      <c r="C63" s="83">
        <f>+Variables!D47</f>
        <v>0</v>
      </c>
      <c r="D63" s="83">
        <f>+Variables!E47</f>
        <v>0</v>
      </c>
      <c r="E63" s="83">
        <f>+Variables!F47</f>
        <v>0</v>
      </c>
      <c r="F63" s="83">
        <f>+Variables!G47</f>
        <v>0</v>
      </c>
      <c r="G63" s="83">
        <f>+Variables!H47</f>
        <v>0</v>
      </c>
      <c r="H63" s="83">
        <f>+Variables!I47</f>
        <v>0</v>
      </c>
      <c r="I63" s="83"/>
    </row>
    <row r="64" spans="2:9" ht="15" customHeight="1" x14ac:dyDescent="0.25">
      <c r="B64" s="82" t="str">
        <f>+Variables!C48</f>
        <v>Reservas</v>
      </c>
      <c r="C64" s="83">
        <f>+Variables!D48</f>
        <v>118776768</v>
      </c>
      <c r="D64" s="83">
        <f>+Variables!E48</f>
        <v>221041718</v>
      </c>
      <c r="E64" s="83">
        <f>+Variables!F48</f>
        <v>221041718</v>
      </c>
      <c r="F64" s="83">
        <f>+Variables!G48</f>
        <v>286051703</v>
      </c>
      <c r="G64" s="83">
        <f>+Variables!H48</f>
        <v>427575589</v>
      </c>
      <c r="H64" s="83">
        <f>+Variables!I48</f>
        <v>697820647</v>
      </c>
      <c r="I64" s="83">
        <v>5615414.21</v>
      </c>
    </row>
    <row r="65" spans="2:9" ht="15" customHeight="1" x14ac:dyDescent="0.25">
      <c r="B65" s="82" t="str">
        <f>+Variables!C49</f>
        <v>Revalorización del patrimonio</v>
      </c>
      <c r="C65" s="83">
        <f>+Variables!D49</f>
        <v>0</v>
      </c>
      <c r="D65" s="83">
        <f>+Variables!E49</f>
        <v>0</v>
      </c>
      <c r="E65" s="83">
        <f>+Variables!F49</f>
        <v>0</v>
      </c>
      <c r="F65" s="83">
        <f>+Variables!G49</f>
        <v>0</v>
      </c>
      <c r="G65" s="83">
        <f>+Variables!H49</f>
        <v>0</v>
      </c>
      <c r="H65" s="83">
        <f>+Variables!I49</f>
        <v>0</v>
      </c>
      <c r="I65" s="83"/>
    </row>
    <row r="66" spans="2:9" ht="15" customHeight="1" x14ac:dyDescent="0.25">
      <c r="B66" s="82" t="str">
        <f>+Variables!C50</f>
        <v>Resultados del ejercicio</v>
      </c>
      <c r="C66" s="83">
        <f>+'Estados y analisis'!C57</f>
        <v>586891522.21333396</v>
      </c>
      <c r="D66" s="83">
        <f>+'Estados y analisis'!D57</f>
        <v>721808924.99999905</v>
      </c>
      <c r="E66" s="83">
        <f>+'Estados y analisis'!E57</f>
        <v>2608707606.9999995</v>
      </c>
      <c r="F66" s="83">
        <f>+'Estados y analisis'!F57-0.5</f>
        <v>2206856222.499999</v>
      </c>
      <c r="G66" s="83">
        <f>+'Estados y analisis'!G57</f>
        <v>1266080319.7304978</v>
      </c>
      <c r="H66" s="83">
        <f>+'Estados y analisis'!H57</f>
        <v>1062044471.9752088</v>
      </c>
      <c r="I66" s="83">
        <f>720483.19+0.91</f>
        <v>720484.1</v>
      </c>
    </row>
    <row r="67" spans="2:9" ht="15" customHeight="1" x14ac:dyDescent="0.25">
      <c r="B67" s="82" t="str">
        <f>+Variables!C51</f>
        <v>Resultado de ejercicios anteriores</v>
      </c>
      <c r="C67" s="83">
        <f>+Variables!D51</f>
        <v>1328070548</v>
      </c>
      <c r="D67" s="83">
        <f>+Variables!E51</f>
        <v>1392466115</v>
      </c>
      <c r="E67" s="83">
        <f>+Variables!F51</f>
        <v>2456943038.5</v>
      </c>
      <c r="F67" s="83">
        <f>+Variables!G51</f>
        <v>3393886836</v>
      </c>
      <c r="G67" s="83">
        <f>+Variables!H51</f>
        <v>4625376081</v>
      </c>
      <c r="H67" s="83">
        <f>+Variables!I51</f>
        <v>5684568471</v>
      </c>
      <c r="I67" s="83"/>
    </row>
    <row r="68" spans="2:9" ht="15" customHeight="1" x14ac:dyDescent="0.25">
      <c r="B68" s="82" t="str">
        <f>+Variables!C52</f>
        <v>Superávit por valorización</v>
      </c>
      <c r="C68" s="83">
        <f>+Variables!D52</f>
        <v>1562008077</v>
      </c>
      <c r="D68" s="83">
        <f>+Variables!E52</f>
        <v>1562008077.5</v>
      </c>
      <c r="E68" s="83">
        <f>+Variables!F52</f>
        <v>1562008078</v>
      </c>
      <c r="F68" s="83">
        <f>+Variables!G52</f>
        <v>1562008078</v>
      </c>
      <c r="G68" s="83">
        <f>+Variables!H52</f>
        <v>1562008078</v>
      </c>
      <c r="H68" s="83">
        <f>+Variables!I52</f>
        <v>1562008078</v>
      </c>
      <c r="I68" s="83"/>
    </row>
    <row r="69" spans="2:9" ht="15" customHeight="1" x14ac:dyDescent="0.25">
      <c r="B69" s="82" t="str">
        <f>+Variables!C53</f>
        <v>Otras cuentas de patrimonio</v>
      </c>
      <c r="C69" s="83">
        <f>+Variables!D53</f>
        <v>0</v>
      </c>
      <c r="D69" s="83">
        <f>+Variables!E53</f>
        <v>0</v>
      </c>
      <c r="E69" s="83">
        <f>+Variables!F53</f>
        <v>0</v>
      </c>
      <c r="F69" s="83">
        <f>+Variables!G53</f>
        <v>0</v>
      </c>
      <c r="G69" s="83">
        <f>+Variables!H53</f>
        <v>0</v>
      </c>
      <c r="H69" s="83">
        <f>+Variables!I53</f>
        <v>0</v>
      </c>
      <c r="I69" s="83">
        <f>117169.8-87699.93+76583.45</f>
        <v>106053.32</v>
      </c>
    </row>
    <row r="70" spans="2:9" ht="15" customHeight="1" x14ac:dyDescent="0.25">
      <c r="B70" s="82"/>
      <c r="C70" s="83"/>
      <c r="D70" s="83"/>
      <c r="E70" s="83"/>
      <c r="F70" s="83"/>
      <c r="G70" s="83"/>
      <c r="H70" s="83"/>
      <c r="I70" s="83"/>
    </row>
    <row r="71" spans="2:9" ht="15" customHeight="1" x14ac:dyDescent="0.25">
      <c r="B71" s="81" t="s">
        <v>187</v>
      </c>
      <c r="C71" s="85">
        <f>SUM(C62:C70)</f>
        <v>4595746915.2133341</v>
      </c>
      <c r="D71" s="85">
        <f>SUM(D62:D70)</f>
        <v>4897324835.499999</v>
      </c>
      <c r="E71" s="85">
        <f>SUM(E62:E70)</f>
        <v>7848700441.5</v>
      </c>
      <c r="F71" s="85">
        <f>SUM(F62:F70)</f>
        <v>8448802839.499999</v>
      </c>
      <c r="G71" s="85">
        <f t="shared" ref="G71:H71" si="6">SUM(G62:G70)</f>
        <v>8881040067.7304974</v>
      </c>
      <c r="H71" s="85">
        <f t="shared" si="6"/>
        <v>10006441667.975208</v>
      </c>
      <c r="I71" s="85">
        <f>SUM(I62:I70)</f>
        <v>6444252.25</v>
      </c>
    </row>
    <row r="72" spans="2:9" ht="15" customHeight="1" x14ac:dyDescent="0.25">
      <c r="B72" s="82"/>
      <c r="C72" s="83"/>
      <c r="D72" s="83"/>
      <c r="E72" s="83"/>
      <c r="F72" s="83"/>
      <c r="G72" s="83"/>
      <c r="H72" s="83"/>
      <c r="I72" s="83"/>
    </row>
    <row r="73" spans="2:9" ht="15" customHeight="1" x14ac:dyDescent="0.25">
      <c r="B73" s="87" t="s">
        <v>188</v>
      </c>
      <c r="C73" s="88">
        <f>+C71+C58</f>
        <v>8957294765</v>
      </c>
      <c r="D73" s="88">
        <f>+D71+D58</f>
        <v>10528589969.5</v>
      </c>
      <c r="E73" s="88">
        <f>+E71+E58</f>
        <v>14239007523.5</v>
      </c>
      <c r="F73" s="88">
        <f>+F71+F58</f>
        <v>18426335135.5</v>
      </c>
      <c r="G73" s="88">
        <f t="shared" ref="G73:H73" si="7">+G71+G58</f>
        <v>19905367721</v>
      </c>
      <c r="H73" s="88">
        <f t="shared" si="7"/>
        <v>26526661793.999996</v>
      </c>
      <c r="I73" s="88">
        <f>+I71+I58</f>
        <v>15688830.039999999</v>
      </c>
    </row>
    <row r="74" spans="2:9" ht="15" customHeight="1" x14ac:dyDescent="0.25">
      <c r="C74" s="86"/>
      <c r="D74" s="86"/>
      <c r="E74" s="86"/>
      <c r="F74" s="86"/>
      <c r="G74" s="86"/>
      <c r="H74" s="86"/>
      <c r="I74" s="86"/>
    </row>
    <row r="75" spans="2:9" x14ac:dyDescent="0.25">
      <c r="B75" s="80" t="str">
        <f>IF(SUM(C75:F75)&lt;&gt;0,"EL BALANCE ESTA DESCUADRADO"," ")</f>
        <v xml:space="preserve"> </v>
      </c>
      <c r="C75" s="105">
        <f t="shared" ref="C75:I75" si="8">+C73-C36</f>
        <v>0</v>
      </c>
      <c r="D75" s="105">
        <f t="shared" si="8"/>
        <v>0</v>
      </c>
      <c r="E75" s="355">
        <f t="shared" si="8"/>
        <v>0</v>
      </c>
      <c r="F75" s="354">
        <f t="shared" si="8"/>
        <v>0</v>
      </c>
      <c r="G75" s="354">
        <f t="shared" si="8"/>
        <v>0</v>
      </c>
      <c r="H75" s="354">
        <f t="shared" si="8"/>
        <v>0</v>
      </c>
      <c r="I75" s="355">
        <f t="shared" si="8"/>
        <v>0</v>
      </c>
    </row>
    <row r="76" spans="2:9" x14ac:dyDescent="0.25"/>
  </sheetData>
  <sheetProtection selectLockedCells="1" selectUnlockedCells="1"/>
  <mergeCells count="3">
    <mergeCell ref="B3:I3"/>
    <mergeCell ref="B4:I4"/>
    <mergeCell ref="B5:I5"/>
  </mergeCells>
  <phoneticPr fontId="5" type="noConversion"/>
  <conditionalFormatting sqref="C75:I75">
    <cfRule type="cellIs" dxfId="115" priority="2" operator="notEqual">
      <formula>0</formula>
    </cfRule>
    <cfRule type="cellIs" dxfId="114" priority="3" operator="greaterThan">
      <formula>0</formula>
    </cfRule>
  </conditionalFormatting>
  <conditionalFormatting sqref="B75">
    <cfRule type="containsText" dxfId="113" priority="1" operator="containsText" text="EL BALANCE ESTA DESCUADRADO">
      <formula>NOT(ISERROR(SEARCH("EL BALANCE ESTA DESCUADRADO",B75)))</formula>
    </cfRule>
  </conditionalFormatting>
  <printOptions horizontalCentered="1"/>
  <pageMargins left="0.32" right="0.17" top="0.43" bottom="0.43" header="0.31496062992125984" footer="0.31496062992125984"/>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pageSetUpPr fitToPage="1"/>
  </sheetPr>
  <dimension ref="A1:J69"/>
  <sheetViews>
    <sheetView topLeftCell="A10" workbookViewId="0">
      <selection activeCell="C36" sqref="C36"/>
    </sheetView>
  </sheetViews>
  <sheetFormatPr baseColWidth="10" defaultColWidth="0" defaultRowHeight="13.8" zeroHeight="1" x14ac:dyDescent="0.25"/>
  <cols>
    <col min="1" max="1" width="3.44140625" style="109" customWidth="1"/>
    <col min="2" max="2" width="50.5546875" style="109" customWidth="1"/>
    <col min="3" max="9" width="14.5546875" style="109" customWidth="1"/>
    <col min="10" max="10" width="3.5546875" style="109" customWidth="1"/>
    <col min="11" max="16384" width="11.44140625" style="109" hidden="1"/>
  </cols>
  <sheetData>
    <row r="1" spans="1:9" x14ac:dyDescent="0.25"/>
    <row r="2" spans="1:9" x14ac:dyDescent="0.25"/>
    <row r="3" spans="1:9" ht="24.6" x14ac:dyDescent="0.4">
      <c r="B3" s="480" t="str">
        <f>+'Estado Resultados'!B3:F3</f>
        <v>K-LISTO</v>
      </c>
      <c r="C3" s="481"/>
      <c r="D3" s="481"/>
      <c r="E3" s="481"/>
      <c r="F3" s="481"/>
      <c r="G3" s="481"/>
      <c r="H3" s="481"/>
      <c r="I3" s="481"/>
    </row>
    <row r="4" spans="1:9" x14ac:dyDescent="0.25">
      <c r="A4" s="80"/>
      <c r="B4" s="486" t="s">
        <v>198</v>
      </c>
      <c r="C4" s="487"/>
      <c r="D4" s="487"/>
      <c r="E4" s="487"/>
      <c r="F4" s="487"/>
      <c r="G4" s="487"/>
      <c r="H4" s="487"/>
      <c r="I4" s="487"/>
    </row>
    <row r="5" spans="1:9" x14ac:dyDescent="0.25">
      <c r="A5" s="80"/>
      <c r="B5" s="484"/>
      <c r="C5" s="485"/>
      <c r="D5" s="485"/>
      <c r="E5" s="485"/>
      <c r="F5" s="485"/>
      <c r="G5" s="485"/>
      <c r="H5" s="485"/>
      <c r="I5" s="485"/>
    </row>
    <row r="6" spans="1:9" x14ac:dyDescent="0.25">
      <c r="A6" s="80"/>
      <c r="B6" s="81" t="s">
        <v>179</v>
      </c>
      <c r="C6" s="79">
        <f>+Balance!C7</f>
        <v>2018</v>
      </c>
      <c r="D6" s="79">
        <f>+Balance!D7</f>
        <v>2019</v>
      </c>
      <c r="E6" s="79">
        <v>2020</v>
      </c>
      <c r="F6" s="79">
        <f>+Balance!F7</f>
        <v>2021</v>
      </c>
      <c r="G6" s="79">
        <f>+Balance!G7</f>
        <v>2022</v>
      </c>
      <c r="H6" s="79">
        <f>+Balance!H7</f>
        <v>2023</v>
      </c>
      <c r="I6" s="79" t="s">
        <v>195</v>
      </c>
    </row>
    <row r="7" spans="1:9" x14ac:dyDescent="0.25">
      <c r="A7" s="80"/>
      <c r="B7" s="373"/>
      <c r="C7" s="374"/>
      <c r="D7" s="374"/>
      <c r="E7" s="374"/>
      <c r="F7" s="374"/>
      <c r="G7" s="228"/>
      <c r="H7" s="228"/>
      <c r="I7" s="228"/>
    </row>
    <row r="8" spans="1:9" x14ac:dyDescent="0.25">
      <c r="A8" s="80"/>
      <c r="B8" s="82" t="str">
        <f>Balance!B11</f>
        <v>Disponible</v>
      </c>
      <c r="C8" s="108">
        <f>Balance!C11/Balance!C$18</f>
        <v>3.9829632855907592E-2</v>
      </c>
      <c r="D8" s="108">
        <f>Balance!D11/Balance!D$18</f>
        <v>2.1096347906355156E-2</v>
      </c>
      <c r="E8" s="108">
        <f>Balance!E11/Balance!E$18</f>
        <v>4.482395447876121E-2</v>
      </c>
      <c r="F8" s="108">
        <f>Balance!F11/Balance!F$18</f>
        <v>7.8198098875051116E-3</v>
      </c>
      <c r="G8" s="108">
        <f>Balance!G11/Balance!G$18</f>
        <v>1.3749089765425927E-2</v>
      </c>
      <c r="H8" s="108">
        <f>Balance!H11/Balance!H$18</f>
        <v>5.0678151330851001E-3</v>
      </c>
      <c r="I8" s="108">
        <f>Balance!I11/Balance!$I$18</f>
        <v>0.18472987667971319</v>
      </c>
    </row>
    <row r="9" spans="1:9" x14ac:dyDescent="0.25">
      <c r="A9" s="80"/>
      <c r="B9" s="82" t="str">
        <f>Balance!B12</f>
        <v>Inversiones</v>
      </c>
      <c r="C9" s="108">
        <f>Balance!C12/Balance!$C$18</f>
        <v>0</v>
      </c>
      <c r="D9" s="108">
        <f>Balance!D12/Balance!$D$18</f>
        <v>2.2647513858471177E-2</v>
      </c>
      <c r="E9" s="108">
        <f>Balance!E12/Balance!$E$18</f>
        <v>2.5388936556057416E-2</v>
      </c>
      <c r="F9" s="108">
        <f>Balance!F12/Balance!$F$18</f>
        <v>5.8257021137829062E-3</v>
      </c>
      <c r="G9" s="108">
        <f>Balance!G12/Balance!G$18</f>
        <v>1.0482659597378667E-3</v>
      </c>
      <c r="H9" s="108">
        <f>Balance!H12/Balance!H$18</f>
        <v>3.775720525750654E-4</v>
      </c>
      <c r="I9" s="108">
        <f>Balance!I12/Balance!$I$18</f>
        <v>3.934324686986216E-2</v>
      </c>
    </row>
    <row r="10" spans="1:9" x14ac:dyDescent="0.25">
      <c r="A10" s="80"/>
      <c r="B10" s="82" t="str">
        <f>Balance!B13</f>
        <v>Deudores (cartera)</v>
      </c>
      <c r="C10" s="108">
        <f>Balance!C13/Balance!$C$18</f>
        <v>0.86093490950803842</v>
      </c>
      <c r="D10" s="108">
        <f>Balance!D13/Balance!$D$18</f>
        <v>0.59185502152169522</v>
      </c>
      <c r="E10" s="108">
        <f>Balance!E13/Balance!$E$18</f>
        <v>0.52894289803619987</v>
      </c>
      <c r="F10" s="108">
        <f>Balance!F13/Balance!$F$18</f>
        <v>0.54811418881074792</v>
      </c>
      <c r="G10" s="108">
        <f>Balance!G13/Balance!G$18</f>
        <v>0.40074778117863197</v>
      </c>
      <c r="H10" s="108">
        <f>Balance!H13/Balance!H$18</f>
        <v>0.5775727032898319</v>
      </c>
      <c r="I10" s="108">
        <f>Balance!I13/Balance!$I$18</f>
        <v>0.29468827699120104</v>
      </c>
    </row>
    <row r="11" spans="1:9" x14ac:dyDescent="0.25">
      <c r="A11" s="80"/>
      <c r="B11" s="82" t="str">
        <f>Balance!B14</f>
        <v>Inventarios</v>
      </c>
      <c r="C11" s="108">
        <f>Balance!C14/Balance!$C$18</f>
        <v>9.274035642338814E-2</v>
      </c>
      <c r="D11" s="108">
        <f>Balance!D14/Balance!$C$18</f>
        <v>0.17452417999081937</v>
      </c>
      <c r="E11" s="108">
        <f>Balance!E14/Balance!$C$18</f>
        <v>0.23746889730991841</v>
      </c>
      <c r="F11" s="108">
        <f>Balance!F14/Balance!$C$18</f>
        <v>0.20877696250581099</v>
      </c>
      <c r="G11" s="108">
        <f>Balance!G14/Balance!$C$18</f>
        <v>0.29651623731884025</v>
      </c>
      <c r="H11" s="108">
        <f>Balance!H14/Balance!$C$18</f>
        <v>0.36073680189890461</v>
      </c>
      <c r="I11" s="108">
        <f>Balance!I14/Balance!$I$18</f>
        <v>0.38617756126766167</v>
      </c>
    </row>
    <row r="12" spans="1:9" x14ac:dyDescent="0.25">
      <c r="A12" s="80"/>
      <c r="B12" s="82" t="str">
        <f>Balance!B15</f>
        <v>Diferidos</v>
      </c>
      <c r="C12" s="108">
        <f>Balance!C15/Balance!$C$18</f>
        <v>6.4951012126658273E-3</v>
      </c>
      <c r="D12" s="108">
        <f>Balance!D15/Balance!$C$18</f>
        <v>1.5212834567160102E-2</v>
      </c>
      <c r="E12" s="108">
        <f>Balance!E15/Balance!$C$18</f>
        <v>1.0869189501638236E-2</v>
      </c>
      <c r="F12" s="108">
        <f>Balance!F15/Balance!$C$18</f>
        <v>2.7581440276034465E-2</v>
      </c>
      <c r="G12" s="108">
        <f>Balance!G15/Balance!$C$18</f>
        <v>3.6365597728791749E-2</v>
      </c>
      <c r="H12" s="108">
        <f>Balance!H15/Balance!$C$18</f>
        <v>0.13154474977626904</v>
      </c>
      <c r="I12" s="108">
        <f>Balance!I15/Balance!$I$18</f>
        <v>4.2559424549950985E-5</v>
      </c>
    </row>
    <row r="13" spans="1:9" x14ac:dyDescent="0.25">
      <c r="A13" s="80"/>
      <c r="B13" s="82" t="str">
        <f>Balance!B16</f>
        <v>Otros activos corrientes</v>
      </c>
      <c r="C13" s="108">
        <f>Balance!C16/Balance!$C$18</f>
        <v>0</v>
      </c>
      <c r="D13" s="108">
        <f>Balance!D16/Balance!$C$18</f>
        <v>0.16924984845973023</v>
      </c>
      <c r="E13" s="108">
        <f>Balance!E16/Balance!$C$18</f>
        <v>0.35117518317629165</v>
      </c>
      <c r="F13" s="108">
        <f>Balance!F16/Balance!$C$18</f>
        <v>0.42693463238688434</v>
      </c>
      <c r="G13" s="108">
        <f>Balance!G16/Balance!$C$18</f>
        <v>0.6565713039162554</v>
      </c>
      <c r="H13" s="108">
        <f>Balance!H16/Balance!$C$18</f>
        <v>0.58301106735044173</v>
      </c>
      <c r="I13" s="108">
        <f>Balance!I16/Balance!$I$18</f>
        <v>9.5018478767011944E-2</v>
      </c>
    </row>
    <row r="14" spans="1:9" x14ac:dyDescent="0.25">
      <c r="A14" s="80"/>
      <c r="B14" s="82"/>
      <c r="C14" s="83"/>
      <c r="D14" s="83"/>
      <c r="E14" s="83"/>
      <c r="F14" s="83"/>
      <c r="G14" s="83"/>
      <c r="H14" s="83"/>
      <c r="I14" s="83"/>
    </row>
    <row r="15" spans="1:9" x14ac:dyDescent="0.25">
      <c r="A15" s="80"/>
      <c r="B15" s="84" t="str">
        <f>Balance!B18</f>
        <v>TOTAL ACTIVO CORRIENTE</v>
      </c>
      <c r="C15" s="110">
        <f>Balance!C18/Balance!C36</f>
        <v>0.6363808113442162</v>
      </c>
      <c r="D15" s="110">
        <f>Balance!D18/Balance!D36</f>
        <v>0.5333626332934952</v>
      </c>
      <c r="E15" s="110">
        <f>Balance!E18/Balance!E36</f>
        <v>0.5987388064743725</v>
      </c>
      <c r="F15" s="110">
        <f>Balance!F18/Balance!F36</f>
        <v>0.46821799617539034</v>
      </c>
      <c r="G15" s="110">
        <f>Balance!G18/Balance!G36</f>
        <v>0.48480600570965959</v>
      </c>
      <c r="H15" s="110">
        <f>Balance!H18/Balance!H36</f>
        <v>0.55414164900028429</v>
      </c>
      <c r="I15" s="110">
        <f>Balance!I18/Balance!I36</f>
        <v>0.3685295898584417</v>
      </c>
    </row>
    <row r="16" spans="1:9" x14ac:dyDescent="0.25">
      <c r="A16" s="80"/>
      <c r="B16" s="82"/>
      <c r="C16" s="108"/>
      <c r="D16" s="108"/>
      <c r="E16" s="108"/>
      <c r="F16" s="108"/>
      <c r="G16" s="108"/>
      <c r="H16" s="108"/>
      <c r="I16" s="108"/>
    </row>
    <row r="17" spans="1:9" x14ac:dyDescent="0.25">
      <c r="A17" s="80"/>
      <c r="B17" s="82" t="str">
        <f>Balance!B28</f>
        <v>Propiedad planta y equipo</v>
      </c>
      <c r="C17" s="108">
        <f>Balance!C28/Balance!C$34</f>
        <v>0.3299329541962272</v>
      </c>
      <c r="D17" s="108">
        <f>Balance!D28/Balance!D$34</f>
        <v>0.21100695533961053</v>
      </c>
      <c r="E17" s="108">
        <f>Balance!E28/Balance!E$34</f>
        <v>0.22671117227939547</v>
      </c>
      <c r="F17" s="108">
        <f>Balance!F28/Balance!F$34</f>
        <v>0.24622218381563418</v>
      </c>
      <c r="G17" s="108">
        <f>Balance!G28/Balance!G$34</f>
        <v>0.22088112200713941</v>
      </c>
      <c r="H17" s="108">
        <f>Balance!H28/Balance!H$34</f>
        <v>0.17883773611881684</v>
      </c>
      <c r="I17" s="108">
        <f>Balance!I28/Balance!$I$34</f>
        <v>0.40051888436729915</v>
      </c>
    </row>
    <row r="18" spans="1:9" x14ac:dyDescent="0.25">
      <c r="A18" s="80"/>
      <c r="B18" s="82" t="str">
        <f>Balance!B29</f>
        <v>Intangibles</v>
      </c>
      <c r="C18" s="108">
        <f>Balance!C29/Balance!C$34</f>
        <v>0.19048864443507538</v>
      </c>
      <c r="D18" s="108">
        <f>Balance!D29/Balance!D$34</f>
        <v>0.16310849788519918</v>
      </c>
      <c r="E18" s="108">
        <f>Balance!E29/Balance!E$34</f>
        <v>0.17205909809817879</v>
      </c>
      <c r="F18" s="108">
        <f>Balance!F29/Balance!F$34</f>
        <v>0.20336450186077637</v>
      </c>
      <c r="G18" s="108">
        <f>Balance!G29/Balance!G$34</f>
        <v>0.23071251188414468</v>
      </c>
      <c r="H18" s="108">
        <f>Balance!H29/Balance!H$34</f>
        <v>0.22350732725314587</v>
      </c>
      <c r="I18" s="108">
        <f>Balance!I29/Balance!$I$34</f>
        <v>0.37715607990661221</v>
      </c>
    </row>
    <row r="19" spans="1:9" x14ac:dyDescent="0.25">
      <c r="A19" s="80"/>
      <c r="B19" s="82" t="str">
        <f>+Balance!B30</f>
        <v>Inversiones permanentes</v>
      </c>
      <c r="C19" s="108">
        <f>Balance!C30/Balance!C$34</f>
        <v>0</v>
      </c>
      <c r="D19" s="108">
        <f>Balance!D30/Balance!D$34</f>
        <v>0</v>
      </c>
      <c r="E19" s="108">
        <f>Balance!E30/Balance!E$34</f>
        <v>0</v>
      </c>
      <c r="F19" s="108">
        <f>Balance!F30/Balance!F$34</f>
        <v>0</v>
      </c>
      <c r="G19" s="108">
        <f>Balance!G30/Balance!G$34</f>
        <v>0</v>
      </c>
      <c r="H19" s="108">
        <f>Balance!H30/Balance!H$34</f>
        <v>0</v>
      </c>
      <c r="I19" s="108">
        <f>Balance!I30/Balance!$I$34</f>
        <v>4.0718832082416799E-2</v>
      </c>
    </row>
    <row r="20" spans="1:9" x14ac:dyDescent="0.25">
      <c r="A20" s="80"/>
      <c r="B20" s="82" t="str">
        <f>+Balance!B31</f>
        <v>Valorizaciones</v>
      </c>
      <c r="C20" s="108">
        <f>Balance!C31/Balance!C$34</f>
        <v>0.47957840136869739</v>
      </c>
      <c r="D20" s="108">
        <f>Balance!D31/Balance!D$34</f>
        <v>0.31793149344023347</v>
      </c>
      <c r="E20" s="108">
        <f>Balance!E31/Balance!E$34</f>
        <v>0.27338607840806056</v>
      </c>
      <c r="F20" s="108">
        <f>Balance!F31/Balance!F$34</f>
        <v>0.15940820571568776</v>
      </c>
      <c r="G20" s="108">
        <f>Balance!G31/Balance!G$34</f>
        <v>0.15231486113600423</v>
      </c>
      <c r="H20" s="108">
        <f>Balance!H31/Balance!H$34</f>
        <v>0.13206987589740768</v>
      </c>
      <c r="I20" s="108">
        <f>Balance!I31/Balance!$I$34</f>
        <v>0</v>
      </c>
    </row>
    <row r="21" spans="1:9" x14ac:dyDescent="0.25">
      <c r="A21" s="80"/>
      <c r="B21" s="82" t="s">
        <v>199</v>
      </c>
      <c r="C21" s="108">
        <f>Balance!C32/Balance!C$34</f>
        <v>0</v>
      </c>
      <c r="D21" s="108">
        <f>Balance!D32/Balance!D$34</f>
        <v>0.30795305333495682</v>
      </c>
      <c r="E21" s="108">
        <f>Balance!E32/Balance!E$34</f>
        <v>0.32784365121436521</v>
      </c>
      <c r="F21" s="108">
        <f>Balance!F32/Balance!F$34</f>
        <v>0.39100510860790166</v>
      </c>
      <c r="G21" s="108">
        <f>Balance!G32/Balance!G$34</f>
        <v>0.39609150497271167</v>
      </c>
      <c r="H21" s="108">
        <f>Balance!H32/Balance!H$34</f>
        <v>0.46558506073062961</v>
      </c>
      <c r="I21" s="108">
        <f>Balance!I32/Balance!$I$34</f>
        <v>0.18160620364367169</v>
      </c>
    </row>
    <row r="22" spans="1:9" x14ac:dyDescent="0.25">
      <c r="A22" s="80"/>
      <c r="B22" s="82"/>
      <c r="C22" s="83"/>
      <c r="D22" s="83"/>
      <c r="E22" s="83"/>
      <c r="F22" s="83"/>
      <c r="G22" s="83"/>
      <c r="H22" s="83"/>
      <c r="I22" s="83"/>
    </row>
    <row r="23" spans="1:9" x14ac:dyDescent="0.25">
      <c r="A23" s="80"/>
      <c r="B23" s="84" t="str">
        <f>Balance!B34</f>
        <v>TOTAL ACTIVO NO CORRIENTE</v>
      </c>
      <c r="C23" s="110">
        <f>+Balance!C34/Balance!C36</f>
        <v>0.36361918865578385</v>
      </c>
      <c r="D23" s="110">
        <f>+Balance!D34/Balance!D36</f>
        <v>0.46663736670650485</v>
      </c>
      <c r="E23" s="110">
        <f>+Balance!E34/Balance!E36</f>
        <v>0.40126119352562756</v>
      </c>
      <c r="F23" s="110">
        <f>+Balance!F34/Balance!F36</f>
        <v>0.53178200382460961</v>
      </c>
      <c r="G23" s="110">
        <f>+Balance!G34/Balance!G36</f>
        <v>0.51519399429034041</v>
      </c>
      <c r="H23" s="110">
        <f>+Balance!H34/Balance!H36</f>
        <v>0.44585835099971571</v>
      </c>
      <c r="I23" s="110">
        <f>+Balance!I34/Balance!I36</f>
        <v>0.63147041014155825</v>
      </c>
    </row>
    <row r="24" spans="1:9" x14ac:dyDescent="0.25">
      <c r="A24" s="80"/>
      <c r="B24" s="82"/>
      <c r="C24" s="108"/>
      <c r="D24" s="108"/>
      <c r="E24" s="108"/>
      <c r="F24" s="108"/>
      <c r="G24" s="108"/>
      <c r="H24" s="108"/>
      <c r="I24" s="108"/>
    </row>
    <row r="25" spans="1:9" x14ac:dyDescent="0.25">
      <c r="A25" s="80"/>
      <c r="B25" s="81" t="str">
        <f>Balance!B36</f>
        <v>TOTAL ACTIVOS</v>
      </c>
      <c r="C25" s="356">
        <f>+C23+C15</f>
        <v>1</v>
      </c>
      <c r="D25" s="356">
        <f t="shared" ref="D25:I25" si="0">+D23+D15</f>
        <v>1</v>
      </c>
      <c r="E25" s="356">
        <f t="shared" si="0"/>
        <v>1</v>
      </c>
      <c r="F25" s="356">
        <f t="shared" si="0"/>
        <v>1</v>
      </c>
      <c r="G25" s="356">
        <f t="shared" si="0"/>
        <v>1</v>
      </c>
      <c r="H25" s="356">
        <f t="shared" si="0"/>
        <v>1</v>
      </c>
      <c r="I25" s="356">
        <f t="shared" si="0"/>
        <v>1</v>
      </c>
    </row>
    <row r="26" spans="1:9" x14ac:dyDescent="0.25">
      <c r="A26" s="80"/>
      <c r="B26" s="111"/>
      <c r="C26" s="83"/>
      <c r="D26" s="83"/>
      <c r="E26" s="83"/>
      <c r="F26" s="83"/>
      <c r="G26" s="83"/>
      <c r="H26" s="83"/>
      <c r="I26" s="83"/>
    </row>
    <row r="27" spans="1:9" x14ac:dyDescent="0.25">
      <c r="A27" s="80"/>
      <c r="B27" s="112" t="str">
        <f>Balance!B39</f>
        <v>PASIVOS</v>
      </c>
      <c r="C27" s="113"/>
      <c r="D27" s="113"/>
      <c r="E27" s="113"/>
      <c r="F27" s="113"/>
      <c r="G27" s="113"/>
      <c r="H27" s="113"/>
      <c r="I27" s="113"/>
    </row>
    <row r="28" spans="1:9" x14ac:dyDescent="0.25">
      <c r="A28" s="80"/>
      <c r="B28" s="82"/>
      <c r="C28" s="108"/>
      <c r="D28" s="108"/>
      <c r="E28" s="108"/>
      <c r="F28" s="108"/>
      <c r="G28" s="108"/>
      <c r="H28" s="108"/>
      <c r="I28" s="108"/>
    </row>
    <row r="29" spans="1:9" x14ac:dyDescent="0.25">
      <c r="A29" s="80"/>
      <c r="B29" s="82" t="str">
        <f>Balance!B41</f>
        <v>Obligaciones financieras corto plazo</v>
      </c>
      <c r="C29" s="108">
        <f>Balance!C41/Balance!C$48</f>
        <v>0.22740867849476959</v>
      </c>
      <c r="D29" s="108">
        <f>Balance!D41/Balance!D$48</f>
        <v>0.31492974566510962</v>
      </c>
      <c r="E29" s="108">
        <f>Balance!E41/Balance!E$48</f>
        <v>0.25454813650485608</v>
      </c>
      <c r="F29" s="108">
        <f>Balance!F41/Balance!F$48</f>
        <v>0.23174546804761964</v>
      </c>
      <c r="G29" s="108">
        <f>Balance!G41/Balance!G$48</f>
        <v>0.24278203036544976</v>
      </c>
      <c r="H29" s="108">
        <f>Balance!H41/Balance!H$48</f>
        <v>0.18734797914305562</v>
      </c>
      <c r="I29" s="108">
        <f>Balance!I41/Balance!$I$48</f>
        <v>0.20461016945015109</v>
      </c>
    </row>
    <row r="30" spans="1:9" x14ac:dyDescent="0.25">
      <c r="A30" s="80"/>
      <c r="B30" s="82" t="str">
        <f>Balance!B42</f>
        <v>Proveedores</v>
      </c>
      <c r="C30" s="108">
        <f>Balance!C42/Balance!C$48</f>
        <v>0.10125885957980772</v>
      </c>
      <c r="D30" s="108">
        <f>Balance!D42/Balance!D$48</f>
        <v>0.1489137225441689</v>
      </c>
      <c r="E30" s="108">
        <f>Balance!E42/Balance!E$48</f>
        <v>5.805717822464182E-2</v>
      </c>
      <c r="F30" s="108">
        <f>Balance!F42/Balance!F$48</f>
        <v>0.11026677006382321</v>
      </c>
      <c r="G30" s="108">
        <f>Balance!G42/Balance!G$48</f>
        <v>0.13196570524232379</v>
      </c>
      <c r="H30" s="108">
        <f>Balance!H42/Balance!H$48</f>
        <v>0.18208579387586693</v>
      </c>
      <c r="I30" s="108">
        <f>Balance!I42/Balance!$I$48</f>
        <v>0.51976565948260833</v>
      </c>
    </row>
    <row r="31" spans="1:9" x14ac:dyDescent="0.25">
      <c r="A31" s="80"/>
      <c r="B31" s="82" t="str">
        <f>Balance!B43</f>
        <v>Cuentas y gastos por pagar</v>
      </c>
      <c r="C31" s="108">
        <f>Balance!C43/Balance!C$48</f>
        <v>0.34076109315872433</v>
      </c>
      <c r="D31" s="108">
        <f>Balance!D43/Balance!D$48</f>
        <v>0.17910857258032142</v>
      </c>
      <c r="E31" s="108">
        <f>Balance!E43/Balance!E$48</f>
        <v>0.20360520273832156</v>
      </c>
      <c r="F31" s="108">
        <f>Balance!F43/Balance!F$48</f>
        <v>0.29084740108673129</v>
      </c>
      <c r="G31" s="108">
        <f>Balance!G43/Balance!G$48</f>
        <v>0.26773511910007958</v>
      </c>
      <c r="H31" s="108">
        <f>Balance!H43/Balance!H$48</f>
        <v>0.22022135986411093</v>
      </c>
      <c r="I31" s="108">
        <f>Balance!I43/Balance!$I$48</f>
        <v>0</v>
      </c>
    </row>
    <row r="32" spans="1:9" x14ac:dyDescent="0.25">
      <c r="A32" s="80"/>
      <c r="B32" s="82" t="str">
        <f>Balance!B44</f>
        <v>Impuestos, gravámenes y tasas</v>
      </c>
      <c r="C32" s="108">
        <f>Balance!C44/Balance!C$48</f>
        <v>0.17437839973972877</v>
      </c>
      <c r="D32" s="108">
        <f>Balance!D44/Balance!D$48</f>
        <v>0.20728246176613505</v>
      </c>
      <c r="E32" s="108">
        <f>Balance!E44/Balance!E$48</f>
        <v>0.30063726921656192</v>
      </c>
      <c r="F32" s="108">
        <f>Balance!F44/Balance!F$48</f>
        <v>0.25820371376610407</v>
      </c>
      <c r="G32" s="108">
        <f>Balance!G44/Balance!G$48</f>
        <v>0.23332170005005845</v>
      </c>
      <c r="H32" s="108">
        <f>Balance!H44/Balance!H$48</f>
        <v>0.30700830618744751</v>
      </c>
      <c r="I32" s="108">
        <f>Balance!I44/Balance!$I$48</f>
        <v>0.10214692588969228</v>
      </c>
    </row>
    <row r="33" spans="1:9" x14ac:dyDescent="0.25">
      <c r="A33" s="80"/>
      <c r="B33" s="82" t="str">
        <f>Balance!B45</f>
        <v>Obligaciones laborales</v>
      </c>
      <c r="C33" s="108">
        <f>Balance!C45/Balance!C$48</f>
        <v>0.13143501399108601</v>
      </c>
      <c r="D33" s="108">
        <f>Balance!D45/Balance!D$48</f>
        <v>0.12632443787012121</v>
      </c>
      <c r="E33" s="108">
        <f>Balance!E45/Balance!E$48</f>
        <v>0.15387205928561368</v>
      </c>
      <c r="F33" s="108">
        <f>Balance!F45/Balance!F$48</f>
        <v>9.6469452479234316E-2</v>
      </c>
      <c r="G33" s="108">
        <f>Balance!G45/Balance!G$48</f>
        <v>0.10522174193285069</v>
      </c>
      <c r="H33" s="108">
        <f>Balance!H45/Balance!H$48</f>
        <v>7.3490531526930719E-2</v>
      </c>
      <c r="I33" s="108">
        <f>Balance!I45/Balance!$I$48</f>
        <v>0</v>
      </c>
    </row>
    <row r="34" spans="1:9" x14ac:dyDescent="0.25">
      <c r="A34" s="80"/>
      <c r="B34" s="82" t="str">
        <f>Balance!B46</f>
        <v>Otros pasivos corto plazo</v>
      </c>
      <c r="C34" s="108">
        <f>Balance!C46/Balance!C$48</f>
        <v>2.4757955035883565E-2</v>
      </c>
      <c r="D34" s="108">
        <f>Balance!D46/Balance!D$48</f>
        <v>2.3441059574143708E-2</v>
      </c>
      <c r="E34" s="108">
        <f>Balance!E46/Balance!E$48</f>
        <v>2.9280154030004977E-2</v>
      </c>
      <c r="F34" s="108">
        <f>Balance!F46/Balance!F$48</f>
        <v>1.2467194556487385E-2</v>
      </c>
      <c r="G34" s="108">
        <f>Balance!G46/Balance!G$48</f>
        <v>1.8973703309237696E-2</v>
      </c>
      <c r="H34" s="108">
        <f>Balance!H46/Balance!H$48</f>
        <v>2.9846029402588452E-2</v>
      </c>
      <c r="I34" s="108">
        <f>Balance!I46/Balance!$I$48</f>
        <v>0.1734772451775482</v>
      </c>
    </row>
    <row r="35" spans="1:9" x14ac:dyDescent="0.25">
      <c r="A35" s="80"/>
      <c r="B35" s="82"/>
      <c r="C35" s="83"/>
      <c r="D35" s="83"/>
      <c r="E35" s="83"/>
      <c r="F35" s="83"/>
      <c r="G35" s="83"/>
      <c r="H35" s="83"/>
      <c r="I35" s="83"/>
    </row>
    <row r="36" spans="1:9" x14ac:dyDescent="0.25">
      <c r="A36" s="89"/>
      <c r="B36" s="90" t="str">
        <f>Balance!B48</f>
        <v>TOTAL PASIVO CORRIENTE</v>
      </c>
      <c r="C36" s="110">
        <f>+Balance!C48/Balance!C58</f>
        <v>0.65332991649421979</v>
      </c>
      <c r="D36" s="110">
        <f>+Balance!D48/Balance!D58</f>
        <v>0.54260770485682486</v>
      </c>
      <c r="E36" s="110">
        <f>+Balance!E48/Balance!E58</f>
        <v>0.62737396274628665</v>
      </c>
      <c r="F36" s="110">
        <f>+Balance!F48/Balance!F58</f>
        <v>0.6490390156087148</v>
      </c>
      <c r="G36" s="110">
        <f>+Balance!G48/Balance!G58</f>
        <v>0.63836928650087355</v>
      </c>
      <c r="H36" s="110">
        <f>+Balance!H48/Balance!H58</f>
        <v>0.6958238743632793</v>
      </c>
      <c r="I36" s="110">
        <f>+Balance!I48/Balance!I58</f>
        <v>0.40058842103161107</v>
      </c>
    </row>
    <row r="37" spans="1:9" x14ac:dyDescent="0.25">
      <c r="A37" s="80"/>
      <c r="B37" s="91"/>
      <c r="C37" s="83"/>
      <c r="D37" s="83"/>
      <c r="E37" s="83"/>
      <c r="F37" s="83"/>
      <c r="G37" s="83"/>
      <c r="H37" s="83"/>
      <c r="I37" s="83"/>
    </row>
    <row r="38" spans="1:9" x14ac:dyDescent="0.25">
      <c r="A38" s="80"/>
      <c r="B38" s="82" t="str">
        <f>Balance!B50</f>
        <v>Obligaciones financieras largo plazo</v>
      </c>
      <c r="C38" s="108">
        <f>IFERROR(Balance!C50/Balance!C$56,0)</f>
        <v>1</v>
      </c>
      <c r="D38" s="108">
        <f>IFERROR(Balance!D50/Balance!D$56,0)</f>
        <v>0.8717412150773739</v>
      </c>
      <c r="E38" s="108">
        <f>IFERROR(Balance!E50/Balance!E$56,0)</f>
        <v>1</v>
      </c>
      <c r="F38" s="108">
        <f>IFERROR(Balance!F50/Balance!F$56,0)</f>
        <v>1</v>
      </c>
      <c r="G38" s="108">
        <f>IFERROR(Balance!G50/Balance!G$56,0)</f>
        <v>1</v>
      </c>
      <c r="H38" s="108">
        <f>IFERROR(Balance!H50/Balance!H$56,0)</f>
        <v>1</v>
      </c>
      <c r="I38" s="108">
        <f>IFERROR(Balance!I50/Balance!$I$56,0)</f>
        <v>0.60387025806657313</v>
      </c>
    </row>
    <row r="39" spans="1:9" x14ac:dyDescent="0.25">
      <c r="A39" s="80"/>
      <c r="B39" s="82" t="str">
        <f>Balance!B51</f>
        <v>Bonos y papeles comerciales por pagar</v>
      </c>
      <c r="C39" s="108">
        <f>IFERROR(Balance!C51/Balance!C$56,0)</f>
        <v>0</v>
      </c>
      <c r="D39" s="108">
        <f>IFERROR(Balance!D51/Balance!D$56,0)</f>
        <v>0.12825878492262613</v>
      </c>
      <c r="E39" s="108">
        <f>IFERROR(Balance!E51/Balance!E$56,0)</f>
        <v>0</v>
      </c>
      <c r="F39" s="108">
        <f>IFERROR(Balance!F51/Balance!F$56,0)</f>
        <v>0</v>
      </c>
      <c r="G39" s="108">
        <f>IFERROR(Balance!G51/Balance!G$56,0)</f>
        <v>0</v>
      </c>
      <c r="H39" s="108">
        <f>IFERROR(Balance!H51/Balance!H$56,0)</f>
        <v>0</v>
      </c>
      <c r="I39" s="108">
        <f>IFERROR(Balance!I51/Balance!$I$56,0)</f>
        <v>0.20074485424148955</v>
      </c>
    </row>
    <row r="40" spans="1:9" x14ac:dyDescent="0.25">
      <c r="A40" s="80"/>
      <c r="B40" s="82" t="str">
        <f>Balance!B52</f>
        <v>Obligaciones laborales largo plazo</v>
      </c>
      <c r="C40" s="108">
        <f>IFERROR(Balance!C52/Balance!C$56,0)</f>
        <v>0</v>
      </c>
      <c r="D40" s="108">
        <f>IFERROR(Balance!D52/Balance!D$56,0)</f>
        <v>0</v>
      </c>
      <c r="E40" s="108">
        <f>IFERROR(Balance!E52/Balance!E$56,0)</f>
        <v>0</v>
      </c>
      <c r="F40" s="108">
        <f>IFERROR(Balance!F52/Balance!F$56,0)</f>
        <v>0</v>
      </c>
      <c r="G40" s="108">
        <f>IFERROR(Balance!G52/Balance!G$56,0)</f>
        <v>0</v>
      </c>
      <c r="H40" s="108">
        <f>IFERROR(Balance!H52/Balance!H$56,0)</f>
        <v>0</v>
      </c>
      <c r="I40" s="108">
        <f>IFERROR(Balance!I52/Balance!$I$56,0)</f>
        <v>0</v>
      </c>
    </row>
    <row r="41" spans="1:9" x14ac:dyDescent="0.25">
      <c r="A41" s="80"/>
      <c r="B41" s="82" t="str">
        <f>Balance!B53</f>
        <v>Pasivos estimados y provisiones</v>
      </c>
      <c r="C41" s="108">
        <f>IFERROR(Balance!C53/Balance!C$56,0)</f>
        <v>0</v>
      </c>
      <c r="D41" s="108">
        <f>IFERROR(Balance!D53/Balance!D$56,0)</f>
        <v>0</v>
      </c>
      <c r="E41" s="108">
        <f>IFERROR(Balance!E53/Balance!E$56,0)</f>
        <v>0</v>
      </c>
      <c r="F41" s="108">
        <f>IFERROR(Balance!F53/Balance!F$56,0)</f>
        <v>0</v>
      </c>
      <c r="G41" s="108">
        <f>IFERROR(Balance!G53/Balance!G$56,0)</f>
        <v>0</v>
      </c>
      <c r="H41" s="108">
        <f>IFERROR(Balance!H53/Balance!H$56,0)</f>
        <v>0</v>
      </c>
      <c r="I41" s="108">
        <f>IFERROR(Balance!I53/Balance!$I$56,0)</f>
        <v>4.0883174533823022E-2</v>
      </c>
    </row>
    <row r="42" spans="1:9" x14ac:dyDescent="0.25">
      <c r="A42" s="80"/>
      <c r="B42" s="82" t="str">
        <f>Balance!B54</f>
        <v>Otros pasivos largo plazo</v>
      </c>
      <c r="C42" s="108">
        <f>IFERROR(Balance!C54/Balance!C$56,0)</f>
        <v>0</v>
      </c>
      <c r="D42" s="108">
        <f>IFERROR(Balance!D54/Balance!D$56,0)</f>
        <v>0</v>
      </c>
      <c r="E42" s="108">
        <f>IFERROR(Balance!E54/Balance!E$56,0)</f>
        <v>0</v>
      </c>
      <c r="F42" s="108">
        <f>IFERROR(Balance!F54/Balance!F$56,0)</f>
        <v>0</v>
      </c>
      <c r="G42" s="108">
        <f>IFERROR(Balance!G54/Balance!G$56,0)</f>
        <v>0</v>
      </c>
      <c r="H42" s="108">
        <f>IFERROR(Balance!H54/Balance!H$56,0)</f>
        <v>0</v>
      </c>
      <c r="I42" s="108">
        <f>IFERROR(Balance!I54/Balance!$I$56,0)</f>
        <v>0.1545017131581144</v>
      </c>
    </row>
    <row r="43" spans="1:9" x14ac:dyDescent="0.25">
      <c r="A43" s="80"/>
      <c r="B43" s="82"/>
      <c r="C43" s="108"/>
      <c r="D43" s="108"/>
      <c r="E43" s="108"/>
      <c r="F43" s="108"/>
      <c r="G43" s="108"/>
      <c r="H43" s="108"/>
      <c r="I43" s="108"/>
    </row>
    <row r="44" spans="1:9" x14ac:dyDescent="0.25">
      <c r="A44" s="80"/>
      <c r="B44" s="90" t="str">
        <f>Balance!B56</f>
        <v>TOTAL PASIVO LARGO PLAZO</v>
      </c>
      <c r="C44" s="110">
        <f>+Balance!C56/Balance!C58</f>
        <v>0.34667008350578027</v>
      </c>
      <c r="D44" s="110">
        <f>+Balance!D56/Balance!D58</f>
        <v>0.45739229514317514</v>
      </c>
      <c r="E44" s="110">
        <f>+Balance!E56/Balance!E58</f>
        <v>0.37262603725371324</v>
      </c>
      <c r="F44" s="110">
        <f>+Balance!F56/Balance!F58</f>
        <v>0.35096098439128515</v>
      </c>
      <c r="G44" s="110">
        <f>+Balance!G56/Balance!G58</f>
        <v>0.3616307134991264</v>
      </c>
      <c r="H44" s="110">
        <f>+Balance!H56/Balance!H58</f>
        <v>0.30417612563672081</v>
      </c>
      <c r="I44" s="110">
        <f>+Balance!I56/Balance!I58</f>
        <v>0.59941157896838904</v>
      </c>
    </row>
    <row r="45" spans="1:9" x14ac:dyDescent="0.25">
      <c r="A45" s="80"/>
      <c r="B45" s="82"/>
      <c r="C45" s="108"/>
      <c r="D45" s="108"/>
      <c r="E45" s="108"/>
      <c r="F45" s="108"/>
      <c r="G45" s="108"/>
      <c r="H45" s="108"/>
      <c r="I45" s="108"/>
    </row>
    <row r="46" spans="1:9" x14ac:dyDescent="0.25">
      <c r="A46" s="80"/>
      <c r="B46" s="81" t="str">
        <f>Balance!B58</f>
        <v>TOTAL PASIVO</v>
      </c>
      <c r="C46" s="110">
        <f>+Balance!C58/Balance!C73</f>
        <v>0.48692690864982002</v>
      </c>
      <c r="D46" s="110">
        <f>+Balance!D58/Balance!D73</f>
        <v>0.53485463393607946</v>
      </c>
      <c r="E46" s="110">
        <f>+Balance!E58/Balance!E73</f>
        <v>0.44878879875956684</v>
      </c>
      <c r="F46" s="110">
        <f>+Balance!F58/Balance!F73</f>
        <v>0.54148218962854866</v>
      </c>
      <c r="G46" s="110">
        <f>+Balance!G58/Balance!G73</f>
        <v>0.55383692518470418</v>
      </c>
      <c r="H46" s="110">
        <f>+Balance!H58/Balance!H73</f>
        <v>0.62277795277510029</v>
      </c>
      <c r="I46" s="110">
        <f>+Balance!I58/Balance!I73</f>
        <v>0.5892458370974869</v>
      </c>
    </row>
    <row r="47" spans="1:9" x14ac:dyDescent="0.25">
      <c r="A47" s="80"/>
      <c r="B47" s="82"/>
      <c r="C47" s="108"/>
      <c r="D47" s="108"/>
      <c r="E47" s="108"/>
      <c r="F47" s="108"/>
      <c r="G47" s="108"/>
      <c r="H47" s="108"/>
      <c r="I47" s="108"/>
    </row>
    <row r="48" spans="1:9" x14ac:dyDescent="0.25">
      <c r="A48" s="80"/>
      <c r="B48" s="82" t="str">
        <f>Balance!B62</f>
        <v>Capital social</v>
      </c>
      <c r="C48" s="108">
        <f>Balance!C62/Balance!C$71</f>
        <v>0.21759248680332957</v>
      </c>
      <c r="D48" s="108">
        <f>Balance!D62/Balance!D$71</f>
        <v>0.20419311227859438</v>
      </c>
      <c r="E48" s="108">
        <f>Balance!E62/Balance!E$71</f>
        <v>0.12740962754961324</v>
      </c>
      <c r="F48" s="108">
        <f>Balance!F62/Balance!F$71</f>
        <v>0.11835996400872104</v>
      </c>
      <c r="G48" s="108">
        <f>Balance!G62/Balance!G$71</f>
        <v>0.11259942443380336</v>
      </c>
      <c r="H48" s="108">
        <f>Balance!H62/Balance!H$71</f>
        <v>9.9935624788621669E-2</v>
      </c>
      <c r="I48" s="108">
        <f>Balance!I62/Balance!$I$71</f>
        <v>3.5700340563173951E-4</v>
      </c>
    </row>
    <row r="49" spans="1:9" x14ac:dyDescent="0.25">
      <c r="A49" s="80"/>
      <c r="B49" s="82" t="str">
        <f>Balance!B63</f>
        <v>Superávit de capital</v>
      </c>
      <c r="C49" s="108">
        <f>Balance!C63/Balance!C$71</f>
        <v>0</v>
      </c>
      <c r="D49" s="108">
        <f>Balance!D63/Balance!D$71</f>
        <v>0</v>
      </c>
      <c r="E49" s="108">
        <f>Balance!E63/Balance!E$71</f>
        <v>0</v>
      </c>
      <c r="F49" s="108">
        <f>Balance!F63/Balance!F$71</f>
        <v>0</v>
      </c>
      <c r="G49" s="108">
        <f>Balance!G63/Balance!G$71</f>
        <v>0</v>
      </c>
      <c r="H49" s="108">
        <f>Balance!H63/Balance!H$71</f>
        <v>0</v>
      </c>
      <c r="I49" s="108">
        <f>Balance!I63/Balance!$I$71</f>
        <v>0</v>
      </c>
    </row>
    <row r="50" spans="1:9" x14ac:dyDescent="0.25">
      <c r="A50" s="80"/>
      <c r="B50" s="82" t="str">
        <f>Balance!B64</f>
        <v>Reservas</v>
      </c>
      <c r="C50" s="108">
        <f>Balance!C64/Balance!C$71</f>
        <v>2.5844932323582138E-2</v>
      </c>
      <c r="D50" s="108">
        <f>Balance!D64/Balance!D$71</f>
        <v>4.5135196341827395E-2</v>
      </c>
      <c r="E50" s="108">
        <f>Balance!E64/Balance!E$71</f>
        <v>2.816284296330664E-2</v>
      </c>
      <c r="F50" s="108">
        <f>Balance!F64/Balance!F$71</f>
        <v>3.3857069271713357E-2</v>
      </c>
      <c r="G50" s="108">
        <f>Balance!G64/Balance!G$71</f>
        <v>4.814476522334446E-2</v>
      </c>
      <c r="H50" s="108">
        <f>Balance!H64/Balance!H$71</f>
        <v>6.9737142348345216E-2</v>
      </c>
      <c r="I50" s="108">
        <f>Balance!I64/Balance!$I$71</f>
        <v>0.87138336492026669</v>
      </c>
    </row>
    <row r="51" spans="1:9" x14ac:dyDescent="0.25">
      <c r="A51" s="80"/>
      <c r="B51" s="82" t="str">
        <f>Balance!B65</f>
        <v>Revalorización del patrimonio</v>
      </c>
      <c r="C51" s="108">
        <f>Balance!C65/Balance!C$71</f>
        <v>0</v>
      </c>
      <c r="D51" s="108">
        <f>Balance!D65/Balance!D$71</f>
        <v>0</v>
      </c>
      <c r="E51" s="108">
        <f>Balance!E65/Balance!E$71</f>
        <v>0</v>
      </c>
      <c r="F51" s="108">
        <f>Balance!F65/Balance!F$71</f>
        <v>0</v>
      </c>
      <c r="G51" s="108">
        <f>Balance!G65/Balance!G$71</f>
        <v>0</v>
      </c>
      <c r="H51" s="108">
        <f>Balance!H65/Balance!H$71</f>
        <v>0</v>
      </c>
      <c r="I51" s="108">
        <f>Balance!I65/Balance!$I$71</f>
        <v>0</v>
      </c>
    </row>
    <row r="52" spans="1:9" x14ac:dyDescent="0.25">
      <c r="A52" s="80"/>
      <c r="B52" s="82" t="str">
        <f>Balance!B66</f>
        <v>Resultados del ejercicio</v>
      </c>
      <c r="C52" s="108">
        <f>Balance!C66/Balance!C$71</f>
        <v>0.12770318580219087</v>
      </c>
      <c r="D52" s="108">
        <f>Balance!D66/Balance!D$71</f>
        <v>0.14738841086621632</v>
      </c>
      <c r="E52" s="108">
        <f>Balance!E66/Balance!E$71</f>
        <v>0.33237446459371278</v>
      </c>
      <c r="F52" s="108">
        <f>Balance!F66/Balance!F$71</f>
        <v>0.26120342306752198</v>
      </c>
      <c r="G52" s="108">
        <f>Balance!G66/Balance!G$71</f>
        <v>0.14255991528861978</v>
      </c>
      <c r="H52" s="108">
        <f>Balance!H66/Balance!H$71</f>
        <v>0.10613607786014428</v>
      </c>
      <c r="I52" s="108">
        <f>Balance!I66/Balance!$I$71</f>
        <v>0.11180259121607165</v>
      </c>
    </row>
    <row r="53" spans="1:9" x14ac:dyDescent="0.25">
      <c r="A53" s="80"/>
      <c r="B53" s="82" t="str">
        <f>Balance!B67</f>
        <v>Resultado de ejercicios anteriores</v>
      </c>
      <c r="C53" s="108">
        <f>Balance!C67/Balance!C$71</f>
        <v>0.28897817318958069</v>
      </c>
      <c r="D53" s="108">
        <f>Balance!D67/Balance!D$71</f>
        <v>0.2843319897643331</v>
      </c>
      <c r="E53" s="108">
        <f>Balance!E67/Balance!E$71</f>
        <v>0.31303819744590006</v>
      </c>
      <c r="F53" s="108">
        <f>Balance!F67/Balance!F$71</f>
        <v>0.40170032375863213</v>
      </c>
      <c r="G53" s="108">
        <f>Balance!G67/Balance!G$71</f>
        <v>0.52081468451048107</v>
      </c>
      <c r="H53" s="108">
        <f>Balance!H67/Balance!H$71</f>
        <v>0.56809090180308475</v>
      </c>
      <c r="I53" s="108">
        <f>Balance!I67/Balance!$I$71</f>
        <v>0</v>
      </c>
    </row>
    <row r="54" spans="1:9" x14ac:dyDescent="0.25">
      <c r="A54" s="80"/>
      <c r="B54" s="82" t="str">
        <f>Balance!B68</f>
        <v>Superávit por valorización</v>
      </c>
      <c r="C54" s="108">
        <f>Balance!C68/Balance!C$71</f>
        <v>0.3398812218813167</v>
      </c>
      <c r="D54" s="108">
        <f>Balance!D68/Balance!D$71</f>
        <v>0.31895129074902884</v>
      </c>
      <c r="E54" s="108">
        <f>Balance!E68/Balance!E$71</f>
        <v>0.19901486744746721</v>
      </c>
      <c r="F54" s="108">
        <f>Balance!F68/Balance!F$71</f>
        <v>0.18487921989341152</v>
      </c>
      <c r="G54" s="108">
        <f>Balance!G68/Balance!G$71</f>
        <v>0.17588121054375142</v>
      </c>
      <c r="H54" s="108">
        <f>Balance!H68/Balance!H$71</f>
        <v>0.15610025319980408</v>
      </c>
      <c r="I54" s="108">
        <f>Balance!I68/Balance!$I$71</f>
        <v>0</v>
      </c>
    </row>
    <row r="55" spans="1:9" x14ac:dyDescent="0.25">
      <c r="A55" s="80"/>
      <c r="B55" s="82" t="str">
        <f>Balance!B69</f>
        <v>Otras cuentas de patrimonio</v>
      </c>
      <c r="C55" s="108">
        <f>Balance!C69/Balance!C$71</f>
        <v>0</v>
      </c>
      <c r="D55" s="108">
        <f>Balance!D69/Balance!D$71</f>
        <v>0</v>
      </c>
      <c r="E55" s="108">
        <f>Balance!E69/Balance!E$71</f>
        <v>0</v>
      </c>
      <c r="F55" s="108">
        <f>Balance!F69/Balance!F$71</f>
        <v>0</v>
      </c>
      <c r="G55" s="108">
        <f>Balance!G69/Balance!G$71</f>
        <v>0</v>
      </c>
      <c r="H55" s="108">
        <f>Balance!H69/Balance!H$71</f>
        <v>0</v>
      </c>
      <c r="I55" s="108">
        <f>Balance!I69/Balance!$I$71</f>
        <v>1.6457040458029867E-2</v>
      </c>
    </row>
    <row r="56" spans="1:9" x14ac:dyDescent="0.25">
      <c r="A56" s="80"/>
      <c r="B56" s="82"/>
      <c r="C56" s="83"/>
      <c r="D56" s="83"/>
      <c r="E56" s="83"/>
      <c r="F56" s="83"/>
      <c r="G56" s="83"/>
      <c r="H56" s="83"/>
      <c r="I56" s="83"/>
    </row>
    <row r="57" spans="1:9" x14ac:dyDescent="0.25">
      <c r="A57" s="80"/>
      <c r="B57" s="81" t="str">
        <f>Balance!B71</f>
        <v>TOTAL PATRIMONIO</v>
      </c>
      <c r="C57" s="110">
        <f>+Balance!C71/Balance!C73</f>
        <v>0.51307309135017998</v>
      </c>
      <c r="D57" s="110">
        <f>+Balance!D71/Balance!D73</f>
        <v>0.46514536606392048</v>
      </c>
      <c r="E57" s="110">
        <f>+Balance!E71/Balance!E73</f>
        <v>0.5512112012404331</v>
      </c>
      <c r="F57" s="110">
        <f>+Balance!F71/Balance!F73</f>
        <v>0.45851781037145128</v>
      </c>
      <c r="G57" s="110">
        <f>+Balance!G71/Balance!G73</f>
        <v>0.44616307481529582</v>
      </c>
      <c r="H57" s="110">
        <f>+Balance!H71/Balance!H73</f>
        <v>0.37722204722489966</v>
      </c>
      <c r="I57" s="110">
        <f>+Balance!I71/Balance!I73</f>
        <v>0.41075416290251304</v>
      </c>
    </row>
    <row r="58" spans="1:9" x14ac:dyDescent="0.25">
      <c r="A58" s="80"/>
      <c r="B58" s="82"/>
      <c r="C58" s="83"/>
      <c r="D58" s="83"/>
      <c r="E58" s="83"/>
      <c r="F58" s="83"/>
      <c r="G58" s="83"/>
      <c r="H58" s="83"/>
      <c r="I58" s="83"/>
    </row>
    <row r="59" spans="1:9" x14ac:dyDescent="0.25">
      <c r="A59" s="80"/>
      <c r="B59" s="81" t="str">
        <f>Balance!B73</f>
        <v>TOTAL PASIVO Y PATRIMONIO</v>
      </c>
      <c r="C59" s="110">
        <f>+C57+C46</f>
        <v>1</v>
      </c>
      <c r="D59" s="110">
        <f t="shared" ref="D59:I59" si="1">+D57+D46</f>
        <v>1</v>
      </c>
      <c r="E59" s="110">
        <f t="shared" si="1"/>
        <v>1</v>
      </c>
      <c r="F59" s="110">
        <f t="shared" si="1"/>
        <v>1</v>
      </c>
      <c r="G59" s="110">
        <f t="shared" si="1"/>
        <v>1</v>
      </c>
      <c r="H59" s="110">
        <f t="shared" si="1"/>
        <v>1</v>
      </c>
      <c r="I59" s="110">
        <f t="shared" si="1"/>
        <v>1</v>
      </c>
    </row>
    <row r="60" spans="1:9" x14ac:dyDescent="0.25">
      <c r="A60" s="80"/>
      <c r="B60" s="107"/>
      <c r="C60" s="108"/>
      <c r="D60" s="108"/>
      <c r="E60" s="108"/>
      <c r="F60" s="108"/>
      <c r="G60" s="108"/>
      <c r="H60" s="108"/>
      <c r="I60" s="108"/>
    </row>
    <row r="61" spans="1:9" x14ac:dyDescent="0.25">
      <c r="A61" s="80"/>
      <c r="B61" s="80"/>
      <c r="C61" s="228"/>
      <c r="D61" s="228"/>
      <c r="E61" s="228"/>
      <c r="F61" s="228"/>
      <c r="G61" s="228"/>
      <c r="H61" s="228"/>
      <c r="I61" s="228"/>
    </row>
    <row r="62" spans="1:9" hidden="1" x14ac:dyDescent="0.25">
      <c r="A62" s="80"/>
      <c r="B62" s="81" t="s">
        <v>200</v>
      </c>
      <c r="C62" s="108">
        <f>MAX(C8:C13)</f>
        <v>0.86093490950803842</v>
      </c>
      <c r="D62" s="108">
        <f>MAX(D8:D13)</f>
        <v>0.59185502152169522</v>
      </c>
      <c r="E62" s="108"/>
      <c r="F62" s="108">
        <f>MAX(F8:F13)</f>
        <v>0.54811418881074792</v>
      </c>
      <c r="G62" s="228"/>
      <c r="H62" s="228"/>
      <c r="I62" s="228"/>
    </row>
    <row r="63" spans="1:9" hidden="1" x14ac:dyDescent="0.25">
      <c r="A63" s="80"/>
      <c r="B63" s="80"/>
      <c r="C63" s="228"/>
      <c r="D63" s="228"/>
      <c r="E63" s="228"/>
      <c r="F63" s="228"/>
      <c r="G63" s="228"/>
      <c r="H63" s="228"/>
      <c r="I63" s="228"/>
    </row>
    <row r="64" spans="1:9" hidden="1" x14ac:dyDescent="0.25">
      <c r="A64" s="80"/>
      <c r="B64" s="81" t="s">
        <v>201</v>
      </c>
      <c r="C64" s="108">
        <f>MAX(C17:C21)</f>
        <v>0.47957840136869739</v>
      </c>
      <c r="D64" s="108">
        <f>MAX(D17:D21)</f>
        <v>0.31793149344023347</v>
      </c>
      <c r="E64" s="108"/>
      <c r="F64" s="108">
        <f>MAX(F17:F21)</f>
        <v>0.39100510860790166</v>
      </c>
      <c r="G64" s="228"/>
      <c r="H64" s="228"/>
      <c r="I64" s="228"/>
    </row>
    <row r="65" spans="1:9" hidden="1" x14ac:dyDescent="0.25">
      <c r="A65" s="80"/>
      <c r="B65" s="80"/>
      <c r="C65" s="228"/>
      <c r="D65" s="228"/>
      <c r="E65" s="228"/>
      <c r="F65" s="228"/>
      <c r="G65" s="228"/>
      <c r="H65" s="228"/>
      <c r="I65" s="228"/>
    </row>
    <row r="66" spans="1:9" hidden="1" x14ac:dyDescent="0.25">
      <c r="A66" s="80"/>
      <c r="B66" s="81" t="s">
        <v>202</v>
      </c>
      <c r="C66" s="108">
        <f>MAX(C38:C42)*AND(MAX(C29:C34))</f>
        <v>1</v>
      </c>
      <c r="D66" s="108">
        <f>MAX(D38:D42)*AND(MAX(D29:D34))</f>
        <v>0.8717412150773739</v>
      </c>
      <c r="E66" s="108"/>
      <c r="F66" s="108">
        <f>MAX(F38:F42)*AND(MAX(F29:F34))</f>
        <v>1</v>
      </c>
      <c r="G66" s="228"/>
      <c r="H66" s="228"/>
      <c r="I66" s="228"/>
    </row>
    <row r="67" spans="1:9" hidden="1" x14ac:dyDescent="0.25">
      <c r="A67" s="80"/>
      <c r="B67" s="80"/>
      <c r="C67" s="228"/>
      <c r="D67" s="228"/>
      <c r="E67" s="228"/>
      <c r="F67" s="228"/>
      <c r="G67" s="228"/>
      <c r="H67" s="228"/>
      <c r="I67" s="228"/>
    </row>
    <row r="68" spans="1:9" hidden="1" x14ac:dyDescent="0.25">
      <c r="A68" s="80"/>
      <c r="B68" s="81" t="s">
        <v>101</v>
      </c>
      <c r="C68" s="108">
        <f>MAX(C48:C55)</f>
        <v>0.3398812218813167</v>
      </c>
      <c r="D68" s="108">
        <f>MAX(D48:D55)</f>
        <v>0.31895129074902884</v>
      </c>
      <c r="E68" s="108"/>
      <c r="F68" s="108">
        <f>MAX(F48:F55)</f>
        <v>0.40170032375863213</v>
      </c>
      <c r="G68" s="228"/>
      <c r="H68" s="228"/>
      <c r="I68" s="228"/>
    </row>
    <row r="69" spans="1:9" hidden="1" x14ac:dyDescent="0.25">
      <c r="D69" s="228"/>
      <c r="E69" s="228"/>
      <c r="F69" s="228"/>
      <c r="G69" s="228"/>
      <c r="H69" s="228"/>
      <c r="I69" s="228"/>
    </row>
  </sheetData>
  <sheetProtection selectLockedCells="1" selectUnlockedCells="1"/>
  <mergeCells count="3">
    <mergeCell ref="B3:I3"/>
    <mergeCell ref="B4:I4"/>
    <mergeCell ref="B5:I5"/>
  </mergeCells>
  <phoneticPr fontId="5" type="noConversion"/>
  <conditionalFormatting sqref="C8:H13">
    <cfRule type="colorScale" priority="10">
      <colorScale>
        <cfvo type="min"/>
        <cfvo type="max"/>
        <color rgb="FFFCFCFF"/>
        <color rgb="FFF8696B"/>
      </colorScale>
    </cfRule>
  </conditionalFormatting>
  <conditionalFormatting sqref="C17:H21">
    <cfRule type="colorScale" priority="9">
      <colorScale>
        <cfvo type="min"/>
        <cfvo type="max"/>
        <color rgb="FFFCFCFF"/>
        <color rgb="FFF8696B"/>
      </colorScale>
    </cfRule>
  </conditionalFormatting>
  <conditionalFormatting sqref="C29:H34">
    <cfRule type="colorScale" priority="8">
      <colorScale>
        <cfvo type="min"/>
        <cfvo type="max"/>
        <color rgb="FFFCFCFF"/>
        <color rgb="FFF8696B"/>
      </colorScale>
    </cfRule>
  </conditionalFormatting>
  <conditionalFormatting sqref="C38:H42">
    <cfRule type="colorScale" priority="7">
      <colorScale>
        <cfvo type="min"/>
        <cfvo type="max"/>
        <color rgb="FFFCFCFF"/>
        <color rgb="FFF8696B"/>
      </colorScale>
    </cfRule>
  </conditionalFormatting>
  <conditionalFormatting sqref="C48:H55">
    <cfRule type="colorScale" priority="6">
      <colorScale>
        <cfvo type="min"/>
        <cfvo type="max"/>
        <color rgb="FFFCFCFF"/>
        <color rgb="FFF8696B"/>
      </colorScale>
    </cfRule>
  </conditionalFormatting>
  <conditionalFormatting sqref="I8:I13">
    <cfRule type="colorScale" priority="5">
      <colorScale>
        <cfvo type="min"/>
        <cfvo type="max"/>
        <color rgb="FFFCFCFF"/>
        <color rgb="FFF8696B"/>
      </colorScale>
    </cfRule>
  </conditionalFormatting>
  <conditionalFormatting sqref="I17:I21">
    <cfRule type="colorScale" priority="4">
      <colorScale>
        <cfvo type="min"/>
        <cfvo type="max"/>
        <color rgb="FFFCFCFF"/>
        <color rgb="FFF8696B"/>
      </colorScale>
    </cfRule>
  </conditionalFormatting>
  <conditionalFormatting sqref="I29:I34">
    <cfRule type="colorScale" priority="3">
      <colorScale>
        <cfvo type="min"/>
        <cfvo type="max"/>
        <color rgb="FFFCFCFF"/>
        <color rgb="FFF8696B"/>
      </colorScale>
    </cfRule>
  </conditionalFormatting>
  <conditionalFormatting sqref="I38:I42">
    <cfRule type="colorScale" priority="2">
      <colorScale>
        <cfvo type="min"/>
        <cfvo type="max"/>
        <color rgb="FFFCFCFF"/>
        <color rgb="FFF8696B"/>
      </colorScale>
    </cfRule>
  </conditionalFormatting>
  <conditionalFormatting sqref="I48:I55">
    <cfRule type="colorScale" priority="1">
      <colorScale>
        <cfvo type="min"/>
        <cfvo type="max"/>
        <color rgb="FFFCFCFF"/>
        <color rgb="FFF8696B"/>
      </colorScale>
    </cfRule>
  </conditionalFormatting>
  <printOptions horizontalCentered="1"/>
  <pageMargins left="0.35433070866141736" right="0.31496062992125984" top="0.47244094488188981" bottom="0.81" header="0" footer="0"/>
  <pageSetup scale="77"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Q80"/>
  <sheetViews>
    <sheetView topLeftCell="E13" zoomScale="70" zoomScaleNormal="70" workbookViewId="0">
      <selection activeCell="N13" sqref="N13"/>
    </sheetView>
  </sheetViews>
  <sheetFormatPr baseColWidth="10" defaultColWidth="0" defaultRowHeight="0" customHeight="1" zeroHeight="1" x14ac:dyDescent="0.25"/>
  <cols>
    <col min="1" max="1" width="4.44140625" style="80" customWidth="1"/>
    <col min="2" max="2" width="28.5546875" style="80" customWidth="1"/>
    <col min="3" max="3" width="7.5546875" style="80" customWidth="1"/>
    <col min="4" max="4" width="28.5546875" style="80" customWidth="1"/>
    <col min="5" max="5" width="7.5546875" style="80" customWidth="1"/>
    <col min="6" max="6" width="28.5546875" style="80" customWidth="1"/>
    <col min="7" max="7" width="7.44140625" style="80" customWidth="1"/>
    <col min="8" max="8" width="28.5546875" style="80" customWidth="1"/>
    <col min="9" max="9" width="7.44140625" style="80" customWidth="1"/>
    <col min="10" max="10" width="28.5546875" style="80" customWidth="1"/>
    <col min="11" max="11" width="7.44140625" style="80" customWidth="1"/>
    <col min="12" max="12" width="28.5546875" style="80" customWidth="1"/>
    <col min="13" max="13" width="7.44140625" style="80" customWidth="1"/>
    <col min="14" max="14" width="28.5546875" style="80" customWidth="1"/>
    <col min="15" max="15" width="4.5546875" style="80" customWidth="1"/>
    <col min="16" max="17" width="0" style="80" hidden="1" customWidth="1"/>
    <col min="18" max="16384" width="11.44140625" style="80" hidden="1"/>
  </cols>
  <sheetData>
    <row r="1" spans="2:14" ht="13.8" x14ac:dyDescent="0.25"/>
    <row r="2" spans="2:14" ht="13.8" x14ac:dyDescent="0.25"/>
    <row r="3" spans="2:14" ht="24.6" x14ac:dyDescent="0.4">
      <c r="B3" s="488" t="str">
        <f>+Variables!D3</f>
        <v>K-LISTO</v>
      </c>
      <c r="C3" s="489"/>
      <c r="D3" s="489"/>
      <c r="E3" s="489"/>
      <c r="F3" s="489"/>
      <c r="G3" s="489"/>
      <c r="H3" s="489"/>
      <c r="I3" s="489"/>
      <c r="J3" s="489"/>
      <c r="K3" s="489"/>
      <c r="L3" s="489"/>
      <c r="M3" s="489"/>
      <c r="N3" s="490"/>
    </row>
    <row r="4" spans="2:14" ht="13.8" x14ac:dyDescent="0.25">
      <c r="B4" s="486" t="s">
        <v>203</v>
      </c>
      <c r="C4" s="487"/>
      <c r="D4" s="487"/>
      <c r="E4" s="487"/>
      <c r="F4" s="487"/>
      <c r="G4" s="487"/>
      <c r="H4" s="487"/>
      <c r="I4" s="487"/>
      <c r="J4" s="487"/>
      <c r="K4" s="487"/>
      <c r="L4" s="487"/>
      <c r="M4" s="487"/>
      <c r="N4" s="491"/>
    </row>
    <row r="5" spans="2:14" ht="13.8" x14ac:dyDescent="0.25">
      <c r="B5" s="492"/>
      <c r="C5" s="493"/>
      <c r="D5" s="493"/>
      <c r="E5" s="493"/>
      <c r="F5" s="493"/>
      <c r="G5" s="493"/>
      <c r="H5" s="493"/>
      <c r="I5" s="493"/>
      <c r="J5" s="493"/>
      <c r="K5" s="493"/>
      <c r="L5" s="493"/>
      <c r="M5" s="493"/>
      <c r="N5" s="494"/>
    </row>
    <row r="6" spans="2:14" ht="13.8" x14ac:dyDescent="0.25">
      <c r="H6" s="86"/>
      <c r="J6" s="86"/>
      <c r="L6" s="86"/>
      <c r="N6" s="86"/>
    </row>
    <row r="7" spans="2:14" ht="13.8" x14ac:dyDescent="0.25">
      <c r="B7" s="97">
        <f>+Balance!C7</f>
        <v>2018</v>
      </c>
      <c r="D7" s="97">
        <f>+Variables!E7</f>
        <v>2019</v>
      </c>
      <c r="F7" s="97">
        <v>2020</v>
      </c>
      <c r="H7" s="97">
        <f>+Variables!G7</f>
        <v>2021</v>
      </c>
      <c r="J7" s="97">
        <f>+Variables!H7</f>
        <v>2022</v>
      </c>
      <c r="L7" s="97">
        <f>+Variables!I7</f>
        <v>2023</v>
      </c>
      <c r="N7" s="97" t="s">
        <v>195</v>
      </c>
    </row>
    <row r="8" spans="2:14" ht="13.8" x14ac:dyDescent="0.25">
      <c r="H8" s="320">
        <f>+H6*0.12</f>
        <v>0</v>
      </c>
      <c r="J8" s="320">
        <f>+J6*0.12</f>
        <v>0</v>
      </c>
      <c r="L8" s="320">
        <f>+L6*0.12</f>
        <v>0</v>
      </c>
      <c r="N8" s="320">
        <f>+N6*0.12</f>
        <v>0</v>
      </c>
    </row>
    <row r="9" spans="2:14" ht="13.8" x14ac:dyDescent="0.25">
      <c r="B9" s="486" t="s">
        <v>204</v>
      </c>
      <c r="C9" s="487"/>
      <c r="D9" s="487"/>
      <c r="E9" s="487"/>
      <c r="F9" s="487"/>
      <c r="G9" s="487"/>
      <c r="H9" s="487"/>
      <c r="I9" s="487"/>
      <c r="J9" s="487"/>
      <c r="K9" s="487"/>
      <c r="L9" s="487"/>
      <c r="M9" s="487"/>
      <c r="N9" s="487"/>
    </row>
    <row r="10" spans="2:14" ht="13.8" x14ac:dyDescent="0.25"/>
    <row r="11" spans="2:14" ht="13.8" x14ac:dyDescent="0.25">
      <c r="B11" s="98" t="s">
        <v>200</v>
      </c>
      <c r="D11" s="98" t="s">
        <v>200</v>
      </c>
      <c r="F11" s="98" t="s">
        <v>200</v>
      </c>
      <c r="H11" s="98" t="s">
        <v>200</v>
      </c>
      <c r="J11" s="98" t="s">
        <v>200</v>
      </c>
      <c r="L11" s="98" t="s">
        <v>200</v>
      </c>
      <c r="N11" s="98" t="s">
        <v>200</v>
      </c>
    </row>
    <row r="12" spans="2:14" ht="7.2" customHeight="1" x14ac:dyDescent="0.25">
      <c r="B12" s="99"/>
      <c r="D12" s="99"/>
      <c r="F12" s="99"/>
      <c r="H12" s="99"/>
      <c r="J12" s="99"/>
      <c r="L12" s="99"/>
      <c r="N12" s="99"/>
    </row>
    <row r="13" spans="2:14" ht="13.8" x14ac:dyDescent="0.25">
      <c r="B13" s="100">
        <f>+'Estados y analisis'!C13</f>
        <v>5700250510</v>
      </c>
      <c r="D13" s="100">
        <f>+'Estados y analisis'!D13</f>
        <v>5615556471</v>
      </c>
      <c r="F13" s="100">
        <f>+'Estados y analisis'!E13</f>
        <v>8525446370</v>
      </c>
      <c r="H13" s="100">
        <f>+'Estados y analisis'!F13</f>
        <v>8627541714</v>
      </c>
      <c r="J13" s="100">
        <f>+'Estados y analisis'!G13</f>
        <v>9650241817</v>
      </c>
      <c r="L13" s="100">
        <f>+'Estados y analisis'!H13</f>
        <v>14699528109</v>
      </c>
      <c r="N13" s="100">
        <f>+Balance!I18</f>
        <v>5781798.1000000006</v>
      </c>
    </row>
    <row r="14" spans="2:14" ht="7.2" customHeight="1" x14ac:dyDescent="0.25">
      <c r="B14" s="101"/>
      <c r="D14" s="101"/>
      <c r="F14" s="101"/>
      <c r="H14" s="101"/>
      <c r="J14" s="101"/>
      <c r="L14" s="101"/>
      <c r="N14" s="101"/>
    </row>
    <row r="15" spans="2:14" ht="13.8" x14ac:dyDescent="0.25">
      <c r="B15" s="102">
        <f>+B13/Balance!C36</f>
        <v>0.6363808113442162</v>
      </c>
      <c r="D15" s="102">
        <f>+D13/Balance!D36</f>
        <v>0.5333626332934952</v>
      </c>
      <c r="F15" s="102">
        <f>+F13/Balance!E36</f>
        <v>0.5987388064743725</v>
      </c>
      <c r="H15" s="102">
        <f>+H13/Balance!F36</f>
        <v>0.46821799617539034</v>
      </c>
      <c r="J15" s="102">
        <f>+J13/Balance!H36</f>
        <v>0.36379405339207682</v>
      </c>
      <c r="L15" s="102">
        <f>+L13/Balance!H36</f>
        <v>0.55414164900028429</v>
      </c>
      <c r="N15" s="102">
        <f>+N13/Balance!I36</f>
        <v>0.3685295898584417</v>
      </c>
    </row>
    <row r="16" spans="2:14" ht="13.8" x14ac:dyDescent="0.25"/>
    <row r="17" spans="2:14" ht="13.8" x14ac:dyDescent="0.25">
      <c r="B17" s="98" t="s">
        <v>205</v>
      </c>
      <c r="D17" s="98" t="s">
        <v>205</v>
      </c>
      <c r="F17" s="98" t="s">
        <v>205</v>
      </c>
      <c r="H17" s="98" t="s">
        <v>205</v>
      </c>
      <c r="J17" s="98" t="s">
        <v>205</v>
      </c>
      <c r="L17" s="98" t="s">
        <v>205</v>
      </c>
      <c r="N17" s="98" t="s">
        <v>205</v>
      </c>
    </row>
    <row r="18" spans="2:14" ht="7.2" customHeight="1" x14ac:dyDescent="0.25">
      <c r="B18" s="99"/>
      <c r="D18" s="99"/>
      <c r="F18" s="99"/>
      <c r="H18" s="99"/>
      <c r="J18" s="99"/>
      <c r="L18" s="99"/>
      <c r="N18" s="99"/>
    </row>
    <row r="19" spans="2:14" ht="13.8" x14ac:dyDescent="0.25">
      <c r="B19" s="100">
        <f>+Balance!C34</f>
        <v>3257044255</v>
      </c>
      <c r="D19" s="100">
        <f>+Balance!D34</f>
        <v>4913033498.5</v>
      </c>
      <c r="F19" s="100">
        <f>+Balance!E34</f>
        <v>5713561153.5</v>
      </c>
      <c r="H19" s="100">
        <f>+Balance!F34</f>
        <v>9798793421.5</v>
      </c>
      <c r="J19" s="100">
        <f>+Balance!H34</f>
        <v>11827133685</v>
      </c>
      <c r="L19" s="100">
        <f>+Balance!H34</f>
        <v>11827133685</v>
      </c>
      <c r="N19" s="100">
        <f>+Balance!I34</f>
        <v>9907031.9400000013</v>
      </c>
    </row>
    <row r="20" spans="2:14" ht="7.2" customHeight="1" x14ac:dyDescent="0.25">
      <c r="B20" s="101"/>
      <c r="D20" s="101"/>
      <c r="F20" s="101"/>
      <c r="H20" s="101"/>
      <c r="J20" s="101"/>
      <c r="L20" s="101"/>
      <c r="N20" s="101"/>
    </row>
    <row r="21" spans="2:14" ht="13.8" x14ac:dyDescent="0.25">
      <c r="B21" s="102">
        <f>+B19/Balance!C36</f>
        <v>0.36361918865578385</v>
      </c>
      <c r="D21" s="102">
        <f>+D19/Balance!D36</f>
        <v>0.46663736670650485</v>
      </c>
      <c r="F21" s="102">
        <f>+F19/Balance!E36</f>
        <v>0.40126119352562756</v>
      </c>
      <c r="H21" s="102">
        <f>+H19/Balance!F36</f>
        <v>0.53178200382460961</v>
      </c>
      <c r="J21" s="102">
        <f>+J19/Balance!H36</f>
        <v>0.44585835099971571</v>
      </c>
      <c r="L21" s="102">
        <f>+L19/Balance!H36</f>
        <v>0.44585835099971571</v>
      </c>
      <c r="N21" s="102">
        <f>+N19/Balance!I36</f>
        <v>0.63147041014155825</v>
      </c>
    </row>
    <row r="22" spans="2:14" ht="13.8" x14ac:dyDescent="0.25"/>
    <row r="23" spans="2:14" ht="13.8" x14ac:dyDescent="0.25">
      <c r="B23" s="486" t="s">
        <v>206</v>
      </c>
      <c r="C23" s="487"/>
      <c r="D23" s="487"/>
      <c r="E23" s="487"/>
      <c r="F23" s="487"/>
      <c r="G23" s="487"/>
      <c r="H23" s="487"/>
      <c r="I23" s="487"/>
      <c r="J23" s="487"/>
      <c r="K23" s="487"/>
      <c r="L23" s="487"/>
      <c r="M23" s="487"/>
      <c r="N23" s="487"/>
    </row>
    <row r="24" spans="2:14" ht="13.8" x14ac:dyDescent="0.25"/>
    <row r="25" spans="2:14" ht="13.8" x14ac:dyDescent="0.25">
      <c r="B25" s="96" t="s">
        <v>207</v>
      </c>
      <c r="D25" s="96" t="s">
        <v>207</v>
      </c>
      <c r="F25" s="96" t="s">
        <v>207</v>
      </c>
      <c r="H25" s="96" t="s">
        <v>207</v>
      </c>
      <c r="J25" s="96" t="s">
        <v>207</v>
      </c>
      <c r="L25" s="96" t="s">
        <v>207</v>
      </c>
      <c r="N25" s="96" t="s">
        <v>207</v>
      </c>
    </row>
    <row r="26" spans="2:14" ht="7.2" customHeight="1" x14ac:dyDescent="0.25">
      <c r="B26" s="99"/>
      <c r="D26" s="99"/>
      <c r="F26" s="99"/>
      <c r="H26" s="99"/>
      <c r="J26" s="99"/>
      <c r="L26" s="99"/>
      <c r="N26" s="99"/>
    </row>
    <row r="27" spans="2:14" ht="13.8" x14ac:dyDescent="0.25">
      <c r="B27" s="100">
        <f>+Balance!C48</f>
        <v>2849529692.4866662</v>
      </c>
      <c r="D27" s="100">
        <f>+Balance!D48</f>
        <v>3055567849.8000002</v>
      </c>
      <c r="F27" s="100">
        <f>+Balance!E48</f>
        <v>4009112277.1999998</v>
      </c>
      <c r="H27" s="100">
        <f>+Balance!F48</f>
        <v>6475807739.6000004</v>
      </c>
      <c r="J27" s="100">
        <f>+Balance!H48</f>
        <v>11495163573.424789</v>
      </c>
      <c r="L27" s="100">
        <f>+Balance!H48</f>
        <v>11495163573.424789</v>
      </c>
      <c r="N27" s="100">
        <f>+Balance!I48</f>
        <v>3703270.8200000003</v>
      </c>
    </row>
    <row r="28" spans="2:14" ht="7.2" customHeight="1" x14ac:dyDescent="0.25">
      <c r="B28" s="101"/>
      <c r="D28" s="101"/>
      <c r="F28" s="101"/>
      <c r="H28" s="101"/>
      <c r="J28" s="101"/>
      <c r="L28" s="101"/>
      <c r="N28" s="101"/>
    </row>
    <row r="29" spans="2:14" ht="13.8" x14ac:dyDescent="0.25">
      <c r="B29" s="102">
        <f>+B27/Balance!C73</f>
        <v>0.31812391656697547</v>
      </c>
      <c r="D29" s="102">
        <f>+D27/Balance!D73</f>
        <v>0.29021624535209328</v>
      </c>
      <c r="F29" s="102">
        <f>+F27/Balance!E73</f>
        <v>0.28155840711393526</v>
      </c>
      <c r="H29" s="102">
        <f>+H27/Balance!F73</f>
        <v>0.3514430673261647</v>
      </c>
      <c r="J29" s="102">
        <f>+J27/Balance!H73</f>
        <v>0.43334376796800167</v>
      </c>
      <c r="L29" s="102">
        <f>+L27/Balance!H73</f>
        <v>0.43334376796800167</v>
      </c>
      <c r="N29" s="102">
        <f>+N27/Balance!I73</f>
        <v>0.2360450594823322</v>
      </c>
    </row>
    <row r="30" spans="2:14" ht="13.8" x14ac:dyDescent="0.25"/>
    <row r="31" spans="2:14" ht="13.8" x14ac:dyDescent="0.25">
      <c r="B31" s="96" t="s">
        <v>208</v>
      </c>
      <c r="D31" s="96" t="s">
        <v>208</v>
      </c>
      <c r="F31" s="96" t="s">
        <v>208</v>
      </c>
      <c r="H31" s="96" t="s">
        <v>208</v>
      </c>
      <c r="J31" s="96" t="s">
        <v>208</v>
      </c>
      <c r="L31" s="96" t="s">
        <v>208</v>
      </c>
      <c r="N31" s="96" t="s">
        <v>208</v>
      </c>
    </row>
    <row r="32" spans="2:14" ht="7.2" customHeight="1" x14ac:dyDescent="0.25">
      <c r="B32" s="99"/>
      <c r="D32" s="99"/>
      <c r="F32" s="99"/>
      <c r="H32" s="99"/>
      <c r="J32" s="99"/>
      <c r="L32" s="99"/>
      <c r="N32" s="99"/>
    </row>
    <row r="33" spans="1:14" ht="13.8" x14ac:dyDescent="0.25">
      <c r="B33" s="100">
        <f>+Balance!C56</f>
        <v>1512018157.3</v>
      </c>
      <c r="D33" s="100">
        <f>+Balance!D56</f>
        <v>2575697284.1999998</v>
      </c>
      <c r="F33" s="100">
        <f>+Balance!E56</f>
        <v>2381194804.7999997</v>
      </c>
      <c r="H33" s="100">
        <f>+Balance!F56</f>
        <v>3501724556.3999996</v>
      </c>
      <c r="J33" s="100">
        <f>+Balance!H56</f>
        <v>5025056552.5999994</v>
      </c>
      <c r="L33" s="100">
        <f>+Balance!H56</f>
        <v>5025056552.5999994</v>
      </c>
      <c r="N33" s="100">
        <f>+Balance!I56</f>
        <v>5541306.9699999997</v>
      </c>
    </row>
    <row r="34" spans="1:14" ht="7.2" customHeight="1" x14ac:dyDescent="0.25">
      <c r="B34" s="101"/>
      <c r="D34" s="101"/>
      <c r="F34" s="101"/>
      <c r="H34" s="101"/>
      <c r="J34" s="101"/>
      <c r="L34" s="101"/>
      <c r="N34" s="101"/>
    </row>
    <row r="35" spans="1:14" ht="13.8" x14ac:dyDescent="0.25">
      <c r="B35" s="102">
        <f>+B33/Balance!C73</f>
        <v>0.16880299208284455</v>
      </c>
      <c r="D35" s="102">
        <f>+D33/Balance!D73</f>
        <v>0.24463838858398615</v>
      </c>
      <c r="F35" s="102">
        <f>+F33/Balance!E73</f>
        <v>0.16723039164563158</v>
      </c>
      <c r="H35" s="102">
        <f>+H33/Balance!F73</f>
        <v>0.19003912230238398</v>
      </c>
      <c r="J35" s="102">
        <f>+J33/Balance!H73</f>
        <v>0.1894341848070987</v>
      </c>
      <c r="L35" s="102">
        <f>+L33/Balance!H73</f>
        <v>0.1894341848070987</v>
      </c>
      <c r="N35" s="102">
        <f>+N33/Balance!I73</f>
        <v>0.35320077761515478</v>
      </c>
    </row>
    <row r="36" spans="1:14" ht="13.8" x14ac:dyDescent="0.25"/>
    <row r="37" spans="1:14" ht="13.8" x14ac:dyDescent="0.25">
      <c r="B37" s="103" t="s">
        <v>101</v>
      </c>
      <c r="D37" s="103" t="s">
        <v>101</v>
      </c>
      <c r="F37" s="103" t="s">
        <v>101</v>
      </c>
      <c r="H37" s="103" t="s">
        <v>101</v>
      </c>
      <c r="J37" s="103" t="s">
        <v>101</v>
      </c>
      <c r="L37" s="103" t="s">
        <v>101</v>
      </c>
      <c r="N37" s="103" t="s">
        <v>101</v>
      </c>
    </row>
    <row r="38" spans="1:14" ht="7.2" customHeight="1" x14ac:dyDescent="0.25">
      <c r="B38" s="99"/>
      <c r="D38" s="99"/>
      <c r="F38" s="99"/>
      <c r="H38" s="99"/>
      <c r="J38" s="99"/>
      <c r="L38" s="99"/>
      <c r="N38" s="99"/>
    </row>
    <row r="39" spans="1:14" ht="13.8" x14ac:dyDescent="0.25">
      <c r="B39" s="100">
        <f>+Balance!C71</f>
        <v>4595746915.2133341</v>
      </c>
      <c r="D39" s="100">
        <f>+Balance!D71</f>
        <v>4897324835.499999</v>
      </c>
      <c r="F39" s="100">
        <f>+Balance!E71</f>
        <v>7848700441.5</v>
      </c>
      <c r="H39" s="100">
        <f>+Balance!F71</f>
        <v>8448802839.499999</v>
      </c>
      <c r="J39" s="100">
        <f>+Balance!H71</f>
        <v>10006441667.975208</v>
      </c>
      <c r="L39" s="100">
        <f>+Balance!H71</f>
        <v>10006441667.975208</v>
      </c>
      <c r="N39" s="100">
        <f>+Balance!I71</f>
        <v>6444252.25</v>
      </c>
    </row>
    <row r="40" spans="1:14" ht="7.2" customHeight="1" x14ac:dyDescent="0.25">
      <c r="B40" s="101"/>
      <c r="D40" s="101"/>
      <c r="F40" s="101"/>
      <c r="H40" s="101"/>
      <c r="J40" s="101"/>
      <c r="L40" s="101"/>
      <c r="N40" s="101"/>
    </row>
    <row r="41" spans="1:14" ht="13.8" x14ac:dyDescent="0.25">
      <c r="B41" s="102">
        <f>+B39/Balance!C73</f>
        <v>0.51307309135017998</v>
      </c>
      <c r="D41" s="102">
        <f>+D39/Balance!D73</f>
        <v>0.46514536606392048</v>
      </c>
      <c r="F41" s="102">
        <f>+F39/Balance!E73</f>
        <v>0.5512112012404331</v>
      </c>
      <c r="H41" s="102">
        <f>+H39/Balance!F73</f>
        <v>0.45851781037145128</v>
      </c>
      <c r="J41" s="102">
        <f>+J39/Balance!H73</f>
        <v>0.37722204722489966</v>
      </c>
      <c r="L41" s="102">
        <f>+L39/Balance!H73</f>
        <v>0.37722204722489966</v>
      </c>
      <c r="N41" s="102">
        <f>+N39/Balance!I73</f>
        <v>0.41075416290251304</v>
      </c>
    </row>
    <row r="42" spans="1:14" ht="13.8" x14ac:dyDescent="0.25">
      <c r="B42" s="104"/>
      <c r="C42" s="104"/>
      <c r="D42" s="104"/>
      <c r="E42" s="104"/>
      <c r="F42" s="104"/>
      <c r="G42" s="104"/>
      <c r="H42" s="104"/>
      <c r="I42" s="104"/>
      <c r="J42" s="104"/>
      <c r="K42" s="104"/>
      <c r="L42" s="104"/>
      <c r="M42" s="104"/>
      <c r="N42" s="104"/>
    </row>
    <row r="43" spans="1:14" ht="13.8" x14ac:dyDescent="0.25">
      <c r="B43" s="80">
        <f>+B7</f>
        <v>2018</v>
      </c>
      <c r="D43" s="80">
        <f>+D7</f>
        <v>2019</v>
      </c>
      <c r="F43" s="80">
        <f>+F7</f>
        <v>2020</v>
      </c>
      <c r="H43" s="80">
        <f>+H7</f>
        <v>2021</v>
      </c>
      <c r="J43" s="80">
        <f>+J7</f>
        <v>2022</v>
      </c>
      <c r="L43" s="80">
        <f>+L7</f>
        <v>2023</v>
      </c>
      <c r="N43" s="80" t="str">
        <f>+N7</f>
        <v>REFERENTE</v>
      </c>
    </row>
    <row r="44" spans="1:14" ht="13.8" x14ac:dyDescent="0.25">
      <c r="A44" s="80" t="s">
        <v>179</v>
      </c>
      <c r="B44" s="86">
        <f>+B13+B19</f>
        <v>8957294765</v>
      </c>
      <c r="D44" s="86">
        <f>+D13+D19</f>
        <v>10528589969.5</v>
      </c>
      <c r="F44" s="86">
        <f>+F13+F19</f>
        <v>14239007523.5</v>
      </c>
      <c r="H44" s="86">
        <f>+H13+H19</f>
        <v>18426335135.5</v>
      </c>
      <c r="J44" s="86">
        <f>+J13+J19</f>
        <v>21477375502</v>
      </c>
      <c r="L44" s="86">
        <f>+L13+L19</f>
        <v>26526661794</v>
      </c>
      <c r="N44" s="86">
        <f>+N13+N19</f>
        <v>15688830.040000003</v>
      </c>
    </row>
    <row r="45" spans="1:14" ht="13.8" x14ac:dyDescent="0.25">
      <c r="A45" s="80" t="s">
        <v>89</v>
      </c>
      <c r="B45" s="86">
        <f>+B33+B27</f>
        <v>4361547849.7866659</v>
      </c>
      <c r="D45" s="86">
        <f>+D33+D27</f>
        <v>5631265134</v>
      </c>
      <c r="F45" s="86">
        <f>+F33+F27</f>
        <v>6390307082</v>
      </c>
      <c r="H45" s="86">
        <f>+H33+H27</f>
        <v>9977532296</v>
      </c>
      <c r="J45" s="86">
        <f>+J33+J27</f>
        <v>16520220126.024788</v>
      </c>
      <c r="L45" s="86">
        <f>+L33+L27</f>
        <v>16520220126.024788</v>
      </c>
      <c r="N45" s="86">
        <f>+N33+N27</f>
        <v>9244577.7899999991</v>
      </c>
    </row>
    <row r="46" spans="1:14" ht="13.8" x14ac:dyDescent="0.25">
      <c r="A46" s="80" t="s">
        <v>101</v>
      </c>
      <c r="B46" s="86">
        <f>+B39</f>
        <v>4595746915.2133341</v>
      </c>
      <c r="D46" s="86">
        <f>+D39</f>
        <v>4897324835.499999</v>
      </c>
      <c r="F46" s="86">
        <f>+F39</f>
        <v>7848700441.5</v>
      </c>
      <c r="H46" s="86">
        <f>+H39</f>
        <v>8448802839.499999</v>
      </c>
      <c r="J46" s="86">
        <f>+J39</f>
        <v>10006441667.975208</v>
      </c>
      <c r="L46" s="86">
        <f>+L39</f>
        <v>10006441667.975208</v>
      </c>
      <c r="N46" s="86">
        <f>+N39</f>
        <v>6444252.25</v>
      </c>
    </row>
    <row r="47" spans="1:14" ht="13.8" x14ac:dyDescent="0.25"/>
    <row r="48" spans="1:14" ht="13.8" x14ac:dyDescent="0.25"/>
    <row r="49" spans="1:14" ht="13.8" x14ac:dyDescent="0.25"/>
    <row r="50" spans="1:14" ht="13.8" x14ac:dyDescent="0.25"/>
    <row r="51" spans="1:14" ht="13.8" x14ac:dyDescent="0.25"/>
    <row r="52" spans="1:14" ht="13.8" x14ac:dyDescent="0.25"/>
    <row r="53" spans="1:14" ht="13.8" x14ac:dyDescent="0.25"/>
    <row r="54" spans="1:14" ht="13.8" x14ac:dyDescent="0.25"/>
    <row r="55" spans="1:14" ht="13.8" x14ac:dyDescent="0.25"/>
    <row r="56" spans="1:14" ht="13.8" x14ac:dyDescent="0.25"/>
    <row r="57" spans="1:14" ht="13.8" x14ac:dyDescent="0.25"/>
    <row r="58" spans="1:14" ht="13.8" x14ac:dyDescent="0.25"/>
    <row r="59" spans="1:14" ht="13.8" x14ac:dyDescent="0.25"/>
    <row r="60" spans="1:14" ht="13.8" x14ac:dyDescent="0.25"/>
    <row r="61" spans="1:14" ht="13.8" x14ac:dyDescent="0.25"/>
    <row r="62" spans="1:14" ht="13.8" x14ac:dyDescent="0.25"/>
    <row r="63" spans="1:14" ht="13.8" x14ac:dyDescent="0.25">
      <c r="B63" s="80">
        <f>+B7</f>
        <v>2018</v>
      </c>
      <c r="D63" s="80">
        <f>+D7</f>
        <v>2019</v>
      </c>
      <c r="F63" s="80">
        <f>+F7</f>
        <v>2020</v>
      </c>
      <c r="H63" s="80">
        <f>+H7</f>
        <v>2021</v>
      </c>
      <c r="J63" s="80">
        <f>+J7</f>
        <v>2022</v>
      </c>
      <c r="L63" s="80">
        <f>+L7</f>
        <v>2023</v>
      </c>
      <c r="N63" s="80" t="str">
        <f>+N7</f>
        <v>REFERENTE</v>
      </c>
    </row>
    <row r="64" spans="1:14" ht="13.8" x14ac:dyDescent="0.25">
      <c r="A64" s="80" t="str">
        <f>+B25</f>
        <v>PASIVO CORRIENTE</v>
      </c>
      <c r="B64" s="319">
        <f>+B29</f>
        <v>0.31812391656697547</v>
      </c>
      <c r="D64" s="319">
        <f>+D29</f>
        <v>0.29021624535209328</v>
      </c>
      <c r="F64" s="319">
        <f>+F29</f>
        <v>0.28155840711393526</v>
      </c>
      <c r="H64" s="319">
        <f>+H29</f>
        <v>0.3514430673261647</v>
      </c>
      <c r="J64" s="319">
        <f>+J29</f>
        <v>0.43334376796800167</v>
      </c>
      <c r="L64" s="319">
        <f>+L29</f>
        <v>0.43334376796800167</v>
      </c>
      <c r="N64" s="319">
        <f>+N29</f>
        <v>0.2360450594823322</v>
      </c>
    </row>
    <row r="65" spans="1:14" ht="13.8" x14ac:dyDescent="0.25">
      <c r="A65" s="80" t="str">
        <f>+B31</f>
        <v>PASIVO NO CORRIENTE</v>
      </c>
      <c r="B65" s="319">
        <f>+B35</f>
        <v>0.16880299208284455</v>
      </c>
      <c r="D65" s="319">
        <f>+D35</f>
        <v>0.24463838858398615</v>
      </c>
      <c r="F65" s="319">
        <f>+F35</f>
        <v>0.16723039164563158</v>
      </c>
      <c r="H65" s="319">
        <f>+H35</f>
        <v>0.19003912230238398</v>
      </c>
      <c r="J65" s="319">
        <f>+J35</f>
        <v>0.1894341848070987</v>
      </c>
      <c r="L65" s="319">
        <f>+L35</f>
        <v>0.1894341848070987</v>
      </c>
      <c r="N65" s="319">
        <f>+N35</f>
        <v>0.35320077761515478</v>
      </c>
    </row>
    <row r="66" spans="1:14" ht="13.8" x14ac:dyDescent="0.25">
      <c r="A66" s="80" t="str">
        <f>+B37</f>
        <v>PATRIMONIO</v>
      </c>
      <c r="B66" s="319">
        <f>+B41</f>
        <v>0.51307309135017998</v>
      </c>
      <c r="D66" s="319">
        <f>+D41</f>
        <v>0.46514536606392048</v>
      </c>
      <c r="F66" s="319">
        <f>+F41</f>
        <v>0.5512112012404331</v>
      </c>
      <c r="H66" s="319">
        <f>+H41</f>
        <v>0.45851781037145128</v>
      </c>
      <c r="J66" s="319">
        <f>+J41</f>
        <v>0.37722204722489966</v>
      </c>
      <c r="L66" s="319">
        <f>+L41</f>
        <v>0.37722204722489966</v>
      </c>
      <c r="N66" s="319">
        <f>+N41</f>
        <v>0.41075416290251304</v>
      </c>
    </row>
    <row r="67" spans="1:14" ht="13.8" x14ac:dyDescent="0.25">
      <c r="A67" s="80" t="str">
        <f>+B17</f>
        <v>ACTIVO NO CORRIENTE</v>
      </c>
      <c r="B67" s="319">
        <f>+B21</f>
        <v>0.36361918865578385</v>
      </c>
      <c r="D67" s="319">
        <f>+D21</f>
        <v>0.46663736670650485</v>
      </c>
      <c r="F67" s="319">
        <f>+F21</f>
        <v>0.40126119352562756</v>
      </c>
      <c r="H67" s="319">
        <f>+H21</f>
        <v>0.53178200382460961</v>
      </c>
      <c r="J67" s="319">
        <f>+J21</f>
        <v>0.44585835099971571</v>
      </c>
      <c r="L67" s="319">
        <f>+L21</f>
        <v>0.44585835099971571</v>
      </c>
      <c r="N67" s="319">
        <f>+N21</f>
        <v>0.63147041014155825</v>
      </c>
    </row>
    <row r="68" spans="1:14" ht="13.8" x14ac:dyDescent="0.25">
      <c r="A68" s="80" t="str">
        <f>+B11</f>
        <v>ACTIVO CORRIENTE</v>
      </c>
      <c r="B68" s="319">
        <f>+B15</f>
        <v>0.6363808113442162</v>
      </c>
      <c r="D68" s="319">
        <f>+D15</f>
        <v>0.5333626332934952</v>
      </c>
      <c r="F68" s="319">
        <f>+F15</f>
        <v>0.5987388064743725</v>
      </c>
      <c r="H68" s="319">
        <f>+H15</f>
        <v>0.46821799617539034</v>
      </c>
      <c r="J68" s="319">
        <f>+J15</f>
        <v>0.36379405339207682</v>
      </c>
      <c r="L68" s="319">
        <f>+L15</f>
        <v>0.55414164900028429</v>
      </c>
      <c r="N68" s="319">
        <f>+N15</f>
        <v>0.3685295898584417</v>
      </c>
    </row>
    <row r="69" spans="1:14" ht="13.8" x14ac:dyDescent="0.25"/>
    <row r="70" spans="1:14" ht="13.8" x14ac:dyDescent="0.25"/>
    <row r="71" spans="1:14" ht="13.8" x14ac:dyDescent="0.25"/>
    <row r="72" spans="1:14" ht="13.8" x14ac:dyDescent="0.25"/>
    <row r="73" spans="1:14" ht="13.8" x14ac:dyDescent="0.25"/>
    <row r="74" spans="1:14" ht="13.8" x14ac:dyDescent="0.25"/>
    <row r="75" spans="1:14" ht="13.8" x14ac:dyDescent="0.25"/>
    <row r="76" spans="1:14" ht="13.8" x14ac:dyDescent="0.25"/>
    <row r="77" spans="1:14" ht="13.8" x14ac:dyDescent="0.25"/>
    <row r="78" spans="1:14" ht="13.8" x14ac:dyDescent="0.25"/>
    <row r="79" spans="1:14" ht="13.8" x14ac:dyDescent="0.25"/>
    <row r="80" spans="1:14" ht="13.8" x14ac:dyDescent="0.25"/>
  </sheetData>
  <sheetProtection selectLockedCells="1" selectUnlockedCells="1"/>
  <mergeCells count="5">
    <mergeCell ref="B3:N3"/>
    <mergeCell ref="B4:N4"/>
    <mergeCell ref="B5:N5"/>
    <mergeCell ref="B9:N9"/>
    <mergeCell ref="B23:N23"/>
  </mergeCells>
  <printOptions horizontalCentered="1"/>
  <pageMargins left="0.32" right="0.17" top="0.43" bottom="0.43" header="0.31496062992125984" footer="0.31496062992125984"/>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3:XFC53"/>
  <sheetViews>
    <sheetView topLeftCell="A9" workbookViewId="0"/>
  </sheetViews>
  <sheetFormatPr baseColWidth="10" defaultColWidth="0" defaultRowHeight="13.8" x14ac:dyDescent="0.25"/>
  <cols>
    <col min="1" max="1" width="4" style="80" customWidth="1"/>
    <col min="2" max="2" width="41.6640625" style="80" bestFit="1" customWidth="1"/>
    <col min="3" max="3" width="13.6640625" style="80" bestFit="1" customWidth="1"/>
    <col min="4" max="8" width="14.88671875" style="80" bestFit="1" customWidth="1"/>
    <col min="9" max="9" width="13.6640625" style="322" bestFit="1" customWidth="1"/>
    <col min="10" max="10" width="4.5546875" style="80" customWidth="1"/>
    <col min="11" max="16383" width="11.44140625" style="80" hidden="1"/>
    <col min="16384" max="16384" width="8.33203125" style="80" hidden="1" customWidth="1"/>
  </cols>
  <sheetData>
    <row r="3" spans="2:9" ht="24.6" x14ac:dyDescent="0.4">
      <c r="B3" s="480" t="str">
        <f>+Balance!B3:F3</f>
        <v>K-LISTO</v>
      </c>
      <c r="C3" s="481"/>
      <c r="D3" s="481"/>
      <c r="E3" s="481"/>
      <c r="F3" s="481"/>
      <c r="G3" s="481"/>
      <c r="H3" s="481"/>
      <c r="I3" s="481"/>
    </row>
    <row r="4" spans="2:9" ht="21" x14ac:dyDescent="0.4">
      <c r="B4" s="482" t="s">
        <v>189</v>
      </c>
      <c r="C4" s="483"/>
      <c r="D4" s="483"/>
      <c r="E4" s="483"/>
      <c r="F4" s="483"/>
      <c r="G4" s="483"/>
      <c r="H4" s="483"/>
      <c r="I4" s="483"/>
    </row>
    <row r="5" spans="2:9" x14ac:dyDescent="0.25">
      <c r="B5" s="484" t="str">
        <f>+Balance!B5</f>
        <v>(Valores en pesos)</v>
      </c>
      <c r="C5" s="485"/>
      <c r="D5" s="485"/>
      <c r="E5" s="485"/>
      <c r="F5" s="485"/>
      <c r="G5" s="485"/>
      <c r="H5" s="485"/>
      <c r="I5" s="485"/>
    </row>
    <row r="6" spans="2:9" ht="19.95" customHeight="1" x14ac:dyDescent="0.25">
      <c r="B6" s="106"/>
      <c r="C6" s="79">
        <f>+'Vertical Balance'!C6</f>
        <v>2018</v>
      </c>
      <c r="D6" s="79">
        <f>+'Vertical Balance'!D6</f>
        <v>2019</v>
      </c>
      <c r="E6" s="79">
        <v>2020</v>
      </c>
      <c r="F6" s="79">
        <f>+'Vertical Balance'!F6</f>
        <v>2021</v>
      </c>
      <c r="G6" s="79">
        <f>+'Vertical Balance'!G6</f>
        <v>2022</v>
      </c>
      <c r="H6" s="79">
        <f>+'Vertical Balance'!H6</f>
        <v>2023</v>
      </c>
      <c r="I6" s="79" t="s">
        <v>195</v>
      </c>
    </row>
    <row r="7" spans="2:9" ht="19.95" customHeight="1" x14ac:dyDescent="0.25">
      <c r="B7" s="119"/>
      <c r="C7" s="120"/>
      <c r="D7" s="120"/>
      <c r="E7" s="120"/>
      <c r="F7" s="120"/>
      <c r="G7" s="120"/>
      <c r="H7" s="120"/>
      <c r="I7" s="120"/>
    </row>
    <row r="8" spans="2:9" ht="19.95" customHeight="1" x14ac:dyDescent="0.25">
      <c r="B8" s="106" t="str">
        <f>+Variables!C57</f>
        <v>Ventas (Ingresos operativos)</v>
      </c>
      <c r="C8" s="116">
        <f>+Variables!D57</f>
        <v>8762199234</v>
      </c>
      <c r="D8" s="116">
        <f>+Variables!E57</f>
        <v>11725525591</v>
      </c>
      <c r="E8" s="116">
        <f>+Variables!F57</f>
        <v>19221204200</v>
      </c>
      <c r="F8" s="116">
        <f>+Variables!G57</f>
        <v>22668489146</v>
      </c>
      <c r="G8" s="116">
        <f>+Variables!H57</f>
        <v>29057600090</v>
      </c>
      <c r="H8" s="116">
        <f>+Variables!I57</f>
        <v>34573914366</v>
      </c>
      <c r="I8" s="375">
        <v>18906263.539999999</v>
      </c>
    </row>
    <row r="9" spans="2:9" ht="19.95" customHeight="1" x14ac:dyDescent="0.25">
      <c r="B9" s="121"/>
      <c r="C9" s="83"/>
      <c r="D9" s="83"/>
      <c r="E9" s="83"/>
      <c r="F9" s="83"/>
      <c r="G9" s="83"/>
      <c r="H9" s="83"/>
      <c r="I9" s="376"/>
    </row>
    <row r="10" spans="2:9" ht="19.95" customHeight="1" x14ac:dyDescent="0.25">
      <c r="B10" s="121" t="str">
        <f>+Variables!C58</f>
        <v>Costo de ventas</v>
      </c>
      <c r="C10" s="83">
        <f>+Variables!D58</f>
        <v>4499655119</v>
      </c>
      <c r="D10" s="83">
        <f>+Variables!E58</f>
        <v>6551066239</v>
      </c>
      <c r="E10" s="83">
        <f>+Variables!F58</f>
        <v>10619635810</v>
      </c>
      <c r="F10" s="83">
        <f>+Variables!G58</f>
        <v>13922233454</v>
      </c>
      <c r="G10" s="83">
        <f>+Variables!H58</f>
        <v>18723224652</v>
      </c>
      <c r="H10" s="83">
        <f>+Variables!I58</f>
        <v>23385605589</v>
      </c>
      <c r="I10" s="376">
        <v>11508292.74</v>
      </c>
    </row>
    <row r="11" spans="2:9" ht="19.95" customHeight="1" x14ac:dyDescent="0.25">
      <c r="B11" s="121"/>
      <c r="C11" s="83"/>
      <c r="D11" s="83"/>
      <c r="E11" s="83"/>
      <c r="F11" s="83"/>
      <c r="G11" s="83"/>
      <c r="H11" s="83"/>
      <c r="I11" s="376"/>
    </row>
    <row r="12" spans="2:9" ht="19.95" customHeight="1" x14ac:dyDescent="0.25">
      <c r="B12" s="122" t="s">
        <v>191</v>
      </c>
      <c r="C12" s="85">
        <f>C8-C10</f>
        <v>4262544115</v>
      </c>
      <c r="D12" s="85">
        <f>D8-D10</f>
        <v>5174459352</v>
      </c>
      <c r="E12" s="85">
        <f>E8-E10</f>
        <v>8601568390</v>
      </c>
      <c r="F12" s="85">
        <f>F8-F10</f>
        <v>8746255692</v>
      </c>
      <c r="G12" s="85">
        <f t="shared" ref="G12:H12" si="0">G8-G10</f>
        <v>10334375438</v>
      </c>
      <c r="H12" s="85">
        <f t="shared" si="0"/>
        <v>11188308777</v>
      </c>
      <c r="I12" s="377">
        <f>I8-I10</f>
        <v>7397970.7999999989</v>
      </c>
    </row>
    <row r="13" spans="2:9" ht="19.95" customHeight="1" x14ac:dyDescent="0.25">
      <c r="B13" s="121"/>
      <c r="C13" s="83"/>
      <c r="D13" s="83"/>
      <c r="E13" s="83"/>
      <c r="F13" s="83"/>
      <c r="G13" s="83"/>
      <c r="H13" s="83"/>
      <c r="I13" s="376"/>
    </row>
    <row r="14" spans="2:9" ht="19.95" customHeight="1" x14ac:dyDescent="0.25">
      <c r="B14" s="121" t="str">
        <f>+Variables!C59</f>
        <v>Gastos de administración</v>
      </c>
      <c r="C14" s="83">
        <f>+Variables!D59</f>
        <v>988722886.32150304</v>
      </c>
      <c r="D14" s="83">
        <f>+Variables!E59</f>
        <v>1198087100.4407773</v>
      </c>
      <c r="E14" s="83">
        <f>+Variables!F59</f>
        <v>1502430504.2454386</v>
      </c>
      <c r="F14" s="83">
        <f>+Variables!G59</f>
        <v>1744225070.5946362</v>
      </c>
      <c r="G14" s="83">
        <f>+Variables!H59</f>
        <v>2327490371.9545426</v>
      </c>
      <c r="H14" s="83">
        <f>+Variables!I59</f>
        <v>2557165389.3303685</v>
      </c>
      <c r="I14" s="376">
        <f>5643829.98+25983.86</f>
        <v>5669813.8400000008</v>
      </c>
    </row>
    <row r="15" spans="2:9" ht="19.95" customHeight="1" x14ac:dyDescent="0.25">
      <c r="B15" s="121" t="str">
        <f>+Variables!C60</f>
        <v>Gastos de ventas</v>
      </c>
      <c r="C15" s="83">
        <f>+Variables!D60</f>
        <v>2331647080.4849558</v>
      </c>
      <c r="D15" s="83">
        <f>+Variables!E60</f>
        <v>2832910792.5185809</v>
      </c>
      <c r="E15" s="83">
        <f>+Variables!F60</f>
        <v>3552539367.8975072</v>
      </c>
      <c r="F15" s="83">
        <f>+Variables!G60</f>
        <v>4124269450.2354164</v>
      </c>
      <c r="G15" s="83">
        <f>+Variables!H60</f>
        <v>5503416731.3606243</v>
      </c>
      <c r="H15" s="83">
        <f>+Variables!I60</f>
        <v>6046489797.7983608</v>
      </c>
      <c r="I15" s="376"/>
    </row>
    <row r="16" spans="2:9" ht="19.95" customHeight="1" x14ac:dyDescent="0.25">
      <c r="B16" s="123"/>
      <c r="C16" s="83"/>
      <c r="D16" s="83"/>
      <c r="E16" s="83"/>
      <c r="F16" s="83"/>
      <c r="G16" s="83"/>
      <c r="H16" s="83"/>
      <c r="I16" s="376"/>
    </row>
    <row r="17" spans="2:10" ht="19.95" customHeight="1" x14ac:dyDescent="0.25">
      <c r="B17" s="122" t="s">
        <v>192</v>
      </c>
      <c r="C17" s="85">
        <f>+C12-C14-C15</f>
        <v>942174148.19354105</v>
      </c>
      <c r="D17" s="85">
        <f>+D12-D14-D15</f>
        <v>1143461459.0406418</v>
      </c>
      <c r="E17" s="85">
        <f>+E12-E14-E15</f>
        <v>3546598517.8570542</v>
      </c>
      <c r="F17" s="85">
        <f>+F12-F14-F15</f>
        <v>2877761171.1699476</v>
      </c>
      <c r="G17" s="85">
        <f t="shared" ref="G17" si="1">+G12-G14-G15</f>
        <v>2503468334.6848335</v>
      </c>
      <c r="H17" s="85">
        <f>+H12-H14-H15</f>
        <v>2584653589.8712711</v>
      </c>
      <c r="I17" s="377">
        <f>+I12-I14-I15</f>
        <v>1728156.9599999981</v>
      </c>
      <c r="J17" s="86"/>
    </row>
    <row r="18" spans="2:10" ht="19.95" customHeight="1" x14ac:dyDescent="0.25">
      <c r="B18" s="123"/>
      <c r="C18" s="83"/>
      <c r="D18" s="83"/>
      <c r="E18" s="83"/>
      <c r="F18" s="83"/>
      <c r="G18" s="83"/>
      <c r="H18" s="83"/>
      <c r="I18" s="376"/>
      <c r="J18" s="86"/>
    </row>
    <row r="19" spans="2:10" ht="19.95" customHeight="1" x14ac:dyDescent="0.25">
      <c r="B19" s="121" t="str">
        <f>+Variables!C61</f>
        <v>Ingresos financieros</v>
      </c>
      <c r="C19" s="83">
        <f>+Variables!D61</f>
        <v>50865002</v>
      </c>
      <c r="D19" s="83">
        <f>+Variables!E61</f>
        <v>84010640</v>
      </c>
      <c r="E19" s="83">
        <f>+Variables!F61</f>
        <v>95366087</v>
      </c>
      <c r="F19" s="83">
        <f>+Variables!G61</f>
        <v>283713892</v>
      </c>
      <c r="G19" s="83">
        <f>+Variables!H61</f>
        <v>244336070</v>
      </c>
      <c r="H19" s="83">
        <f>+Variables!I61</f>
        <v>183151958</v>
      </c>
      <c r="I19" s="376">
        <v>77353.69</v>
      </c>
    </row>
    <row r="20" spans="2:10" ht="19.95" customHeight="1" x14ac:dyDescent="0.25">
      <c r="B20" s="121" t="str">
        <f>+Variables!C62</f>
        <v>Otros ingresos no operativos</v>
      </c>
      <c r="C20" s="83">
        <f>+Variables!D62</f>
        <v>172509854</v>
      </c>
      <c r="D20" s="83">
        <f>+Variables!E62</f>
        <v>191162383</v>
      </c>
      <c r="E20" s="83">
        <f>+Variables!F62</f>
        <v>240884681</v>
      </c>
      <c r="F20" s="83">
        <f>+Variables!G62</f>
        <v>182662123</v>
      </c>
      <c r="G20" s="83">
        <f>+Variables!H62</f>
        <v>173243583</v>
      </c>
      <c r="H20" s="83">
        <f>+Variables!I62</f>
        <v>200666616</v>
      </c>
      <c r="I20" s="376">
        <v>95317.82</v>
      </c>
    </row>
    <row r="21" spans="2:10" ht="19.95" customHeight="1" x14ac:dyDescent="0.25">
      <c r="B21" s="121" t="str">
        <f>+Variables!C63</f>
        <v>Gastos financieros</v>
      </c>
      <c r="C21" s="83">
        <f>+Variables!D63</f>
        <v>170429359.62826386</v>
      </c>
      <c r="D21" s="83">
        <f>+Variables!E63</f>
        <v>207403497.59821624</v>
      </c>
      <c r="E21" s="83">
        <f>+Variables!F63</f>
        <v>260089054.76414385</v>
      </c>
      <c r="F21" s="83">
        <f>+Variables!G63</f>
        <v>301946644.86975276</v>
      </c>
      <c r="G21" s="83">
        <f>+Variables!H63</f>
        <v>402916986.24578196</v>
      </c>
      <c r="H21" s="83">
        <f>+Variables!I63</f>
        <v>629826349.00000024</v>
      </c>
      <c r="I21" s="376">
        <v>896035.67</v>
      </c>
    </row>
    <row r="22" spans="2:10" ht="19.95" customHeight="1" x14ac:dyDescent="0.25">
      <c r="B22" s="121" t="str">
        <f>+Variables!C64</f>
        <v>Otros egresos no operativos</v>
      </c>
      <c r="C22" s="83">
        <f>+Variables!D64</f>
        <v>124808707.56527698</v>
      </c>
      <c r="D22" s="83">
        <f>+Variables!E64</f>
        <v>146754059.44242641</v>
      </c>
      <c r="E22" s="83">
        <f>+Variables!F64</f>
        <v>184033177.09291098</v>
      </c>
      <c r="F22" s="83">
        <f>+Variables!G64</f>
        <v>213650668.3001956</v>
      </c>
      <c r="G22" s="83">
        <f>+Variables!H64</f>
        <v>285095015.43905175</v>
      </c>
      <c r="H22" s="83">
        <f>+Variables!I64</f>
        <v>126078164.8712714</v>
      </c>
      <c r="I22" s="376">
        <v>2696.01</v>
      </c>
    </row>
    <row r="23" spans="2:10" ht="19.95" customHeight="1" x14ac:dyDescent="0.25">
      <c r="B23" s="121"/>
      <c r="C23" s="83"/>
      <c r="D23" s="83"/>
      <c r="E23" s="83"/>
      <c r="F23" s="83"/>
      <c r="G23" s="83"/>
      <c r="H23" s="83"/>
      <c r="I23" s="376"/>
    </row>
    <row r="24" spans="2:10" ht="19.95" customHeight="1" x14ac:dyDescent="0.25">
      <c r="B24" s="122" t="s">
        <v>193</v>
      </c>
      <c r="C24" s="85">
        <f>+C17+C19+C20-C21-C22</f>
        <v>870310937.00000024</v>
      </c>
      <c r="D24" s="85">
        <f>+D17+D19+D20-D21-D22</f>
        <v>1064476924.999999</v>
      </c>
      <c r="E24" s="85">
        <f>+E17+E19+E20-E21-E22</f>
        <v>3438727053.9999995</v>
      </c>
      <c r="F24" s="85">
        <f>+F17+F19+F20-F21-F22</f>
        <v>2828539872.999999</v>
      </c>
      <c r="G24" s="85">
        <f t="shared" ref="G24:H24" si="2">+G17+G19+G20-G21-G22</f>
        <v>2233035986</v>
      </c>
      <c r="H24" s="85">
        <f t="shared" si="2"/>
        <v>2212567649.9999995</v>
      </c>
      <c r="I24" s="377">
        <f>+I17+I19+I20-I21-I22</f>
        <v>1002096.7899999981</v>
      </c>
    </row>
    <row r="25" spans="2:10" ht="19.95" customHeight="1" x14ac:dyDescent="0.25">
      <c r="B25" s="121"/>
      <c r="C25" s="83"/>
      <c r="D25" s="83"/>
      <c r="E25" s="83"/>
      <c r="F25" s="83"/>
      <c r="G25" s="83"/>
      <c r="H25" s="83"/>
      <c r="I25" s="376"/>
    </row>
    <row r="26" spans="2:10" ht="19.95" customHeight="1" x14ac:dyDescent="0.25">
      <c r="B26" s="121" t="str">
        <f>+Variables!C65</f>
        <v>Provisión impuesto de renta</v>
      </c>
      <c r="C26" s="83">
        <f>+Variables!D65</f>
        <v>283419414.78666627</v>
      </c>
      <c r="D26" s="83">
        <f>+Variables!E65</f>
        <v>342668000</v>
      </c>
      <c r="E26" s="83">
        <f>+Variables!F65</f>
        <v>830019447</v>
      </c>
      <c r="F26" s="83">
        <f>+Variables!G65</f>
        <v>621683650</v>
      </c>
      <c r="G26" s="83">
        <f>+Variables!H65</f>
        <v>966955666.26950216</v>
      </c>
      <c r="H26" s="83">
        <f>+Variables!I65</f>
        <v>1150523178.0247908</v>
      </c>
      <c r="I26" s="376">
        <v>262481.98</v>
      </c>
    </row>
    <row r="27" spans="2:10" ht="19.95" customHeight="1" x14ac:dyDescent="0.25">
      <c r="B27" s="121"/>
      <c r="C27" s="83"/>
      <c r="D27" s="83"/>
      <c r="E27" s="83"/>
      <c r="F27" s="83"/>
      <c r="G27" s="83"/>
      <c r="H27" s="83"/>
      <c r="I27" s="376"/>
    </row>
    <row r="28" spans="2:10" ht="19.95" customHeight="1" x14ac:dyDescent="0.25">
      <c r="B28" s="106" t="s">
        <v>194</v>
      </c>
      <c r="C28" s="85">
        <f>C24-C26</f>
        <v>586891522.21333396</v>
      </c>
      <c r="D28" s="85">
        <f>D24-D26</f>
        <v>721808924.99999905</v>
      </c>
      <c r="E28" s="85">
        <f>E24-E26</f>
        <v>2608707606.9999995</v>
      </c>
      <c r="F28" s="85">
        <f>F24-F26</f>
        <v>2206856222.999999</v>
      </c>
      <c r="G28" s="85">
        <f t="shared" ref="G28:H28" si="3">G24-G26</f>
        <v>1266080319.7304978</v>
      </c>
      <c r="H28" s="85">
        <f t="shared" si="3"/>
        <v>1062044471.9752088</v>
      </c>
      <c r="I28" s="377">
        <f>I24-I26</f>
        <v>739614.80999999808</v>
      </c>
      <c r="J28" s="321"/>
    </row>
    <row r="51" spans="3:9" x14ac:dyDescent="0.25">
      <c r="C51" s="124"/>
      <c r="D51" s="124"/>
      <c r="E51" s="124"/>
      <c r="F51" s="124"/>
      <c r="G51" s="124"/>
      <c r="H51" s="124"/>
      <c r="I51" s="378"/>
    </row>
    <row r="52" spans="3:9" x14ac:dyDescent="0.25">
      <c r="C52" s="124"/>
      <c r="D52" s="124"/>
      <c r="E52" s="124"/>
      <c r="F52" s="124"/>
      <c r="G52" s="124"/>
      <c r="H52" s="124"/>
      <c r="I52" s="378"/>
    </row>
    <row r="53" spans="3:9" x14ac:dyDescent="0.25">
      <c r="C53" s="124"/>
      <c r="D53" s="124"/>
      <c r="E53" s="124"/>
      <c r="F53" s="124"/>
      <c r="G53" s="124"/>
      <c r="H53" s="124"/>
      <c r="I53" s="378"/>
    </row>
  </sheetData>
  <sheetProtection selectLockedCells="1" selectUnlockedCells="1"/>
  <mergeCells count="3">
    <mergeCell ref="B3:I3"/>
    <mergeCell ref="B4:I4"/>
    <mergeCell ref="B5:I5"/>
  </mergeCells>
  <phoneticPr fontId="5" type="noConversion"/>
  <printOptions horizontalCentered="1"/>
  <pageMargins left="0.70866141732283472" right="0.70866141732283472" top="1.1417322834645669" bottom="0.74803149606299213" header="0.31496062992125984" footer="0.31496062992125984"/>
  <pageSetup scale="11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J29"/>
  <sheetViews>
    <sheetView workbookViewId="0"/>
  </sheetViews>
  <sheetFormatPr baseColWidth="10" defaultColWidth="0" defaultRowHeight="13.8" zeroHeight="1" x14ac:dyDescent="0.25"/>
  <cols>
    <col min="1" max="1" width="3.5546875" style="109" customWidth="1"/>
    <col min="2" max="2" width="41.6640625" style="109" bestFit="1" customWidth="1"/>
    <col min="3" max="8" width="12.5546875" style="379" customWidth="1"/>
    <col min="9" max="9" width="13.33203125" style="379" bestFit="1" customWidth="1"/>
    <col min="10" max="10" width="4.5546875" style="109" customWidth="1"/>
    <col min="11" max="16384" width="11.44140625" style="109" hidden="1"/>
  </cols>
  <sheetData>
    <row r="1" spans="1:9" x14ac:dyDescent="0.25"/>
    <row r="2" spans="1:9" x14ac:dyDescent="0.25"/>
    <row r="3" spans="1:9" ht="26.25" customHeight="1" x14ac:dyDescent="0.4">
      <c r="B3" s="480" t="str">
        <f>+'Estado Resultados'!B3:F3</f>
        <v>K-LISTO</v>
      </c>
      <c r="C3" s="481"/>
      <c r="D3" s="481"/>
      <c r="E3" s="481"/>
      <c r="F3" s="481"/>
      <c r="G3" s="481"/>
      <c r="H3" s="481"/>
      <c r="I3" s="481"/>
    </row>
    <row r="4" spans="1:9" x14ac:dyDescent="0.25">
      <c r="A4" s="80"/>
      <c r="B4" s="486" t="s">
        <v>209</v>
      </c>
      <c r="C4" s="487"/>
      <c r="D4" s="487"/>
      <c r="E4" s="487"/>
      <c r="F4" s="487"/>
      <c r="G4" s="487"/>
      <c r="H4" s="487"/>
      <c r="I4" s="487"/>
    </row>
    <row r="5" spans="1:9" ht="14.4" thickBot="1" x14ac:dyDescent="0.3">
      <c r="A5" s="80"/>
      <c r="B5" s="252"/>
      <c r="C5" s="380"/>
      <c r="D5" s="380"/>
      <c r="E5" s="380"/>
      <c r="F5" s="381"/>
      <c r="G5" s="224"/>
      <c r="H5" s="224"/>
      <c r="I5" s="224"/>
    </row>
    <row r="6" spans="1:9" ht="15" customHeight="1" x14ac:dyDescent="0.25">
      <c r="B6" s="125"/>
      <c r="C6" s="126">
        <f>+'Estado Resultados'!C6</f>
        <v>2018</v>
      </c>
      <c r="D6" s="126">
        <f>+'Estado Resultados'!D6</f>
        <v>2019</v>
      </c>
      <c r="E6" s="126">
        <v>2020</v>
      </c>
      <c r="F6" s="126">
        <f>+'Estado Resultados'!F6</f>
        <v>2021</v>
      </c>
      <c r="G6" s="126">
        <f>+'Estado Resultados'!G6</f>
        <v>2022</v>
      </c>
      <c r="H6" s="126">
        <f>+'Estado Resultados'!H6</f>
        <v>2023</v>
      </c>
      <c r="I6" s="126" t="s">
        <v>195</v>
      </c>
    </row>
    <row r="7" spans="1:9" ht="15" customHeight="1" x14ac:dyDescent="0.25">
      <c r="B7" s="119"/>
      <c r="C7" s="120"/>
      <c r="D7" s="120"/>
      <c r="E7" s="120"/>
      <c r="F7" s="120"/>
      <c r="G7" s="327"/>
      <c r="H7" s="327"/>
      <c r="I7" s="327"/>
    </row>
    <row r="8" spans="1:9" ht="15" customHeight="1" x14ac:dyDescent="0.25">
      <c r="B8" s="106" t="str">
        <f>+'Estado Resultados'!B8</f>
        <v>Ventas (Ingresos operativos)</v>
      </c>
      <c r="C8" s="382">
        <f>+'Estado Resultados'!C8/'Estado Resultados'!C8</f>
        <v>1</v>
      </c>
      <c r="D8" s="382">
        <f>+'Estado Resultados'!D8/'Estado Resultados'!D8</f>
        <v>1</v>
      </c>
      <c r="E8" s="382">
        <f>+'Estado Resultados'!E8/'Estado Resultados'!E8</f>
        <v>1</v>
      </c>
      <c r="F8" s="382">
        <f>+'Estado Resultados'!F8/'Estado Resultados'!F8</f>
        <v>1</v>
      </c>
      <c r="G8" s="382">
        <f>+'Estado Resultados'!G8/'Estado Resultados'!G8</f>
        <v>1</v>
      </c>
      <c r="H8" s="382">
        <f>+'Estado Resultados'!H8/'Estado Resultados'!H8</f>
        <v>1</v>
      </c>
      <c r="I8" s="382">
        <f>+'Estado Resultados'!I8/'Estado Resultados'!I8</f>
        <v>1</v>
      </c>
    </row>
    <row r="9" spans="1:9" ht="15" customHeight="1" x14ac:dyDescent="0.25">
      <c r="B9" s="121"/>
      <c r="C9" s="383"/>
      <c r="D9" s="383"/>
      <c r="E9" s="383"/>
      <c r="F9" s="383"/>
      <c r="G9" s="383"/>
      <c r="H9" s="383"/>
      <c r="I9" s="383"/>
    </row>
    <row r="10" spans="1:9" ht="15" customHeight="1" x14ac:dyDescent="0.25">
      <c r="B10" s="121" t="str">
        <f>+'Estado Resultados'!B10</f>
        <v>Costo de ventas</v>
      </c>
      <c r="C10" s="383">
        <f>+'Estado Resultados'!C10/'Estado Resultados'!C$8</f>
        <v>0.51353033625850097</v>
      </c>
      <c r="D10" s="383">
        <f>+'Estado Resultados'!D10/'Estado Resultados'!D$8</f>
        <v>0.55870128704749167</v>
      </c>
      <c r="E10" s="383">
        <f>+'Estado Resultados'!E10/'Estado Resultados'!E$8</f>
        <v>0.55249586339652956</v>
      </c>
      <c r="F10" s="383">
        <f>+'Estado Resultados'!F10/'Estado Resultados'!F$8</f>
        <v>0.61416680063376294</v>
      </c>
      <c r="G10" s="383">
        <f>+'Estado Resultados'!G10/'Estado Resultados'!G$8</f>
        <v>0.64434862459420683</v>
      </c>
      <c r="H10" s="383">
        <f>+'Estado Resultados'!H10/'Estado Resultados'!H$8</f>
        <v>0.67639450197740447</v>
      </c>
      <c r="I10" s="383">
        <f>+'Estado Resultados'!I10/'Estado Resultados'!I$8</f>
        <v>0.60870265114266997</v>
      </c>
    </row>
    <row r="11" spans="1:9" ht="15" customHeight="1" x14ac:dyDescent="0.25">
      <c r="B11" s="121"/>
      <c r="C11" s="383"/>
      <c r="D11" s="383"/>
      <c r="E11" s="383"/>
      <c r="F11" s="383"/>
      <c r="G11" s="383"/>
      <c r="H11" s="383"/>
      <c r="I11" s="383"/>
    </row>
    <row r="12" spans="1:9" ht="15" customHeight="1" x14ac:dyDescent="0.25">
      <c r="B12" s="106" t="str">
        <f>+'Estado Resultados'!B12</f>
        <v>UTILIDAD BRUTA</v>
      </c>
      <c r="C12" s="382">
        <f>+'Estado Resultados'!C12/'Estado Resultados'!C$8</f>
        <v>0.48646966374149897</v>
      </c>
      <c r="D12" s="382">
        <f>+'Estado Resultados'!D12/'Estado Resultados'!D$8</f>
        <v>0.44129871295250839</v>
      </c>
      <c r="E12" s="382">
        <f>+'Estado Resultados'!E12/'Estado Resultados'!E$8</f>
        <v>0.44750413660347044</v>
      </c>
      <c r="F12" s="382">
        <f>+'Estado Resultados'!F12/'Estado Resultados'!F$8</f>
        <v>0.38583319936623711</v>
      </c>
      <c r="G12" s="382">
        <f>+'Estado Resultados'!G12/'Estado Resultados'!G$8</f>
        <v>0.35565137540579317</v>
      </c>
      <c r="H12" s="382">
        <f>+'Estado Resultados'!H12/'Estado Resultados'!H$8</f>
        <v>0.32360549802259553</v>
      </c>
      <c r="I12" s="382">
        <f>+'Estado Resultados'!I12/'Estado Resultados'!I$8</f>
        <v>0.39129734885733003</v>
      </c>
    </row>
    <row r="13" spans="1:9" ht="15" customHeight="1" x14ac:dyDescent="0.25">
      <c r="B13" s="121"/>
      <c r="C13" s="383"/>
      <c r="D13" s="383"/>
      <c r="E13" s="383"/>
      <c r="F13" s="383"/>
      <c r="G13" s="383"/>
      <c r="H13" s="383"/>
      <c r="I13" s="383"/>
    </row>
    <row r="14" spans="1:9" ht="15" customHeight="1" x14ac:dyDescent="0.25">
      <c r="B14" s="121" t="str">
        <f>+'Estado Resultados'!B14</f>
        <v>Gastos de administración</v>
      </c>
      <c r="C14" s="383">
        <f>+'Estado Resultados'!C14/'Estado Resultados'!C$8</f>
        <v>0.11283958055700871</v>
      </c>
      <c r="D14" s="383">
        <f>+'Estado Resultados'!D14/'Estado Resultados'!D$8</f>
        <v>0.10217768842365382</v>
      </c>
      <c r="E14" s="383">
        <f>+'Estado Resultados'!E14/'Estado Resultados'!E$8</f>
        <v>7.816526418492753E-2</v>
      </c>
      <c r="F14" s="383">
        <f>+'Estado Resultados'!F14/'Estado Resultados'!F$8</f>
        <v>7.6944919414817542E-2</v>
      </c>
      <c r="G14" s="383">
        <f>+'Estado Resultados'!G14/'Estado Resultados'!G$8</f>
        <v>8.0099194866252374E-2</v>
      </c>
      <c r="H14" s="383">
        <f>+'Estado Resultados'!H14/'Estado Resultados'!H$8</f>
        <v>7.3962275785731849E-2</v>
      </c>
      <c r="I14" s="383">
        <f>+'Estado Resultados'!I14/'Estado Resultados'!I$8</f>
        <v>0.29989076519558561</v>
      </c>
    </row>
    <row r="15" spans="1:9" ht="15" customHeight="1" x14ac:dyDescent="0.25">
      <c r="B15" s="121" t="str">
        <f>+'Estado Resultados'!B15</f>
        <v>Gastos de ventas</v>
      </c>
      <c r="C15" s="383">
        <f>+'Estado Resultados'!C15/'Estado Resultados'!C$8</f>
        <v>0.26610295180660298</v>
      </c>
      <c r="D15" s="383">
        <f>+'Estado Resultados'!D15/'Estado Resultados'!D$8</f>
        <v>0.24160203058982696</v>
      </c>
      <c r="E15" s="383">
        <f>+'Estado Resultados'!E15/'Estado Resultados'!E$8</f>
        <v>0.18482397517516136</v>
      </c>
      <c r="F15" s="383">
        <f>+'Estado Resultados'!F15/'Estado Resultados'!F$8</f>
        <v>0.18193843549397601</v>
      </c>
      <c r="G15" s="383">
        <f>+'Estado Resultados'!G15/'Estado Resultados'!G$8</f>
        <v>0.18939680890076646</v>
      </c>
      <c r="H15" s="383">
        <f>+'Estado Resultados'!H15/'Estado Resultados'!H$8</f>
        <v>0.17488589037938038</v>
      </c>
      <c r="I15" s="383">
        <f>+'Estado Resultados'!I15/'Estado Resultados'!I$8</f>
        <v>0</v>
      </c>
    </row>
    <row r="16" spans="1:9" ht="15" customHeight="1" x14ac:dyDescent="0.25">
      <c r="B16" s="385" t="s">
        <v>210</v>
      </c>
      <c r="C16" s="386">
        <f>+C14+C15</f>
        <v>0.37894253236361169</v>
      </c>
      <c r="D16" s="386">
        <f>+D14+D15</f>
        <v>0.34377971901348081</v>
      </c>
      <c r="E16" s="386">
        <f>+E14+E15</f>
        <v>0.26298923936008889</v>
      </c>
      <c r="F16" s="386">
        <f>+F14+F15</f>
        <v>0.25888335490879355</v>
      </c>
      <c r="G16" s="386">
        <f t="shared" ref="G16:H16" si="0">+G14+G15</f>
        <v>0.26949600376701882</v>
      </c>
      <c r="H16" s="386">
        <f t="shared" si="0"/>
        <v>0.24884816616511224</v>
      </c>
      <c r="I16" s="386">
        <f>+I14+I15</f>
        <v>0.29989076519558561</v>
      </c>
    </row>
    <row r="17" spans="2:9" ht="15" customHeight="1" x14ac:dyDescent="0.25">
      <c r="B17" s="106" t="str">
        <f>+'Estado Resultados'!B17</f>
        <v>UTILIDAD OPERATIVA (U.A.I.I)</v>
      </c>
      <c r="C17" s="382">
        <f>+'Estado Resultados'!C17/'Estado Resultados'!C$8</f>
        <v>0.10752713137788725</v>
      </c>
      <c r="D17" s="382">
        <f>+'Estado Resultados'!D17/'Estado Resultados'!D$8</f>
        <v>9.7518993939027576E-2</v>
      </c>
      <c r="E17" s="382">
        <f>+'Estado Resultados'!E17/'Estado Resultados'!E$8</f>
        <v>0.18451489724338158</v>
      </c>
      <c r="F17" s="382">
        <f>+'Estado Resultados'!F17/'Estado Resultados'!F$8</f>
        <v>0.12694984445744356</v>
      </c>
      <c r="G17" s="382">
        <f>+'Estado Resultados'!G17/'Estado Resultados'!G$8</f>
        <v>8.6155371638774361E-2</v>
      </c>
      <c r="H17" s="382">
        <f>+'Estado Resultados'!H17/'Estado Resultados'!H$8</f>
        <v>7.4757331857483289E-2</v>
      </c>
      <c r="I17" s="382">
        <f>+'Estado Resultados'!I17/'Estado Resultados'!I$8</f>
        <v>9.1406583661744423E-2</v>
      </c>
    </row>
    <row r="18" spans="2:9" ht="15" customHeight="1" x14ac:dyDescent="0.25">
      <c r="B18" s="121"/>
      <c r="C18" s="383"/>
      <c r="D18" s="383"/>
      <c r="E18" s="383"/>
      <c r="F18" s="383"/>
      <c r="G18" s="383"/>
      <c r="H18" s="383"/>
      <c r="I18" s="383"/>
    </row>
    <row r="19" spans="2:9" ht="15" customHeight="1" x14ac:dyDescent="0.25">
      <c r="B19" s="121" t="str">
        <f>+'Estado Resultados'!B19</f>
        <v>Ingresos financieros</v>
      </c>
      <c r="C19" s="383">
        <f>+'Estado Resultados'!C19/'Estado Resultados'!C$8</f>
        <v>5.8050496960430102E-3</v>
      </c>
      <c r="D19" s="383">
        <f>+'Estado Resultados'!D19/'Estado Resultados'!D$8</f>
        <v>7.1647653956324903E-3</v>
      </c>
      <c r="E19" s="383">
        <f>+'Estado Resultados'!E19/'Estado Resultados'!E$8</f>
        <v>4.9615042849396503E-3</v>
      </c>
      <c r="F19" s="383">
        <f>+'Estado Resultados'!F19/'Estado Resultados'!F$8</f>
        <v>1.2515783040179505E-2</v>
      </c>
      <c r="G19" s="383">
        <f>+'Estado Resultados'!G19/'Estado Resultados'!G$8</f>
        <v>8.4086803192011308E-3</v>
      </c>
      <c r="H19" s="383">
        <f>+'Estado Resultados'!H19/'Estado Resultados'!H$8</f>
        <v>5.2974030091343001E-3</v>
      </c>
      <c r="I19" s="383">
        <f>+'Estado Resultados'!I19/'Estado Resultados'!I$8</f>
        <v>4.0914319128336875E-3</v>
      </c>
    </row>
    <row r="20" spans="2:9" ht="15" customHeight="1" x14ac:dyDescent="0.25">
      <c r="B20" s="121" t="str">
        <f>+'Estado Resultados'!B20</f>
        <v>Otros ingresos no operativos</v>
      </c>
      <c r="C20" s="383">
        <f>+'Estado Resultados'!C20/'Estado Resultados'!C$8</f>
        <v>1.9687962963751072E-2</v>
      </c>
      <c r="D20" s="383">
        <f>+'Estado Resultados'!D20/'Estado Resultados'!D$8</f>
        <v>1.6303097163228902E-2</v>
      </c>
      <c r="E20" s="383">
        <f>+'Estado Resultados'!E20/'Estado Resultados'!E$8</f>
        <v>1.2532236715949358E-2</v>
      </c>
      <c r="F20" s="383">
        <f>+'Estado Resultados'!F20/'Estado Resultados'!F$8</f>
        <v>8.0579751841216955E-3</v>
      </c>
      <c r="G20" s="383">
        <f>+'Estado Resultados'!G20/'Estado Resultados'!G$8</f>
        <v>5.962074722737366E-3</v>
      </c>
      <c r="H20" s="383">
        <f>+'Estado Resultados'!H20/'Estado Resultados'!H$8</f>
        <v>5.8039889228549612E-3</v>
      </c>
      <c r="I20" s="383">
        <f>+'Estado Resultados'!I20/'Estado Resultados'!I$8</f>
        <v>5.0416000918603512E-3</v>
      </c>
    </row>
    <row r="21" spans="2:9" ht="15" customHeight="1" x14ac:dyDescent="0.25">
      <c r="B21" s="121" t="str">
        <f>+'Estado Resultados'!B21</f>
        <v>Gastos financieros</v>
      </c>
      <c r="C21" s="383">
        <f>+'Estado Resultados'!C21/'Estado Resultados'!C$8</f>
        <v>1.9450523216471279E-2</v>
      </c>
      <c r="D21" s="383">
        <f>+'Estado Resultados'!D21/'Estado Resultados'!D$8</f>
        <v>1.7688204762216379E-2</v>
      </c>
      <c r="E21" s="383">
        <f>+'Estado Resultados'!E21/'Estado Resultados'!E$8</f>
        <v>1.3531361097768466E-2</v>
      </c>
      <c r="F21" s="383">
        <f>+'Estado Resultados'!F21/'Estado Resultados'!F$8</f>
        <v>1.332010452593543E-2</v>
      </c>
      <c r="G21" s="383">
        <f>+'Estado Resultados'!G21/'Estado Resultados'!G$8</f>
        <v>1.3866148098873569E-2</v>
      </c>
      <c r="H21" s="383">
        <f>+'Estado Resultados'!H21/'Estado Resultados'!H$8</f>
        <v>1.8216807687224786E-2</v>
      </c>
      <c r="I21" s="383">
        <f>+'Estado Resultados'!I21/'Estado Resultados'!I$8</f>
        <v>4.739358827323318E-2</v>
      </c>
    </row>
    <row r="22" spans="2:9" ht="15" customHeight="1" x14ac:dyDescent="0.25">
      <c r="B22" s="121" t="str">
        <f>+'Estado Resultados'!B22</f>
        <v>Otros egresos no operativos</v>
      </c>
      <c r="C22" s="383">
        <f>+'Estado Resultados'!C22/'Estado Resultados'!C$8</f>
        <v>1.4243993343700884E-2</v>
      </c>
      <c r="D22" s="383">
        <f>+'Estado Resultados'!D22/'Estado Resultados'!D$8</f>
        <v>1.2515776653548768E-2</v>
      </c>
      <c r="E22" s="383">
        <f>+'Estado Resultados'!E22/'Estado Resultados'!E$8</f>
        <v>9.574487382684951E-3</v>
      </c>
      <c r="F22" s="383">
        <f>+'Estado Resultados'!F22/'Estado Resultados'!F$8</f>
        <v>9.42500697440154E-3</v>
      </c>
      <c r="G22" s="383">
        <f>+'Estado Resultados'!G22/'Estado Resultados'!G$8</f>
        <v>9.8113751499101093E-3</v>
      </c>
      <c r="H22" s="383">
        <f>+'Estado Resultados'!H22/'Estado Resultados'!H$8</f>
        <v>3.6466268625706066E-3</v>
      </c>
      <c r="I22" s="383">
        <f>+'Estado Resultados'!I22/'Estado Resultados'!I$8</f>
        <v>1.425987739087657E-4</v>
      </c>
    </row>
    <row r="23" spans="2:9" ht="15" customHeight="1" x14ac:dyDescent="0.25">
      <c r="B23" s="121"/>
      <c r="C23" s="383"/>
      <c r="D23" s="383"/>
      <c r="E23" s="383"/>
      <c r="F23" s="383"/>
      <c r="G23" s="383"/>
      <c r="H23" s="383"/>
      <c r="I23" s="383"/>
    </row>
    <row r="24" spans="2:9" ht="15" customHeight="1" x14ac:dyDescent="0.25">
      <c r="B24" s="106" t="str">
        <f>+'Estado Resultados'!B24</f>
        <v>UTILIDAD ANTES DE IMPUESTOS (U.A.I)</v>
      </c>
      <c r="C24" s="382">
        <f>+'Estado Resultados'!C24/'Estado Resultados'!C$8</f>
        <v>9.9325627477509171E-2</v>
      </c>
      <c r="D24" s="382">
        <f>+'Estado Resultados'!D24/'Estado Resultados'!D$8</f>
        <v>9.0782875082123821E-2</v>
      </c>
      <c r="E24" s="382">
        <f>+'Estado Resultados'!E24/'Estado Resultados'!E$8</f>
        <v>0.17890278976381715</v>
      </c>
      <c r="F24" s="382">
        <f>+'Estado Resultados'!F24/'Estado Resultados'!F$8</f>
        <v>0.12477849118140778</v>
      </c>
      <c r="G24" s="382">
        <f>+'Estado Resultados'!G24/'Estado Resultados'!G$8</f>
        <v>7.6848603431929188E-2</v>
      </c>
      <c r="H24" s="382">
        <f>+'Estado Resultados'!H24/'Estado Resultados'!H$8</f>
        <v>6.3995289239677164E-2</v>
      </c>
      <c r="I24" s="382">
        <f>+'Estado Resultados'!I24/'Estado Resultados'!I$8</f>
        <v>5.3003428619296508E-2</v>
      </c>
    </row>
    <row r="25" spans="2:9" ht="15" customHeight="1" x14ac:dyDescent="0.25">
      <c r="B25" s="128"/>
      <c r="C25" s="384"/>
      <c r="D25" s="384"/>
      <c r="E25" s="384"/>
      <c r="F25" s="384"/>
      <c r="G25" s="384"/>
      <c r="H25" s="384"/>
      <c r="I25" s="384"/>
    </row>
    <row r="26" spans="2:9" ht="15" customHeight="1" x14ac:dyDescent="0.25">
      <c r="B26" s="121" t="str">
        <f>+'Estado Resultados'!B26</f>
        <v>Provisión impuesto de renta</v>
      </c>
      <c r="C26" s="383">
        <f>+'Estado Resultados'!C26/'Estado Resultados'!C$8</f>
        <v>3.2345693953969079E-2</v>
      </c>
      <c r="D26" s="383">
        <f>+'Estado Resultados'!D26/'Estado Resultados'!D$8</f>
        <v>2.9224105763158023E-2</v>
      </c>
      <c r="E26" s="383">
        <f>+'Estado Resultados'!E26/'Estado Resultados'!E$8</f>
        <v>4.3182489419679546E-2</v>
      </c>
      <c r="F26" s="383">
        <f>+'Estado Resultados'!F26/'Estado Resultados'!F$8</f>
        <v>2.742501478576485E-2</v>
      </c>
      <c r="G26" s="383">
        <f>+'Estado Resultados'!G26/'Estado Resultados'!G$8</f>
        <v>3.3277203322867474E-2</v>
      </c>
      <c r="H26" s="383">
        <f>+'Estado Resultados'!H26/'Estado Resultados'!H$8</f>
        <v>3.3277203322867474E-2</v>
      </c>
      <c r="I26" s="383">
        <f>+'Estado Resultados'!I26/'Estado Resultados'!I$8</f>
        <v>1.3883334453931979E-2</v>
      </c>
    </row>
    <row r="27" spans="2:9" ht="15" customHeight="1" x14ac:dyDescent="0.25">
      <c r="B27" s="128"/>
      <c r="C27" s="384"/>
      <c r="D27" s="384"/>
      <c r="E27" s="384"/>
      <c r="F27" s="384"/>
      <c r="G27" s="384"/>
      <c r="H27" s="384"/>
      <c r="I27" s="384"/>
    </row>
    <row r="28" spans="2:9" ht="15" customHeight="1" x14ac:dyDescent="0.25">
      <c r="B28" s="106" t="str">
        <f>+'Estado Resultados'!B28</f>
        <v>UTILIDAD NETA</v>
      </c>
      <c r="C28" s="382">
        <f>+'Estado Resultados'!C28/'Estado Resultados'!C$8</f>
        <v>6.6979933523540092E-2</v>
      </c>
      <c r="D28" s="382">
        <f>+'Estado Resultados'!D28/'Estado Resultados'!D$8</f>
        <v>6.1558769318965791E-2</v>
      </c>
      <c r="E28" s="382">
        <f>+'Estado Resultados'!E28/'Estado Resultados'!E$8</f>
        <v>0.13572030034413762</v>
      </c>
      <c r="F28" s="382">
        <f>+'Estado Resultados'!F28/'Estado Resultados'!F$8</f>
        <v>9.7353476395642929E-2</v>
      </c>
      <c r="G28" s="382">
        <f>+'Estado Resultados'!G28/'Estado Resultados'!G$8</f>
        <v>4.3571400109061721E-2</v>
      </c>
      <c r="H28" s="382">
        <f>+'Estado Resultados'!H28/'Estado Resultados'!H$8</f>
        <v>3.071808591680969E-2</v>
      </c>
      <c r="I28" s="382">
        <f>+'Estado Resultados'!I28/'Estado Resultados'!I$8</f>
        <v>3.9120094165364529E-2</v>
      </c>
    </row>
    <row r="29" spans="2:9" x14ac:dyDescent="0.25"/>
  </sheetData>
  <mergeCells count="2">
    <mergeCell ref="B3:I3"/>
    <mergeCell ref="B4:I4"/>
  </mergeCells>
  <printOptions horizontalCentered="1"/>
  <pageMargins left="0.35433070866141736" right="0.31496062992125984" top="0.47244094488188981" bottom="0.81" header="0" footer="0"/>
  <pageSetup scale="77" orientation="portrait" verticalDpi="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A8E52BDAD6BA42984C8B576EB48C19" ma:contentTypeVersion="4" ma:contentTypeDescription="Crear nuevo documento." ma:contentTypeScope="" ma:versionID="e95fc250d4c74650027e5a6974874ae2">
  <xsd:schema xmlns:xsd="http://www.w3.org/2001/XMLSchema" xmlns:xs="http://www.w3.org/2001/XMLSchema" xmlns:p="http://schemas.microsoft.com/office/2006/metadata/properties" xmlns:ns2="e7983869-86af-4bdd-b9f2-4d035752cdec" targetNamespace="http://schemas.microsoft.com/office/2006/metadata/properties" ma:root="true" ma:fieldsID="8818f7d86c5a757e1dae2dddcf022f7b" ns2:_="">
    <xsd:import namespace="e7983869-86af-4bdd-b9f2-4d035752cd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83869-86af-4bdd-b9f2-4d035752c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2ED7B-CC60-4B59-BB07-0D937EDB43DA}">
  <ds:schemaRefs>
    <ds:schemaRef ds:uri="http://schemas.microsoft.com/sharepoint/v3/contenttype/forms"/>
  </ds:schemaRefs>
</ds:datastoreItem>
</file>

<file path=customXml/itemProps2.xml><?xml version="1.0" encoding="utf-8"?>
<ds:datastoreItem xmlns:ds="http://schemas.openxmlformats.org/officeDocument/2006/customXml" ds:itemID="{46E62A3B-DA71-473F-AAFC-3AD6F453E3C9}">
  <ds:schemaRefs>
    <ds:schemaRef ds:uri="http://purl.org/dc/terms/"/>
    <ds:schemaRef ds:uri="http://www.w3.org/XML/1998/namespace"/>
    <ds:schemaRef ds:uri="http://schemas.openxmlformats.org/package/2006/metadata/core-properties"/>
    <ds:schemaRef ds:uri="e7983869-86af-4bdd-b9f2-4d035752cdec"/>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8478CE61-6230-43EA-B99D-BF4AA72FE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83869-86af-4bdd-b9f2-4d035752cd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28</vt:i4>
      </vt:variant>
    </vt:vector>
  </HeadingPairs>
  <TitlesOfParts>
    <vt:vector size="53" baseType="lpstr">
      <vt:lpstr>Contenido</vt:lpstr>
      <vt:lpstr>Instrucciones</vt:lpstr>
      <vt:lpstr>Variables</vt:lpstr>
      <vt:lpstr>Estados y analisis</vt:lpstr>
      <vt:lpstr>Balance</vt:lpstr>
      <vt:lpstr>Vertical Balance</vt:lpstr>
      <vt:lpstr>Resumen balance</vt:lpstr>
      <vt:lpstr>Estado Resultados</vt:lpstr>
      <vt:lpstr>AnVert. Resultados</vt:lpstr>
      <vt:lpstr>Resumen resultados</vt:lpstr>
      <vt:lpstr>Actividad</vt:lpstr>
      <vt:lpstr>Endeudamiento</vt:lpstr>
      <vt:lpstr>Rentabilidad</vt:lpstr>
      <vt:lpstr>Crecimiento Sostenible</vt:lpstr>
      <vt:lpstr>Costo capital</vt:lpstr>
      <vt:lpstr>Generacion de Valor</vt:lpstr>
      <vt:lpstr>Liquidez</vt:lpstr>
      <vt:lpstr>Flujo</vt:lpstr>
      <vt:lpstr>AnHoriz Balance</vt:lpstr>
      <vt:lpstr>AnHoriz Resultados</vt:lpstr>
      <vt:lpstr>Cambios Patrimonio</vt:lpstr>
      <vt:lpstr>Cambios</vt:lpstr>
      <vt:lpstr>Fuentes y aplicaciones</vt:lpstr>
      <vt:lpstr>Analisis metas</vt:lpstr>
      <vt:lpstr>Tablero de control</vt:lpstr>
      <vt:lpstr>activocorriente</vt:lpstr>
      <vt:lpstr>activolargoplazo</vt:lpstr>
      <vt:lpstr>Actividad!Área_de_impresión</vt:lpstr>
      <vt:lpstr>'AnHoriz Balance'!Área_de_impresión</vt:lpstr>
      <vt:lpstr>'AnHoriz Resultados'!Área_de_impresión</vt:lpstr>
      <vt:lpstr>'AnVert. Resultados'!Área_de_impresión</vt:lpstr>
      <vt:lpstr>Balance!Área_de_impresión</vt:lpstr>
      <vt:lpstr>'Cambios Patrimonio'!Área_de_impresión</vt:lpstr>
      <vt:lpstr>'Estado Resultados'!Área_de_impresión</vt:lpstr>
      <vt:lpstr>'Estados y analisis'!Área_de_impresión</vt:lpstr>
      <vt:lpstr>'Fuentes y aplicaciones'!Área_de_impresión</vt:lpstr>
      <vt:lpstr>'Resumen balance'!Área_de_impresión</vt:lpstr>
      <vt:lpstr>'Resumen resultados'!Área_de_impresión</vt:lpstr>
      <vt:lpstr>Variables!Área_de_impresión</vt:lpstr>
      <vt:lpstr>'Vertical Balance'!Área_de_impresión</vt:lpstr>
      <vt:lpstr>costos</vt:lpstr>
      <vt:lpstr>gastoperativo</vt:lpstr>
      <vt:lpstr>otrosnooperativos</vt:lpstr>
      <vt:lpstr>pasivocorriente</vt:lpstr>
      <vt:lpstr>pasivolargoplazo</vt:lpstr>
      <vt:lpstr>patrimonio</vt:lpstr>
      <vt:lpstr>totalactivos</vt:lpstr>
      <vt:lpstr>totalpasivos</vt:lpstr>
      <vt:lpstr>totalpasivoypatrimonio</vt:lpstr>
      <vt:lpstr>totalpatrimonio</vt:lpstr>
      <vt:lpstr>utilidadneta</vt:lpstr>
      <vt:lpstr>utilidadoperativa</vt:lpstr>
      <vt:lpstr>ventas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Zapata</dc:creator>
  <cp:keywords/>
  <dc:description/>
  <cp:lastModifiedBy>yeison paz gomez</cp:lastModifiedBy>
  <cp:revision/>
  <dcterms:created xsi:type="dcterms:W3CDTF">2008-02-14T22:58:14Z</dcterms:created>
  <dcterms:modified xsi:type="dcterms:W3CDTF">2024-11-22T05:25:14Z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0x010100CBA8E52BDAD6BA42984C8B576EB48C19</vt:lpwstr>
  </property>
</Properties>
</file>