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6E0C62B4-F7D2-4F61-A5BD-8A97B4AB9DA9}" xr6:coauthVersionLast="47" xr6:coauthVersionMax="47" xr10:uidLastSave="{00000000-0000-0000-0000-000000000000}"/>
  <bookViews>
    <workbookView xWindow="-108" yWindow="-108" windowWidth="23256" windowHeight="12456" tabRatio="703" activeTab="6" xr2:uid="{00000000-000D-0000-FFFF-FFFF00000000}"/>
  </bookViews>
  <sheets>
    <sheet name="Menú" sheetId="7" r:id="rId1"/>
    <sheet name="Forecast de materia prima" sheetId="8" r:id="rId2"/>
    <sheet name="1" sheetId="1" r:id="rId3"/>
    <sheet name="2" sheetId="4" r:id="rId4"/>
    <sheet name="3" sheetId="3" r:id="rId5"/>
    <sheet name="4" sheetId="5" r:id="rId6"/>
    <sheet name="5" sheetId="6"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8" l="1"/>
  <c r="H39" i="8"/>
  <c r="G39" i="8"/>
  <c r="F39" i="8"/>
  <c r="E39" i="8"/>
  <c r="I35" i="8"/>
  <c r="I36" i="8"/>
  <c r="I37" i="8"/>
  <c r="I38" i="8"/>
  <c r="I34" i="8"/>
  <c r="H35" i="8"/>
  <c r="H36" i="8"/>
  <c r="H37" i="8"/>
  <c r="H38" i="8"/>
  <c r="H34" i="8"/>
  <c r="G35" i="8"/>
  <c r="G36" i="8"/>
  <c r="G37" i="8"/>
  <c r="G38" i="8"/>
  <c r="G34" i="8"/>
  <c r="F35" i="8"/>
  <c r="F36" i="8"/>
  <c r="F37" i="8"/>
  <c r="F38" i="8"/>
  <c r="F34" i="8"/>
  <c r="G25" i="8"/>
  <c r="G26" i="8"/>
  <c r="G27" i="8"/>
  <c r="G28" i="8"/>
  <c r="G24" i="8"/>
  <c r="H24" i="8"/>
  <c r="H25" i="8"/>
  <c r="H26" i="8"/>
  <c r="H27" i="8"/>
  <c r="H28" i="8"/>
  <c r="M2" i="8"/>
  <c r="O2" i="8"/>
  <c r="G5" i="8"/>
  <c r="G3" i="8"/>
  <c r="G4" i="8"/>
  <c r="I3" i="8"/>
  <c r="I2" i="8"/>
  <c r="R2" i="8"/>
  <c r="P2" i="8"/>
  <c r="F3" i="8"/>
  <c r="F4" i="8"/>
  <c r="D3" i="8"/>
  <c r="L9" i="8"/>
  <c r="L2" i="8"/>
  <c r="I5" i="8"/>
  <c r="G6" i="8"/>
  <c r="I6" i="8" s="1"/>
  <c r="G7" i="8"/>
  <c r="I7" i="8" s="1"/>
  <c r="I4" i="8"/>
  <c r="F5" i="8"/>
  <c r="F6" i="8"/>
  <c r="F7" i="8"/>
  <c r="E2" i="8"/>
  <c r="D5" i="8"/>
  <c r="D6" i="8"/>
  <c r="D7" i="8"/>
  <c r="D4" i="8"/>
  <c r="J4" i="8" s="1"/>
  <c r="H29" i="8" l="1"/>
  <c r="D8" i="8"/>
  <c r="L8" i="8" s="1"/>
  <c r="Q2" i="8"/>
  <c r="P8" i="8"/>
  <c r="R8" i="8"/>
  <c r="I8" i="8"/>
  <c r="O8" i="8"/>
  <c r="M4" i="8"/>
  <c r="M3" i="8"/>
  <c r="M5" i="8"/>
  <c r="M6" i="8"/>
  <c r="M7" i="8"/>
  <c r="O3" i="8"/>
  <c r="J3" i="8"/>
  <c r="L3" i="8" s="1"/>
  <c r="E3" i="8"/>
  <c r="E4" i="8"/>
  <c r="L4" i="8"/>
  <c r="O4" i="8"/>
  <c r="E7" i="8"/>
  <c r="O7" i="8"/>
  <c r="J7" i="8"/>
  <c r="L7" i="8" s="1"/>
  <c r="E6" i="8"/>
  <c r="O6" i="8"/>
  <c r="J6" i="8"/>
  <c r="L6" i="8" s="1"/>
  <c r="E5" i="8"/>
  <c r="O5" i="8"/>
  <c r="J5" i="8"/>
  <c r="L5" i="8" s="1"/>
  <c r="S2" i="8" l="1"/>
  <c r="T2" i="8"/>
  <c r="B24" i="8" s="1"/>
  <c r="S8" i="8"/>
  <c r="E9" i="8"/>
  <c r="M8" i="8"/>
  <c r="I11" i="8"/>
  <c r="D23" i="1"/>
  <c r="D24" i="1"/>
  <c r="D25" i="1"/>
  <c r="D26" i="1"/>
  <c r="H55" i="6"/>
  <c r="H54" i="6"/>
  <c r="T5" i="8" l="1"/>
  <c r="B27" i="8" s="1"/>
  <c r="T4" i="8"/>
  <c r="B26" i="8" s="1"/>
  <c r="T3" i="8"/>
  <c r="B25" i="8" s="1"/>
  <c r="U2" i="8"/>
  <c r="T6" i="8"/>
  <c r="B28" i="8" s="1"/>
  <c r="T7" i="8"/>
  <c r="B29" i="8" s="1"/>
  <c r="B40" i="6"/>
  <c r="B41" i="6" s="1"/>
  <c r="B42" i="6" s="1"/>
  <c r="B43" i="6" s="1"/>
  <c r="B44" i="6" s="1"/>
  <c r="B45" i="6" s="1"/>
  <c r="B46" i="6" s="1"/>
  <c r="B47" i="6" s="1"/>
  <c r="B48" i="6" s="1"/>
  <c r="C40" i="6"/>
  <c r="C41" i="6"/>
  <c r="C42" i="6"/>
  <c r="C43" i="6"/>
  <c r="C44" i="6"/>
  <c r="C45" i="6"/>
  <c r="C46" i="6"/>
  <c r="C47" i="6"/>
  <c r="C48" i="6"/>
  <c r="C39" i="6"/>
  <c r="U7" i="8" l="1"/>
  <c r="D21" i="1"/>
  <c r="U6" i="8"/>
  <c r="D20" i="1"/>
  <c r="U3" i="8"/>
  <c r="D17" i="1"/>
  <c r="U4" i="8"/>
  <c r="D18" i="1"/>
  <c r="U5" i="8"/>
  <c r="D19" i="1"/>
  <c r="F11" i="5"/>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A2" authorId="0" shapeId="0" xr:uid="{57DF605E-0C4B-4A3D-9F42-6F346D0C4178}">
      <text>
        <r>
          <rPr>
            <b/>
            <sz val="9"/>
            <color indexed="81"/>
            <rFont val="Tahoma"/>
            <family val="2"/>
          </rPr>
          <t>DARIO MAURICIO REYES GIRALDO:</t>
        </r>
        <r>
          <rPr>
            <sz val="9"/>
            <color indexed="81"/>
            <rFont val="Tahoma"/>
            <family val="2"/>
          </rPr>
          <t xml:space="preserve">
Digita el nombre de cada línea de producto o servicio a vender</t>
        </r>
      </text>
    </comment>
    <comment ref="A3" authorId="0" shapeId="0" xr:uid="{CCE87E5F-4EA1-4EEC-A9FC-931B63FB5DC7}">
      <text>
        <r>
          <rPr>
            <b/>
            <sz val="9"/>
            <color indexed="81"/>
            <rFont val="Tahoma"/>
            <family val="2"/>
          </rPr>
          <t>DARIO MAURICIO REYES GIRALDO:</t>
        </r>
        <r>
          <rPr>
            <sz val="9"/>
            <color indexed="81"/>
            <rFont val="Tahoma"/>
            <family val="2"/>
          </rPr>
          <t xml:space="preserve">
Digita el nombre de cada línea de producto o servicio a vender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<sst xmlns="http://schemas.openxmlformats.org/spreadsheetml/2006/main" count="281" uniqueCount="251">
  <si>
    <t>TUTORIAL</t>
  </si>
  <si>
    <t xml:space="preserve">Producto </t>
  </si>
  <si>
    <t>Cantidad de unidades proyectada de venta anual</t>
  </si>
  <si>
    <t xml:space="preserve">Cantidad de m2 de materia prima por unidad en m2 estimada </t>
  </si>
  <si>
    <t>Cantidad de m2 de materia prima por total unidades en m2 estimada total anual</t>
  </si>
  <si>
    <t>Total Kg exocarpo de coco triturado por  m2 estimado anual</t>
  </si>
  <si>
    <t>Cantidad de Kg de exocarpo de coco triturado por m2 de cada producto estimado</t>
  </si>
  <si>
    <t>Cantidad de vinagre blanco (L) por m2 de material requerido de cada producto</t>
  </si>
  <si>
    <t>Precio (COP)  por 1L de vinagre blaco</t>
  </si>
  <si>
    <t>Costo (COP)  por L usados de vinagre blaco por cada producto</t>
  </si>
  <si>
    <t>Cantidad de harina de trigo (Kg)  por 1m2 de material</t>
  </si>
  <si>
    <t>Precio (COP) por 1 kg de harina de trigo</t>
  </si>
  <si>
    <t>Costo (COP) por  kg usados de harina de trigo por cada producto</t>
  </si>
  <si>
    <t>Cantidad de agua (m3) por cada 1m2</t>
  </si>
  <si>
    <t>Precio (COP) por 1m3 de agua en zona industrial de Bogotá</t>
  </si>
  <si>
    <t>Costo (COP) por cada  L de agua usados en zona industrial de Bogotá</t>
  </si>
  <si>
    <t>Costo de Mano de obra directa por cada 1 m2 de material</t>
  </si>
  <si>
    <t>Costo de Mano de obra directa por m2 usados por producto</t>
  </si>
  <si>
    <t>Costo de arriendo por 1 m2 de material producido</t>
  </si>
  <si>
    <t>Costo consumo en COP de KW/h  por m2</t>
  </si>
  <si>
    <t>Costos totales (COP) de materia prima + Mano de obra directa + Costos indirectos por producto</t>
  </si>
  <si>
    <t>Costos de producto totales anual (COP) de materia prima + mano de obra directa + Costos indirectos por total m2 proyectados anuales</t>
  </si>
  <si>
    <t>se plantea un 30% de rentabilidad esperada del poryecto ya que según gemini para 2017 la rentabilidad del sector de aglomerados fue del 20% y se contempla un alza del 10% para 2025</t>
  </si>
  <si>
    <t>1 m2 de fibra de coco - calibre 15 mm</t>
  </si>
  <si>
    <t>Tablero de fibra de coco 1 m2 - calibre 15 mm</t>
  </si>
  <si>
    <t>Mesas con fribra de coco - comedor 4 puestos + 4 sillas</t>
  </si>
  <si>
    <t>Mesas de centro con fribra de coco  - pequeña</t>
  </si>
  <si>
    <t xml:space="preserve">Soporte para macetas pequeño </t>
  </si>
  <si>
    <t>Escritorio con fibra de coco Pequeño</t>
  </si>
  <si>
    <t>Total m2</t>
  </si>
  <si>
    <t>Total kg de coco</t>
  </si>
  <si>
    <t>Producto</t>
  </si>
  <si>
    <t>Cantidad Vendida</t>
  </si>
  <si>
    <t>Precio Unitario</t>
  </si>
  <si>
    <t>Costo Unitario COP</t>
  </si>
  <si>
    <t>Utilidad Unitaria COP</t>
  </si>
  <si>
    <t>Margen Bruto Unitario (%)</t>
  </si>
  <si>
    <t>Utilidad Total COP</t>
  </si>
  <si>
    <t>% Utilidad sobre Total</t>
  </si>
  <si>
    <t>Mesas con fibra de coco - comedor 4 puestos</t>
  </si>
  <si>
    <t>$5,000,000</t>
  </si>
  <si>
    <t>$3,696,552</t>
  </si>
  <si>
    <t>$1,303,448</t>
  </si>
  <si>
    <t>26.07%</t>
  </si>
  <si>
    <t>$625,654,938</t>
  </si>
  <si>
    <t>67.94%</t>
  </si>
  <si>
    <t>$3,000,000</t>
  </si>
  <si>
    <t>$1,232,184</t>
  </si>
  <si>
    <t>$1,767,816</t>
  </si>
  <si>
    <t>58.93%</t>
  </si>
  <si>
    <t>$212,137,911</t>
  </si>
  <si>
    <t>23.04%</t>
  </si>
  <si>
    <t>Soporte para macetas pequeño</t>
  </si>
  <si>
    <t>$280,000</t>
  </si>
  <si>
    <t>$154,023</t>
  </si>
  <si>
    <t>$125,977</t>
  </si>
  <si>
    <t>44.99%</t>
  </si>
  <si>
    <t>$60,468,956</t>
  </si>
  <si>
    <t>6.57%</t>
  </si>
  <si>
    <t>Tableros de fibra de coco 1 m2 - cal. 15 mm</t>
  </si>
  <si>
    <t>$650,000</t>
  </si>
  <si>
    <t>$616,092</t>
  </si>
  <si>
    <t>$33,908</t>
  </si>
  <si>
    <t>5.22%</t>
  </si>
  <si>
    <t>$12,206,867</t>
  </si>
  <si>
    <t>1.33%</t>
  </si>
  <si>
    <t>Mesas de centro con fibra de coco - pequeña</t>
  </si>
  <si>
    <t>$980,000</t>
  </si>
  <si>
    <t>$893,333</t>
  </si>
  <si>
    <t>$86,667</t>
  </si>
  <si>
    <t>8.84%</t>
  </si>
  <si>
    <t>$10,399,986</t>
  </si>
  <si>
    <t>1.13%</t>
  </si>
  <si>
    <t>TOTAL GLOBAL</t>
  </si>
  <si>
    <t>28.37%</t>
  </si>
  <si>
    <t>$920,868,658</t>
  </si>
  <si>
    <t>Máquinas</t>
  </si>
  <si>
    <t>Potencias de las máquinas (HP)</t>
  </si>
  <si>
    <t>Potencias de las máquinas (KW)</t>
  </si>
  <si>
    <t>Costo de consumo en COP de KW/h</t>
  </si>
  <si>
    <t>Costo de consumo en COP de KW/h x 10 días</t>
  </si>
  <si>
    <t>Trituradora de cocos TCR 50</t>
  </si>
  <si>
    <t>Tamizadora Circular Vulcano FTI 300</t>
  </si>
  <si>
    <t xml:space="preserve">Mesas con fribra de coco - comedor 4 puestos </t>
  </si>
  <si>
    <t>Mezcladora de material en polvo granulado</t>
  </si>
  <si>
    <t>Prensa Caliente de Laminación para Madera Contrachapada</t>
  </si>
  <si>
    <t>sierra de mesa para obra dewalt</t>
  </si>
  <si>
    <t>Total</t>
  </si>
  <si>
    <t>Dimensiones estimadas por producto:</t>
  </si>
  <si>
    <t>Comedor 4 puestos y 4 sillas:</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</si>
  <si>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</si>
  <si>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</si>
  <si>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</si>
  <si>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</si>
  <si>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</si>
  <si>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</si>
  <si>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</si>
  <si>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</si>
  <si>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</si>
  <si>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</si>
  <si>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</si>
  <si>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</si>
  <si>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</si>
  <si>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</si>
  <si>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</si>
  <si>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</si>
  <si>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</si>
  <si>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Tableros de fibra de coco 1 m2 - calibre 15 mm</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</si>
  <si>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</si>
  <si>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</si>
  <si>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</si>
  <si>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</si>
  <si>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</si>
  <si>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</si>
  <si>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</si>
  <si>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</si>
  <si>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</si>
  <si>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</si>
  <si>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</si>
  <si>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</si>
  <si>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</si>
  <si>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</si>
  <si>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</si>
  <si>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</si>
  <si>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</si>
  <si>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</si>
  <si>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</si>
  <si>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</si>
  <si>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</si>
  <si>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</si>
  <si>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</si>
  <si>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</si>
  <si>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</si>
  <si>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</si>
  <si>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</si>
  <si>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</si>
  <si>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</si>
  <si>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</si>
  <si>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</si>
  <si>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</si>
  <si>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</si>
  <si>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</si>
  <si>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</si>
  <si>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</si>
  <si>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</si>
  <si>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</si>
  <si>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</si>
  <si>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</si>
  <si>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</si>
  <si>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</si>
  <si>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</si>
  <si>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</si>
  <si>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</si>
  <si>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</si>
  <si>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</si>
  <si>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</si>
  <si>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</si>
  <si>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</si>
  <si>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</si>
  <si>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</si>
  <si>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</si>
  <si>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</si>
  <si>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</si>
  <si>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</si>
  <si>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</si>
  <si>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</si>
  <si>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</si>
  <si>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</si>
  <si>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</si>
  <si>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</si>
  <si>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</si>
  <si>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</si>
  <si>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</si>
  <si>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</si>
  <si>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</si>
  <si>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</si>
  <si>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</si>
  <si>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</si>
  <si>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</si>
  <si>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</si>
  <si>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</si>
  <si>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</si>
  <si>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</si>
  <si>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</si>
  <si>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</si>
  <si>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</si>
  <si>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</si>
  <si>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</si>
  <si>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</si>
  <si>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</si>
  <si>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</si>
  <si>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</si>
  <si>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</si>
  <si>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</si>
  <si>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</si>
  <si>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</si>
  <si>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</si>
  <si>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</si>
  <si>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</si>
  <si>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</si>
  <si>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</si>
  <si>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</si>
  <si>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</si>
  <si>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</si>
  <si>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</si>
  <si>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</si>
  <si>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</si>
  <si>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</si>
  <si>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</si>
  <si>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</si>
  <si>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</si>
  <si>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</si>
  <si>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</si>
  <si>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</si>
  <si>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</si>
  <si>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</si>
  <si>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</si>
  <si>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</si>
  <si>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</si>
  <si>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</si>
  <si>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</si>
  <si>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</si>
  <si>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</si>
  <si>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</si>
  <si>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</si>
  <si>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</si>
  <si>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</si>
  <si>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</si>
  <si>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</si>
  <si>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</si>
  <si>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</si>
  <si>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</si>
  <si>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</si>
  <si>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</si>
  <si>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</si>
  <si>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</si>
  <si>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</si>
  <si>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</si>
  <si>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</si>
  <si>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</si>
  <si>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</si>
  <si>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</si>
  <si>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</si>
  <si>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</si>
  <si>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</si>
  <si>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</si>
  <si>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</si>
  <si>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</si>
  <si>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</si>
  <si>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</si>
  <si>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Productos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</si>
</sst>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0.0"/>
    <numFmt numFmtId="182" formatCode="_-[$$-409]* #,##0.00_ ;_-[$$-409]* \-#,##0.00\ ;_-[$$-409]* &quot;-&quot;??_ ;_-@_ "/>
    <numFmt numFmtId="183" formatCode="_-[$$-409]* #,##0_ ;_-[$$-409]* \-#,##0\ ;_-[$$-409]* &quot;-&quot;??_ ;_-@_ "/>
    <numFmt numFmtId="184" formatCode="_-[$$-409]* #,##0.000_ ;_-[$$-409]* \-#,##0.000\ ;_-[$$-409]* &quot;-&quot;??_ ;_-@_ "/>
    <numFmt numFmtId="185" formatCode="_-[$$-409]* #,##0_ ;_-[$$-409]* \-#,##0\ ;_-[$$-409]* &quot;-&quot;???_ ;_-@_ "/>
    <numFmt numFmtId="186" formatCode="_-[$$-409]* #,##0.0_ ;_-[$$-409]* \-#,##0.0\ ;_-[$$-409]* &quot;-&quot;??_ ;_-@_ "/>
  </numFmts>
  <fonts count="5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sz val="11"/>
      <color rgb="FF000000"/>
      <name val="Calibri"/>
      <family val="2"/>
    </font>
    <font>
      <sz val="10"/>
      <color theme="1"/>
      <name val="Arial"/>
      <family val="2"/>
    </font>
  </fonts>
  <fills count="13">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FFC000"/>
        <bgColor indexed="64"/>
      </patternFill>
    </fill>
  </fills>
  <borders count="23">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200">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28" fillId="4" borderId="0" xfId="0" applyFont="1" applyFill="1" applyAlignment="1" applyProtection="1">
      <alignment wrapText="1"/>
      <protection locked="0"/>
    </xf>
    <xf numFmtId="0" fontId="0" fillId="0" borderId="17" xfId="0" applyBorder="1"/>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6" fillId="0" borderId="17" xfId="0" applyFont="1" applyBorder="1" applyAlignment="1" applyProtection="1">
      <alignment wrapText="1"/>
      <protection locked="0"/>
    </xf>
    <xf numFmtId="181" fontId="0" fillId="0" borderId="17" xfId="0" applyNumberFormat="1" applyBorder="1"/>
    <xf numFmtId="0" fontId="2" fillId="0" borderId="18" xfId="0" applyFont="1" applyBorder="1" applyAlignment="1">
      <alignment horizontal="center" vertical="center" wrapText="1"/>
    </xf>
    <xf numFmtId="0" fontId="50" fillId="0" borderId="17" xfId="0" applyFont="1" applyBorder="1"/>
    <xf numFmtId="0" fontId="50" fillId="0" borderId="19" xfId="0" applyFont="1" applyBorder="1"/>
    <xf numFmtId="183" fontId="0" fillId="0" borderId="17" xfId="0" applyNumberFormat="1" applyBorder="1"/>
    <xf numFmtId="184" fontId="0" fillId="0" borderId="17" xfId="0" applyNumberFormat="1" applyBorder="1"/>
    <xf numFmtId="185" fontId="0" fillId="0" borderId="17" xfId="0" applyNumberFormat="1" applyBorder="1"/>
    <xf numFmtId="2" fontId="0" fillId="0" borderId="17" xfId="0" applyNumberFormat="1" applyBorder="1"/>
    <xf numFmtId="183" fontId="0" fillId="8" borderId="17" xfId="0" applyNumberFormat="1" applyFill="1" applyBorder="1"/>
    <xf numFmtId="0" fontId="2" fillId="8" borderId="17" xfId="0" applyFont="1" applyFill="1" applyBorder="1" applyAlignment="1">
      <alignment horizontal="center" vertical="center" wrapText="1"/>
    </xf>
    <xf numFmtId="182" fontId="0" fillId="8" borderId="17" xfId="0" applyNumberFormat="1" applyFill="1" applyBorder="1"/>
    <xf numFmtId="0" fontId="2" fillId="8" borderId="18" xfId="0" applyFont="1" applyFill="1" applyBorder="1" applyAlignment="1">
      <alignment horizontal="center" vertical="center" wrapText="1"/>
    </xf>
    <xf numFmtId="0" fontId="0" fillId="8" borderId="17" xfId="0" applyFill="1" applyBorder="1"/>
    <xf numFmtId="1" fontId="0" fillId="0" borderId="17" xfId="0" applyNumberFormat="1" applyBorder="1"/>
    <xf numFmtId="0" fontId="0" fillId="9" borderId="17" xfId="0" applyFill="1" applyBorder="1"/>
    <xf numFmtId="183" fontId="0" fillId="7" borderId="17" xfId="0" applyNumberFormat="1" applyFill="1" applyBorder="1"/>
    <xf numFmtId="0" fontId="0" fillId="0" borderId="20" xfId="0" applyBorder="1" applyAlignment="1">
      <alignment wrapText="1"/>
    </xf>
    <xf numFmtId="0" fontId="0" fillId="10" borderId="20" xfId="0" applyFill="1" applyBorder="1" applyAlignment="1">
      <alignment horizontal="center" vertical="center" wrapText="1"/>
    </xf>
    <xf numFmtId="186" fontId="0" fillId="0" borderId="20" xfId="0" applyNumberFormat="1" applyBorder="1"/>
    <xf numFmtId="0" fontId="0" fillId="0" borderId="20" xfId="0" applyBorder="1"/>
    <xf numFmtId="0" fontId="47" fillId="11" borderId="20" xfId="0" applyFont="1" applyFill="1" applyBorder="1" applyAlignment="1">
      <alignment horizontal="center" vertical="center" wrapText="1"/>
    </xf>
    <xf numFmtId="186" fontId="0" fillId="0" borderId="21" xfId="0" applyNumberFormat="1" applyBorder="1"/>
    <xf numFmtId="0" fontId="2" fillId="12" borderId="18" xfId="0" applyFont="1" applyFill="1" applyBorder="1" applyAlignment="1">
      <alignment horizontal="center" vertical="center" wrapText="1"/>
    </xf>
    <xf numFmtId="185" fontId="0" fillId="12" borderId="17" xfId="0" applyNumberFormat="1" applyFill="1" applyBorder="1"/>
    <xf numFmtId="0" fontId="51" fillId="0" borderId="20" xfId="0" applyFont="1" applyBorder="1" applyAlignment="1">
      <alignment readingOrder="1"/>
    </xf>
    <xf numFmtId="9" fontId="51" fillId="0" borderId="20" xfId="0" applyNumberFormat="1" applyFont="1" applyBorder="1" applyAlignment="1">
      <alignment readingOrder="1"/>
    </xf>
    <xf numFmtId="0" fontId="51" fillId="0" borderId="20" xfId="0" applyFont="1" applyBorder="1" applyAlignment="1">
      <alignment wrapText="1" readingOrder="1"/>
    </xf>
    <xf numFmtId="0" fontId="51" fillId="8" borderId="20" xfId="0" applyFont="1" applyFill="1" applyBorder="1" applyAlignment="1">
      <alignment horizontal="center" vertical="center" wrapText="1" readingOrder="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0" fillId="0" borderId="17" xfId="0" applyBorder="1" applyAlignment="1">
      <alignment wrapText="1"/>
    </xf>
    <xf numFmtId="0" fontId="2" fillId="0" borderId="17" xfId="0" applyFont="1" applyBorder="1"/>
    <xf numFmtId="0" fontId="2" fillId="0" borderId="22" xfId="0" applyFont="1" applyBorder="1" applyAlignment="1"/>
    <xf numFmtId="0" fontId="0" fillId="0" borderId="17" xfId="0" applyBorder="1" applyAlignment="1"/>
    <xf numFmtId="1" fontId="0" fillId="0" borderId="17" xfId="0" applyNumberFormat="1" applyBorder="1" applyAlignment="1"/>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537.79988776888081</c:v>
                </c:pt>
                <c:pt idx="2">
                  <c:v>1075.5997755377616</c:v>
                </c:pt>
              </c:numCache>
            </c:numRef>
          </c:cat>
          <c:val>
            <c:numRef>
              <c:f>'5'!$C$33:$C$35</c:f>
              <c:numCache>
                <c:formatCode>_("$"\ * #,##0.00_);_("$"\ * \(#,##0.00\);_("$"\ * "-"??_);_(@_)</c:formatCode>
                <c:ptCount val="3"/>
                <c:pt idx="0">
                  <c:v>629545000</c:v>
                </c:pt>
                <c:pt idx="1">
                  <c:v>629545000</c:v>
                </c:pt>
                <c:pt idx="2">
                  <c:v>629545000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537.79988776888081</c:v>
                </c:pt>
                <c:pt idx="2">
                  <c:v>1075.5997755377616</c:v>
                </c:pt>
              </c:numCache>
            </c:numRef>
          </c:cat>
          <c:val>
            <c:numRef>
              <c:f>'5'!$D$33:$D$35</c:f>
              <c:numCache>
                <c:formatCode>_("$"\ * #,##0.00_);_("$"\ * \(#,##0.00\);_("$"\ * "-"??_);_(@_)</c:formatCode>
                <c:ptCount val="3"/>
                <c:pt idx="0" formatCode="General">
                  <c:v>0</c:v>
                </c:pt>
                <c:pt idx="1">
                  <c:v>2217634239.6145148</c:v>
                </c:pt>
                <c:pt idx="2">
                  <c:v>4435268479.2290297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537.79988776888081</c:v>
                </c:pt>
                <c:pt idx="2">
                  <c:v>1075.5997755377616</c:v>
                </c:pt>
              </c:numCache>
            </c:numRef>
          </c:cat>
          <c:val>
            <c:numRef>
              <c:f>'5'!$F$33:$F$35</c:f>
              <c:numCache>
                <c:formatCode>_("$"\ * #,##0.00_);_("$"\ * \(#,##0.00\);_("$"\ * "-"??_);_(@_)</c:formatCode>
                <c:ptCount val="3"/>
                <c:pt idx="0">
                  <c:v>629545000</c:v>
                </c:pt>
                <c:pt idx="1">
                  <c:v>2217634239.6145148</c:v>
                </c:pt>
                <c:pt idx="2">
                  <c:v>3805723479.2290297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0</xdr:col>
      <xdr:colOff>1943100</xdr:colOff>
      <xdr:row>41</xdr:row>
      <xdr:rowOff>176742</xdr:rowOff>
    </xdr:to>
    <xdr:pic>
      <xdr:nvPicPr>
        <xdr:cNvPr id="2" name="Imagen 1">
          <a:extLst>
            <a:ext uri="{FF2B5EF4-FFF2-40B4-BE49-F238E27FC236}">
              <a16:creationId xmlns:a16="http://schemas.microsoft.com/office/drawing/2014/main" id="{69E046FE-A191-E1C1-21CE-EEEFB410A361}"/>
            </a:ext>
          </a:extLst>
        </xdr:cNvPr>
        <xdr:cNvPicPr>
          <a:picLocks noChangeAspect="1"/>
        </xdr:cNvPicPr>
      </xdr:nvPicPr>
      <xdr:blipFill>
        <a:blip xmlns:r="http://schemas.openxmlformats.org/officeDocument/2006/relationships" r:embed="rId1"/>
        <a:stretch>
          <a:fillRect/>
        </a:stretch>
      </xdr:blipFill>
      <xdr:spPr>
        <a:xfrm>
          <a:off x="0" y="11210925"/>
          <a:ext cx="1943100" cy="2352675"/>
        </a:xfrm>
        <a:prstGeom prst="rect">
          <a:avLst/>
        </a:prstGeom>
      </xdr:spPr>
    </xdr:pic>
    <xdr:clientData/>
  </xdr:twoCellAnchor>
  <xdr:twoCellAnchor editAs="oneCell">
    <xdr:from>
      <xdr:col>0</xdr:col>
      <xdr:colOff>2000250</xdr:colOff>
      <xdr:row>33</xdr:row>
      <xdr:rowOff>142875</xdr:rowOff>
    </xdr:from>
    <xdr:to>
      <xdr:col>1</xdr:col>
      <xdr:colOff>1628775</xdr:colOff>
      <xdr:row>41</xdr:row>
      <xdr:rowOff>110067</xdr:rowOff>
    </xdr:to>
    <xdr:pic>
      <xdr:nvPicPr>
        <xdr:cNvPr id="3" name="Imagen 2">
          <a:extLst>
            <a:ext uri="{FF2B5EF4-FFF2-40B4-BE49-F238E27FC236}">
              <a16:creationId xmlns:a16="http://schemas.microsoft.com/office/drawing/2014/main" id="{CFC526A7-DE34-793E-E40D-5FD17A59E743}"/>
            </a:ext>
            <a:ext uri="{147F2762-F138-4A5C-976F-8EAC2B608ADB}">
              <a16:predDERef xmlns:a16="http://schemas.microsoft.com/office/drawing/2014/main" pred="{69E046FE-A191-E1C1-21CE-EEEFB410A361}"/>
            </a:ext>
          </a:extLst>
        </xdr:cNvPr>
        <xdr:cNvPicPr>
          <a:picLocks noChangeAspect="1"/>
        </xdr:cNvPicPr>
      </xdr:nvPicPr>
      <xdr:blipFill>
        <a:blip xmlns:r="http://schemas.openxmlformats.org/officeDocument/2006/relationships" r:embed="rId2"/>
        <a:stretch>
          <a:fillRect/>
        </a:stretch>
      </xdr:blipFill>
      <xdr:spPr>
        <a:xfrm>
          <a:off x="2000250" y="11353800"/>
          <a:ext cx="2143125" cy="2143125"/>
        </a:xfrm>
        <a:prstGeom prst="rect">
          <a:avLst/>
        </a:prstGeom>
      </xdr:spPr>
    </xdr:pic>
    <xdr:clientData/>
  </xdr:twoCellAnchor>
  <xdr:twoCellAnchor editAs="oneCell">
    <xdr:from>
      <xdr:col>0</xdr:col>
      <xdr:colOff>0</xdr:colOff>
      <xdr:row>48</xdr:row>
      <xdr:rowOff>85725</xdr:rowOff>
    </xdr:from>
    <xdr:to>
      <xdr:col>1</xdr:col>
      <xdr:colOff>123825</xdr:colOff>
      <xdr:row>59</xdr:row>
      <xdr:rowOff>47626</xdr:rowOff>
    </xdr:to>
    <xdr:pic>
      <xdr:nvPicPr>
        <xdr:cNvPr id="4" name="Imagen 3">
          <a:extLst>
            <a:ext uri="{FF2B5EF4-FFF2-40B4-BE49-F238E27FC236}">
              <a16:creationId xmlns:a16="http://schemas.microsoft.com/office/drawing/2014/main" id="{11F189D2-C6F3-20C1-E730-8570424C92A0}"/>
            </a:ext>
            <a:ext uri="{147F2762-F138-4A5C-976F-8EAC2B608ADB}">
              <a16:predDERef xmlns:a16="http://schemas.microsoft.com/office/drawing/2014/main" pred="{CFC526A7-DE34-793E-E40D-5FD17A59E743}"/>
            </a:ext>
          </a:extLst>
        </xdr:cNvPr>
        <xdr:cNvPicPr>
          <a:picLocks noChangeAspect="1"/>
        </xdr:cNvPicPr>
      </xdr:nvPicPr>
      <xdr:blipFill>
        <a:blip xmlns:r="http://schemas.openxmlformats.org/officeDocument/2006/relationships" r:embed="rId3"/>
        <a:stretch>
          <a:fillRect/>
        </a:stretch>
      </xdr:blipFill>
      <xdr:spPr>
        <a:xfrm>
          <a:off x="0" y="14344650"/>
          <a:ext cx="2638425" cy="2057400"/>
        </a:xfrm>
        <a:prstGeom prst="rect">
          <a:avLst/>
        </a:prstGeom>
      </xdr:spPr>
    </xdr:pic>
    <xdr:clientData/>
  </xdr:twoCellAnchor>
  <xdr:twoCellAnchor editAs="oneCell">
    <xdr:from>
      <xdr:col>0</xdr:col>
      <xdr:colOff>0</xdr:colOff>
      <xdr:row>61</xdr:row>
      <xdr:rowOff>171450</xdr:rowOff>
    </xdr:from>
    <xdr:to>
      <xdr:col>0</xdr:col>
      <xdr:colOff>2171700</xdr:colOff>
      <xdr:row>73</xdr:row>
      <xdr:rowOff>57150</xdr:rowOff>
    </xdr:to>
    <xdr:pic>
      <xdr:nvPicPr>
        <xdr:cNvPr id="5" name="Imagen 4">
          <a:extLst>
            <a:ext uri="{FF2B5EF4-FFF2-40B4-BE49-F238E27FC236}">
              <a16:creationId xmlns:a16="http://schemas.microsoft.com/office/drawing/2014/main" id="{FF228663-E0E3-EB5A-57DE-B86FE7F15DB7}"/>
            </a:ext>
            <a:ext uri="{147F2762-F138-4A5C-976F-8EAC2B608ADB}">
              <a16:predDERef xmlns:a16="http://schemas.microsoft.com/office/drawing/2014/main" pred="{11F189D2-C6F3-20C1-E730-8570424C92A0}"/>
            </a:ext>
          </a:extLst>
        </xdr:cNvPr>
        <xdr:cNvPicPr>
          <a:picLocks noChangeAspect="1"/>
        </xdr:cNvPicPr>
      </xdr:nvPicPr>
      <xdr:blipFill>
        <a:blip xmlns:r="http://schemas.openxmlformats.org/officeDocument/2006/relationships" r:embed="rId4"/>
        <a:stretch>
          <a:fillRect/>
        </a:stretch>
      </xdr:blipFill>
      <xdr:spPr>
        <a:xfrm>
          <a:off x="0" y="16906875"/>
          <a:ext cx="2171700" cy="2171700"/>
        </a:xfrm>
        <a:prstGeom prst="rect">
          <a:avLst/>
        </a:prstGeom>
      </xdr:spPr>
    </xdr:pic>
    <xdr:clientData/>
  </xdr:twoCellAnchor>
  <xdr:twoCellAnchor editAs="oneCell">
    <xdr:from>
      <xdr:col>0</xdr:col>
      <xdr:colOff>0</xdr:colOff>
      <xdr:row>77</xdr:row>
      <xdr:rowOff>0</xdr:rowOff>
    </xdr:from>
    <xdr:to>
      <xdr:col>1</xdr:col>
      <xdr:colOff>419100</xdr:colOff>
      <xdr:row>88</xdr:row>
      <xdr:rowOff>104774</xdr:rowOff>
    </xdr:to>
    <xdr:pic>
      <xdr:nvPicPr>
        <xdr:cNvPr id="6" name="Imagen 5">
          <a:extLst>
            <a:ext uri="{FF2B5EF4-FFF2-40B4-BE49-F238E27FC236}">
              <a16:creationId xmlns:a16="http://schemas.microsoft.com/office/drawing/2014/main" id="{6601269A-44C1-047A-8E25-7F4A76E45AC2}"/>
            </a:ext>
            <a:ext uri="{147F2762-F138-4A5C-976F-8EAC2B608ADB}">
              <a16:predDERef xmlns:a16="http://schemas.microsoft.com/office/drawing/2014/main" pred="{FF228663-E0E3-EB5A-57DE-B86FE7F15DB7}"/>
            </a:ext>
          </a:extLst>
        </xdr:cNvPr>
        <xdr:cNvPicPr>
          <a:picLocks noChangeAspect="1"/>
        </xdr:cNvPicPr>
      </xdr:nvPicPr>
      <xdr:blipFill>
        <a:blip xmlns:r="http://schemas.openxmlformats.org/officeDocument/2006/relationships" r:embed="rId5"/>
        <a:stretch>
          <a:fillRect/>
        </a:stretch>
      </xdr:blipFill>
      <xdr:spPr>
        <a:xfrm>
          <a:off x="0" y="19783425"/>
          <a:ext cx="2933700" cy="220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4140625" defaultRowHeight="14.4" x14ac:dyDescent="0.3"/>
  <sheetData>
    <row r="23" spans="7:8" ht="20.399999999999999" x14ac:dyDescent="0.35">
      <c r="G23" s="171" t="s">
        <v>0</v>
      </c>
      <c r="H23" s="171"/>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8AFD-9640-4606-BA0C-5893D79E2559}">
  <dimension ref="A1:V76"/>
  <sheetViews>
    <sheetView zoomScale="50" zoomScaleNormal="50" workbookViewId="0">
      <selection activeCell="E18" sqref="E18"/>
    </sheetView>
  </sheetViews>
  <sheetFormatPr baseColWidth="10" defaultColWidth="11.44140625" defaultRowHeight="15" customHeight="1" x14ac:dyDescent="0.3"/>
  <cols>
    <col min="1" max="1" width="37.77734375" customWidth="1"/>
    <col min="2" max="2" width="34" customWidth="1"/>
    <col min="3" max="3" width="17.77734375" customWidth="1"/>
    <col min="4" max="4" width="30.109375" customWidth="1"/>
    <col min="5" max="5" width="16.5546875" customWidth="1"/>
    <col min="6" max="6" width="19" customWidth="1"/>
    <col min="7" max="9" width="18" customWidth="1"/>
    <col min="10" max="12" width="16.5546875" customWidth="1"/>
    <col min="13" max="13" width="16.44140625" customWidth="1"/>
    <col min="14" max="15" width="14.77734375" customWidth="1"/>
    <col min="16" max="16" width="13.5546875" customWidth="1"/>
    <col min="17" max="17" width="18.21875" customWidth="1"/>
    <col min="18" max="19" width="14.77734375" customWidth="1"/>
    <col min="20" max="20" width="18.44140625" customWidth="1"/>
    <col min="21" max="21" width="20.21875" customWidth="1"/>
    <col min="22" max="22" width="19.21875" customWidth="1"/>
  </cols>
  <sheetData>
    <row r="1" spans="1:22" ht="100.8" x14ac:dyDescent="0.3">
      <c r="A1" s="140" t="s">
        <v>1</v>
      </c>
      <c r="B1" s="141" t="s">
        <v>2</v>
      </c>
      <c r="C1" s="141" t="s">
        <v>3</v>
      </c>
      <c r="D1" s="141" t="s">
        <v>4</v>
      </c>
      <c r="E1" s="141" t="s">
        <v>5</v>
      </c>
      <c r="F1" s="141" t="s">
        <v>6</v>
      </c>
      <c r="G1" s="141" t="s">
        <v>7</v>
      </c>
      <c r="H1" s="141" t="s">
        <v>8</v>
      </c>
      <c r="I1" s="152" t="s">
        <v>9</v>
      </c>
      <c r="J1" s="141" t="s">
        <v>10</v>
      </c>
      <c r="K1" s="141" t="s">
        <v>11</v>
      </c>
      <c r="L1" s="152" t="s">
        <v>12</v>
      </c>
      <c r="M1" s="141" t="s">
        <v>13</v>
      </c>
      <c r="N1" s="141" t="s">
        <v>14</v>
      </c>
      <c r="O1" s="152" t="s">
        <v>15</v>
      </c>
      <c r="P1" s="154" t="s">
        <v>16</v>
      </c>
      <c r="Q1" s="144" t="s">
        <v>17</v>
      </c>
      <c r="R1" s="154" t="s">
        <v>18</v>
      </c>
      <c r="S1" s="154" t="s">
        <v>19</v>
      </c>
      <c r="T1" s="165" t="s">
        <v>20</v>
      </c>
      <c r="U1" s="144" t="s">
        <v>21</v>
      </c>
      <c r="V1" t="s">
        <v>22</v>
      </c>
    </row>
    <row r="2" spans="1:22" ht="35.549999999999997" customHeight="1" x14ac:dyDescent="0.3">
      <c r="A2" s="142" t="s">
        <v>23</v>
      </c>
      <c r="B2" s="145"/>
      <c r="C2" s="139">
        <v>1</v>
      </c>
      <c r="D2" s="157"/>
      <c r="E2" s="139">
        <f>+D2*F2</f>
        <v>0</v>
      </c>
      <c r="F2" s="139">
        <v>0.875</v>
      </c>
      <c r="G2" s="139">
        <v>0.625</v>
      </c>
      <c r="H2" s="147">
        <v>2850</v>
      </c>
      <c r="I2" s="151">
        <f>+G2*H2</f>
        <v>1781.25</v>
      </c>
      <c r="J2" s="139">
        <v>3.75</v>
      </c>
      <c r="K2" s="147">
        <v>3400</v>
      </c>
      <c r="L2" s="151">
        <f>+J2*K2</f>
        <v>12750</v>
      </c>
      <c r="M2" s="139">
        <f>15/1000</f>
        <v>1.4999999999999999E-2</v>
      </c>
      <c r="N2" s="148">
        <v>470.84</v>
      </c>
      <c r="O2" s="153">
        <f>+M2*N2</f>
        <v>7.0625999999999998</v>
      </c>
      <c r="P2" s="151">
        <f>+((143505000/360)*10)/1258</f>
        <v>3168.7201907790145</v>
      </c>
      <c r="Q2" s="147">
        <f>+P2*C2</f>
        <v>3168.7201907790145</v>
      </c>
      <c r="R2" s="151">
        <f>+((6000000/30)*10)/1258</f>
        <v>1589.8251192368839</v>
      </c>
      <c r="S2" s="151">
        <f>+H29/D8</f>
        <v>596795.1775304717</v>
      </c>
      <c r="T2" s="166">
        <f>+I2+L2+O2+P2+R2+S2</f>
        <v>616092.03544048755</v>
      </c>
      <c r="U2" s="149">
        <f t="shared" ref="U2:U7" si="0">+T2*D2</f>
        <v>0</v>
      </c>
    </row>
    <row r="3" spans="1:22" ht="35.549999999999997" customHeight="1" x14ac:dyDescent="0.3">
      <c r="A3" s="142" t="s">
        <v>24</v>
      </c>
      <c r="B3" s="145">
        <v>360</v>
      </c>
      <c r="C3" s="139">
        <v>1</v>
      </c>
      <c r="D3" s="157">
        <f>+B3*C3</f>
        <v>360</v>
      </c>
      <c r="E3" s="139">
        <f>+D3*F2</f>
        <v>315</v>
      </c>
      <c r="F3" s="139">
        <f>+C3*F2</f>
        <v>0.875</v>
      </c>
      <c r="G3" s="139">
        <f>+G2*C3</f>
        <v>0.625</v>
      </c>
      <c r="H3" s="147">
        <v>2850</v>
      </c>
      <c r="I3" s="151">
        <f>+G3*H3</f>
        <v>1781.25</v>
      </c>
      <c r="J3" s="139">
        <f>+J2*D3</f>
        <v>1350</v>
      </c>
      <c r="K3" s="147">
        <v>3400</v>
      </c>
      <c r="L3" s="151">
        <f>+J3*K3</f>
        <v>4590000</v>
      </c>
      <c r="M3" s="139">
        <f>+M2*D3</f>
        <v>5.3999999999999995</v>
      </c>
      <c r="N3" s="148">
        <v>470.84</v>
      </c>
      <c r="O3" s="153">
        <f>+M3*N3</f>
        <v>2542.5359999999996</v>
      </c>
      <c r="P3" s="151"/>
      <c r="Q3" s="147"/>
      <c r="R3" s="151"/>
      <c r="S3" s="151"/>
      <c r="T3" s="166">
        <f>+$T$2*C3</f>
        <v>616092.03544048755</v>
      </c>
      <c r="U3" s="149">
        <f t="shared" si="0"/>
        <v>221793132.75857553</v>
      </c>
    </row>
    <row r="4" spans="1:22" ht="35.549999999999997" customHeight="1" x14ac:dyDescent="0.3">
      <c r="A4" s="142" t="s">
        <v>25</v>
      </c>
      <c r="B4" s="146">
        <v>480</v>
      </c>
      <c r="C4" s="139">
        <v>6</v>
      </c>
      <c r="D4" s="157">
        <f>+B4*C4</f>
        <v>2880</v>
      </c>
      <c r="E4" s="139">
        <f>+D4*F4</f>
        <v>15120</v>
      </c>
      <c r="F4" s="139">
        <f>+$F$2*C4</f>
        <v>5.25</v>
      </c>
      <c r="G4" s="139">
        <f>+$G$2*C4</f>
        <v>3.75</v>
      </c>
      <c r="H4" s="147">
        <v>2850</v>
      </c>
      <c r="I4" s="151">
        <f t="shared" ref="I4:I7" si="1">+G4*H4</f>
        <v>10687.5</v>
      </c>
      <c r="J4" s="139">
        <f>+$J$2*D4</f>
        <v>10800</v>
      </c>
      <c r="K4" s="147">
        <v>3400</v>
      </c>
      <c r="L4" s="151">
        <f t="shared" ref="L4:L9" si="2">+J4*K4</f>
        <v>36720000</v>
      </c>
      <c r="M4" s="139">
        <f>+$M$2*D4</f>
        <v>43.199999999999996</v>
      </c>
      <c r="N4" s="148">
        <v>470.84</v>
      </c>
      <c r="O4" s="153">
        <f t="shared" ref="O4:O7" si="3">+M4*N4</f>
        <v>20340.287999999997</v>
      </c>
      <c r="P4" s="155"/>
      <c r="Q4" s="139"/>
      <c r="R4" s="155"/>
      <c r="S4" s="155"/>
      <c r="T4" s="166">
        <f>+$T$2*C4</f>
        <v>3696552.2126429253</v>
      </c>
      <c r="U4" s="149">
        <f t="shared" si="0"/>
        <v>10646070372.411625</v>
      </c>
    </row>
    <row r="5" spans="1:22" ht="35.549999999999997" customHeight="1" x14ac:dyDescent="0.3">
      <c r="A5" s="142" t="s">
        <v>26</v>
      </c>
      <c r="B5" s="146">
        <v>120</v>
      </c>
      <c r="C5" s="139">
        <v>1.45</v>
      </c>
      <c r="D5" s="157">
        <f t="shared" ref="D5:D7" si="4">+B5*C5</f>
        <v>174</v>
      </c>
      <c r="E5" s="150">
        <f>+D5*F5</f>
        <v>220.76250000000002</v>
      </c>
      <c r="F5" s="150">
        <f>+$F$2*C5</f>
        <v>1.26875</v>
      </c>
      <c r="G5" s="150">
        <f>+$G$2*C5</f>
        <v>0.90625</v>
      </c>
      <c r="H5" s="147">
        <v>2850</v>
      </c>
      <c r="I5" s="151">
        <f t="shared" si="1"/>
        <v>2582.8125</v>
      </c>
      <c r="J5" s="139">
        <f>+$J$2*D5</f>
        <v>652.5</v>
      </c>
      <c r="K5" s="147">
        <v>3400</v>
      </c>
      <c r="L5" s="151">
        <f t="shared" si="2"/>
        <v>2218500</v>
      </c>
      <c r="M5" s="139">
        <f t="shared" ref="M5:M7" si="5">+$M$2*D5</f>
        <v>2.61</v>
      </c>
      <c r="N5" s="148">
        <v>470.84</v>
      </c>
      <c r="O5" s="153">
        <f t="shared" si="3"/>
        <v>1228.8924</v>
      </c>
      <c r="P5" s="155"/>
      <c r="Q5" s="139"/>
      <c r="R5" s="155"/>
      <c r="S5" s="155"/>
      <c r="T5" s="166">
        <f>+$T$2*C5</f>
        <v>893333.45138870692</v>
      </c>
      <c r="U5" s="149">
        <f t="shared" si="0"/>
        <v>155440020.54163501</v>
      </c>
    </row>
    <row r="6" spans="1:22" ht="35.549999999999997" customHeight="1" x14ac:dyDescent="0.3">
      <c r="A6" s="142" t="s">
        <v>27</v>
      </c>
      <c r="B6" s="146">
        <v>480</v>
      </c>
      <c r="C6" s="139">
        <v>0.25</v>
      </c>
      <c r="D6" s="157">
        <f t="shared" si="4"/>
        <v>120</v>
      </c>
      <c r="E6" s="139">
        <f>+D6*F6</f>
        <v>26.25</v>
      </c>
      <c r="F6" s="150">
        <f t="shared" ref="F6:F7" si="6">+$F$2*C6</f>
        <v>0.21875</v>
      </c>
      <c r="G6" s="150">
        <f t="shared" ref="G6:G7" si="7">+$G$2*C6</f>
        <v>0.15625</v>
      </c>
      <c r="H6" s="147">
        <v>2850</v>
      </c>
      <c r="I6" s="151">
        <f t="shared" si="1"/>
        <v>445.3125</v>
      </c>
      <c r="J6" s="139">
        <f>+$J$2*D6</f>
        <v>450</v>
      </c>
      <c r="K6" s="147">
        <v>3400</v>
      </c>
      <c r="L6" s="151">
        <f t="shared" si="2"/>
        <v>1530000</v>
      </c>
      <c r="M6" s="139">
        <f t="shared" si="5"/>
        <v>1.7999999999999998</v>
      </c>
      <c r="N6" s="148">
        <v>470.84</v>
      </c>
      <c r="O6" s="153">
        <f t="shared" si="3"/>
        <v>847.51199999999983</v>
      </c>
      <c r="P6" s="155"/>
      <c r="Q6" s="139"/>
      <c r="R6" s="155"/>
      <c r="S6" s="155"/>
      <c r="T6" s="166">
        <f>+$T$2*C6</f>
        <v>154023.00886012189</v>
      </c>
      <c r="U6" s="149">
        <f t="shared" si="0"/>
        <v>18482761.063214626</v>
      </c>
    </row>
    <row r="7" spans="1:22" ht="35.549999999999997" customHeight="1" x14ac:dyDescent="0.3">
      <c r="A7" s="142" t="s">
        <v>28</v>
      </c>
      <c r="B7" s="146">
        <v>120</v>
      </c>
      <c r="C7" s="139">
        <v>2</v>
      </c>
      <c r="D7" s="157">
        <f t="shared" si="4"/>
        <v>240</v>
      </c>
      <c r="E7" s="139">
        <f>+D7*F7</f>
        <v>420</v>
      </c>
      <c r="F7" s="139">
        <f t="shared" si="6"/>
        <v>1.75</v>
      </c>
      <c r="G7" s="139">
        <f t="shared" si="7"/>
        <v>1.25</v>
      </c>
      <c r="H7" s="147">
        <v>2850</v>
      </c>
      <c r="I7" s="151">
        <f t="shared" si="1"/>
        <v>3562.5</v>
      </c>
      <c r="J7" s="139">
        <f>+$J$2*D7</f>
        <v>900</v>
      </c>
      <c r="K7" s="147">
        <v>3400</v>
      </c>
      <c r="L7" s="151">
        <f t="shared" si="2"/>
        <v>3060000</v>
      </c>
      <c r="M7" s="139">
        <f t="shared" si="5"/>
        <v>3.5999999999999996</v>
      </c>
      <c r="N7" s="148">
        <v>470.84</v>
      </c>
      <c r="O7" s="153">
        <f t="shared" si="3"/>
        <v>1695.0239999999997</v>
      </c>
      <c r="P7" s="155"/>
      <c r="Q7" s="139"/>
      <c r="R7" s="155"/>
      <c r="S7" s="155"/>
      <c r="T7" s="166">
        <f>+$T$2*C7</f>
        <v>1232184.0708809751</v>
      </c>
      <c r="U7" s="149">
        <f t="shared" si="0"/>
        <v>295724177.01143402</v>
      </c>
    </row>
    <row r="8" spans="1:22" ht="14.4" x14ac:dyDescent="0.3">
      <c r="A8" s="139" t="s">
        <v>29</v>
      </c>
      <c r="B8" s="139"/>
      <c r="C8" s="139"/>
      <c r="D8" s="139">
        <f>SUM(D2:D7)</f>
        <v>3774</v>
      </c>
      <c r="E8" s="139"/>
      <c r="F8" s="139"/>
      <c r="G8" s="139"/>
      <c r="H8" s="139"/>
      <c r="I8" s="158">
        <f>+(I2*D8)/3</f>
        <v>2240812.5</v>
      </c>
      <c r="J8" s="139"/>
      <c r="K8" s="139"/>
      <c r="L8" s="158">
        <f>+(L2*D8)/3</f>
        <v>16039500</v>
      </c>
      <c r="M8" s="139">
        <f>SUM(M2:M7)</f>
        <v>56.624999999999993</v>
      </c>
      <c r="N8" s="139"/>
      <c r="O8" s="158">
        <f>+((O2*D8)/3)+108092</f>
        <v>116976.75079999999</v>
      </c>
      <c r="P8" s="158">
        <f>+(P2*D8)/3</f>
        <v>3986250</v>
      </c>
      <c r="Q8" s="139"/>
      <c r="R8" s="158">
        <f>+(R2*D8)/3</f>
        <v>2000000</v>
      </c>
      <c r="S8" s="158">
        <f>+(S2*E8)/3</f>
        <v>0</v>
      </c>
      <c r="T8" s="139"/>
      <c r="U8" s="139"/>
    </row>
    <row r="9" spans="1:22" ht="14.4" x14ac:dyDescent="0.3">
      <c r="A9" s="139" t="s">
        <v>30</v>
      </c>
      <c r="B9" s="139"/>
      <c r="C9" s="139"/>
      <c r="D9" s="143"/>
      <c r="E9" s="156">
        <f>SUM(E2:E8)</f>
        <v>16102.012500000001</v>
      </c>
      <c r="F9" s="139"/>
      <c r="G9" s="143"/>
      <c r="H9" s="143"/>
      <c r="I9" s="143"/>
      <c r="J9" s="143"/>
      <c r="K9" s="143"/>
      <c r="L9" s="147">
        <f t="shared" si="2"/>
        <v>0</v>
      </c>
      <c r="M9" s="143"/>
      <c r="N9" s="143"/>
      <c r="O9" s="143"/>
      <c r="P9" s="143"/>
      <c r="Q9" s="143"/>
      <c r="R9" s="143"/>
      <c r="S9" s="143"/>
      <c r="T9" s="143"/>
      <c r="U9" s="143"/>
    </row>
    <row r="10" spans="1:22" ht="14.4" x14ac:dyDescent="0.3">
      <c r="A10" s="139"/>
      <c r="B10" s="139"/>
      <c r="C10" s="139"/>
      <c r="D10" s="139"/>
      <c r="E10" s="139"/>
      <c r="F10" s="139"/>
      <c r="G10" s="139"/>
      <c r="H10" s="139"/>
      <c r="I10" s="139"/>
      <c r="J10" s="139"/>
      <c r="K10" s="139"/>
      <c r="L10" s="139"/>
      <c r="M10" s="139"/>
      <c r="N10" s="139"/>
      <c r="O10" s="139"/>
      <c r="P10" s="139"/>
      <c r="Q10" s="139"/>
      <c r="R10" s="139"/>
      <c r="S10" s="139"/>
      <c r="T10" s="139"/>
      <c r="U10" s="139"/>
    </row>
    <row r="11" spans="1:22" ht="14.4" x14ac:dyDescent="0.3">
      <c r="A11" s="139"/>
      <c r="B11" s="139"/>
      <c r="C11" s="139"/>
      <c r="D11" s="139"/>
      <c r="E11" s="139"/>
      <c r="F11" s="139"/>
      <c r="G11" s="139"/>
      <c r="H11" s="139"/>
      <c r="I11" s="147">
        <f>+I8+L8+O8</f>
        <v>18397289.250799999</v>
      </c>
      <c r="J11" s="139"/>
      <c r="K11" s="139"/>
      <c r="L11" s="139"/>
      <c r="M11" s="139"/>
      <c r="N11" s="139"/>
      <c r="O11" s="139"/>
      <c r="P11" s="139"/>
      <c r="Q11" s="139"/>
      <c r="R11" s="139"/>
      <c r="S11" s="139"/>
      <c r="T11" s="139"/>
      <c r="U11" s="139"/>
    </row>
    <row r="14" spans="1:22" ht="42.75" customHeight="1" x14ac:dyDescent="0.3">
      <c r="A14" s="170" t="s">
        <v>31</v>
      </c>
      <c r="B14" s="170" t="s">
        <v>32</v>
      </c>
      <c r="C14" s="170" t="s">
        <v>33</v>
      </c>
      <c r="D14" s="170" t="s">
        <v>34</v>
      </c>
      <c r="E14" s="170" t="s">
        <v>35</v>
      </c>
      <c r="F14" s="170" t="s">
        <v>36</v>
      </c>
      <c r="G14" s="170" t="s">
        <v>37</v>
      </c>
      <c r="H14" s="170" t="s">
        <v>38</v>
      </c>
    </row>
    <row r="15" spans="1:22" ht="43.5" customHeight="1" x14ac:dyDescent="0.3">
      <c r="A15" s="169" t="s">
        <v>39</v>
      </c>
      <c r="B15" s="167">
        <v>480</v>
      </c>
      <c r="C15" s="167" t="s">
        <v>40</v>
      </c>
      <c r="D15" s="167" t="s">
        <v>41</v>
      </c>
      <c r="E15" s="167" t="s">
        <v>42</v>
      </c>
      <c r="F15" s="167" t="s">
        <v>43</v>
      </c>
      <c r="G15" s="167" t="s">
        <v>44</v>
      </c>
      <c r="H15" s="167" t="s">
        <v>45</v>
      </c>
    </row>
    <row r="16" spans="1:22" ht="32.25" customHeight="1" x14ac:dyDescent="0.3">
      <c r="A16" s="169" t="s">
        <v>28</v>
      </c>
      <c r="B16" s="167">
        <v>120</v>
      </c>
      <c r="C16" s="167" t="s">
        <v>46</v>
      </c>
      <c r="D16" s="167" t="s">
        <v>47</v>
      </c>
      <c r="E16" s="167" t="s">
        <v>48</v>
      </c>
      <c r="F16" s="167" t="s">
        <v>49</v>
      </c>
      <c r="G16" s="167" t="s">
        <v>50</v>
      </c>
      <c r="H16" s="167" t="s">
        <v>51</v>
      </c>
    </row>
    <row r="17" spans="1:8" ht="39" customHeight="1" x14ac:dyDescent="0.3">
      <c r="A17" s="169" t="s">
        <v>52</v>
      </c>
      <c r="B17" s="167">
        <v>480</v>
      </c>
      <c r="C17" s="167" t="s">
        <v>53</v>
      </c>
      <c r="D17" s="167" t="s">
        <v>54</v>
      </c>
      <c r="E17" s="167" t="s">
        <v>55</v>
      </c>
      <c r="F17" s="167" t="s">
        <v>56</v>
      </c>
      <c r="G17" s="167" t="s">
        <v>57</v>
      </c>
      <c r="H17" s="167" t="s">
        <v>58</v>
      </c>
    </row>
    <row r="18" spans="1:8" ht="34.5" customHeight="1" x14ac:dyDescent="0.3">
      <c r="A18" s="169" t="s">
        <v>59</v>
      </c>
      <c r="B18" s="167">
        <v>360</v>
      </c>
      <c r="C18" s="167" t="s">
        <v>60</v>
      </c>
      <c r="D18" s="167" t="s">
        <v>61</v>
      </c>
      <c r="E18" s="167" t="s">
        <v>62</v>
      </c>
      <c r="F18" s="167" t="s">
        <v>63</v>
      </c>
      <c r="G18" s="167" t="s">
        <v>64</v>
      </c>
      <c r="H18" s="167" t="s">
        <v>65</v>
      </c>
    </row>
    <row r="19" spans="1:8" ht="45.75" customHeight="1" x14ac:dyDescent="0.3">
      <c r="A19" s="169" t="s">
        <v>66</v>
      </c>
      <c r="B19" s="167">
        <v>120</v>
      </c>
      <c r="C19" s="167" t="s">
        <v>67</v>
      </c>
      <c r="D19" s="167" t="s">
        <v>68</v>
      </c>
      <c r="E19" s="167" t="s">
        <v>69</v>
      </c>
      <c r="F19" s="167" t="s">
        <v>70</v>
      </c>
      <c r="G19" s="167" t="s">
        <v>71</v>
      </c>
      <c r="H19" s="167" t="s">
        <v>72</v>
      </c>
    </row>
    <row r="20" spans="1:8" ht="15" customHeight="1" x14ac:dyDescent="0.3">
      <c r="A20" s="169" t="s">
        <v>73</v>
      </c>
      <c r="B20" s="167"/>
      <c r="C20" s="167"/>
      <c r="D20" s="167"/>
      <c r="E20" s="167"/>
      <c r="F20" s="167" t="s">
        <v>74</v>
      </c>
      <c r="G20" s="167" t="s">
        <v>75</v>
      </c>
      <c r="H20" s="168">
        <v>1</v>
      </c>
    </row>
    <row r="23" spans="1:8" ht="58.5" customHeight="1" x14ac:dyDescent="0.3">
      <c r="A23" s="160" t="s">
        <v>1</v>
      </c>
      <c r="B23" s="160" t="s">
        <v>20</v>
      </c>
      <c r="D23" s="163" t="s">
        <v>76</v>
      </c>
      <c r="E23" s="163" t="s">
        <v>77</v>
      </c>
      <c r="F23" s="163" t="s">
        <v>78</v>
      </c>
      <c r="G23" s="163" t="s">
        <v>79</v>
      </c>
      <c r="H23" s="163" t="s">
        <v>80</v>
      </c>
    </row>
    <row r="24" spans="1:8" ht="31.5" customHeight="1" x14ac:dyDescent="0.3">
      <c r="A24" s="159" t="s">
        <v>23</v>
      </c>
      <c r="B24" s="161">
        <f>+T2</f>
        <v>616092.03544048755</v>
      </c>
      <c r="D24" s="159" t="s">
        <v>81</v>
      </c>
      <c r="E24" s="162">
        <v>6</v>
      </c>
      <c r="F24" s="162">
        <v>5.08</v>
      </c>
      <c r="G24" s="161">
        <f>+F24*550</f>
        <v>2794</v>
      </c>
      <c r="H24" s="161">
        <f>+G24*775*8*10</f>
        <v>173228000</v>
      </c>
    </row>
    <row r="25" spans="1:8" ht="37.5" customHeight="1" x14ac:dyDescent="0.3">
      <c r="A25" s="159" t="s">
        <v>24</v>
      </c>
      <c r="B25" s="161">
        <f t="shared" ref="B25:B29" si="8">+T3</f>
        <v>616092.03544048755</v>
      </c>
      <c r="D25" s="159" t="s">
        <v>82</v>
      </c>
      <c r="E25" s="162">
        <v>0.94</v>
      </c>
      <c r="F25" s="162">
        <v>0.17</v>
      </c>
      <c r="G25" s="161">
        <f t="shared" ref="G25:G28" si="9">+F25*550</f>
        <v>93.5</v>
      </c>
      <c r="H25" s="161">
        <f>+G25*775*8*10</f>
        <v>5797000</v>
      </c>
    </row>
    <row r="26" spans="1:8" ht="31.5" customHeight="1" x14ac:dyDescent="0.3">
      <c r="A26" s="159" t="s">
        <v>83</v>
      </c>
      <c r="B26" s="161">
        <f t="shared" si="8"/>
        <v>3696552.2126429253</v>
      </c>
      <c r="D26" s="159" t="s">
        <v>84</v>
      </c>
      <c r="E26" s="162">
        <v>4.0199999999999996</v>
      </c>
      <c r="F26" s="162">
        <v>3</v>
      </c>
      <c r="G26" s="161">
        <f t="shared" si="9"/>
        <v>1650</v>
      </c>
      <c r="H26" s="161">
        <f>+G26*775*8*10</f>
        <v>102300000</v>
      </c>
    </row>
    <row r="27" spans="1:8" ht="57" customHeight="1" x14ac:dyDescent="0.3">
      <c r="A27" s="159" t="s">
        <v>26</v>
      </c>
      <c r="B27" s="161">
        <f t="shared" si="8"/>
        <v>893333.45138870692</v>
      </c>
      <c r="D27" s="159" t="s">
        <v>85</v>
      </c>
      <c r="E27" s="162">
        <v>75.099999999999994</v>
      </c>
      <c r="F27" s="162">
        <v>56</v>
      </c>
      <c r="G27" s="161">
        <f t="shared" si="9"/>
        <v>30800</v>
      </c>
      <c r="H27" s="161">
        <f>+G27*775*8*10</f>
        <v>1909600000</v>
      </c>
    </row>
    <row r="28" spans="1:8" ht="46.5" customHeight="1" x14ac:dyDescent="0.3">
      <c r="A28" s="159" t="s">
        <v>27</v>
      </c>
      <c r="B28" s="161">
        <f t="shared" si="8"/>
        <v>154023.00886012189</v>
      </c>
      <c r="D28" s="159" t="s">
        <v>86</v>
      </c>
      <c r="E28" s="162">
        <v>2.4</v>
      </c>
      <c r="F28" s="162">
        <v>1.8</v>
      </c>
      <c r="G28" s="161">
        <f t="shared" si="9"/>
        <v>990</v>
      </c>
      <c r="H28" s="164">
        <f>+G28*775*8*10</f>
        <v>61380000</v>
      </c>
    </row>
    <row r="29" spans="1:8" ht="47.25" customHeight="1" x14ac:dyDescent="0.3">
      <c r="A29" s="159" t="s">
        <v>28</v>
      </c>
      <c r="B29" s="161">
        <f t="shared" si="8"/>
        <v>1232184.0708809751</v>
      </c>
      <c r="G29" s="162" t="s">
        <v>87</v>
      </c>
      <c r="H29" s="161">
        <f>SUM(H24:H28)</f>
        <v>2252305000</v>
      </c>
    </row>
    <row r="31" spans="1:8" ht="15" customHeight="1" x14ac:dyDescent="0.3">
      <c r="A31" t="s">
        <v>88</v>
      </c>
    </row>
    <row r="33" spans="1:9" ht="15" customHeight="1" x14ac:dyDescent="0.3">
      <c r="A33" t="s">
        <v>89</v>
      </c>
      <c r="D33" s="196" t="s">
        <v>250</v>
      </c>
      <c r="E33" s="196">
        <v>2025</v>
      </c>
      <c r="F33" s="196">
        <v>2026</v>
      </c>
      <c r="G33" s="196">
        <v>2027</v>
      </c>
      <c r="H33" s="196">
        <v>2028</v>
      </c>
      <c r="I33" s="196">
        <v>2029</v>
      </c>
    </row>
    <row r="34" spans="1:9" ht="28.8" x14ac:dyDescent="0.3">
      <c r="D34" s="195" t="s">
        <v>107</v>
      </c>
      <c r="E34" s="139">
        <v>360</v>
      </c>
      <c r="F34" s="139">
        <f>+E34*(1+'1'!G3)</f>
        <v>376.2</v>
      </c>
      <c r="G34" s="143">
        <f>+F34*(1+'1'!H3)</f>
        <v>432.62999999999994</v>
      </c>
      <c r="H34" s="143">
        <f>+G34*(1+'1'!I3)</f>
        <v>497.52449999999988</v>
      </c>
      <c r="I34" s="143">
        <f>+H34*(1+'1'!J3)</f>
        <v>572.15317499999981</v>
      </c>
    </row>
    <row r="35" spans="1:9" ht="28.8" x14ac:dyDescent="0.3">
      <c r="D35" s="195" t="s">
        <v>83</v>
      </c>
      <c r="E35" s="139">
        <v>480</v>
      </c>
      <c r="F35" s="139">
        <f>+E35*(1+'1'!G4)</f>
        <v>501.59999999999997</v>
      </c>
      <c r="G35" s="143">
        <f>+F35*(1+'1'!H4)</f>
        <v>576.83999999999992</v>
      </c>
      <c r="H35" s="143">
        <f>+G35*(1+'1'!I4)</f>
        <v>646.06079999999997</v>
      </c>
      <c r="I35" s="143">
        <f>+H35*(1+'1'!J4)</f>
        <v>742.96991999999989</v>
      </c>
    </row>
    <row r="36" spans="1:9" ht="28.8" x14ac:dyDescent="0.3">
      <c r="D36" s="195" t="s">
        <v>26</v>
      </c>
      <c r="E36" s="139">
        <v>120</v>
      </c>
      <c r="F36" s="139">
        <f>+E36*(1+'1'!G5)</f>
        <v>126</v>
      </c>
      <c r="G36" s="143">
        <f>+F36*(1+'1'!H5)</f>
        <v>176.39999999999998</v>
      </c>
      <c r="H36" s="143">
        <f>+G36*(1+'1'!I5)</f>
        <v>198.45</v>
      </c>
      <c r="I36" s="143">
        <f>+H36*(1+'1'!J5)</f>
        <v>228.21749999999997</v>
      </c>
    </row>
    <row r="37" spans="1:9" ht="14.4" x14ac:dyDescent="0.3">
      <c r="D37" s="195" t="s">
        <v>27</v>
      </c>
      <c r="E37" s="139">
        <v>480</v>
      </c>
      <c r="F37" s="139">
        <f>+E37*(1+'1'!G6)</f>
        <v>500.16</v>
      </c>
      <c r="G37" s="143">
        <f>+F37*(1+'1'!H6)</f>
        <v>725.23199999999997</v>
      </c>
      <c r="H37" s="143">
        <f>+G37*(1+'1'!I6)</f>
        <v>841.26911999999993</v>
      </c>
      <c r="I37" s="143">
        <f>+H37*(1+'1'!J6)</f>
        <v>967.45948799999985</v>
      </c>
    </row>
    <row r="38" spans="1:9" ht="28.8" x14ac:dyDescent="0.3">
      <c r="D38" s="195" t="s">
        <v>28</v>
      </c>
      <c r="E38" s="139">
        <v>120</v>
      </c>
      <c r="F38" s="139">
        <f>+E38*(1+'1'!G7)</f>
        <v>126</v>
      </c>
      <c r="G38" s="143">
        <f>+F38*(1+'1'!H7)</f>
        <v>157.5</v>
      </c>
      <c r="H38" s="143">
        <f>+G38*(1+'1'!I7)</f>
        <v>173.25</v>
      </c>
      <c r="I38" s="143">
        <f>+H38*(1+'1'!J7)</f>
        <v>199.23749999999998</v>
      </c>
    </row>
    <row r="39" spans="1:9" ht="15" customHeight="1" x14ac:dyDescent="0.3">
      <c r="D39" s="197" t="s">
        <v>87</v>
      </c>
      <c r="E39" s="198">
        <f>SUM(E34:E38)</f>
        <v>1560</v>
      </c>
      <c r="F39" s="199">
        <f>SUM(F34:F38)</f>
        <v>1629.96</v>
      </c>
      <c r="G39" s="199">
        <f>SUM(G34:G38)</f>
        <v>2068.6019999999999</v>
      </c>
      <c r="H39" s="199">
        <f>SUM(H34:H38)</f>
        <v>2356.5544199999995</v>
      </c>
      <c r="I39" s="156">
        <f>SUM(I34:I38)</f>
        <v>2710.0375829999998</v>
      </c>
    </row>
    <row r="48" spans="1:9" ht="15" customHeight="1" x14ac:dyDescent="0.3">
      <c r="A48" t="s">
        <v>26</v>
      </c>
    </row>
    <row r="61" spans="1:1" ht="15" customHeight="1" x14ac:dyDescent="0.3">
      <c r="A61" t="s">
        <v>27</v>
      </c>
    </row>
    <row r="76" spans="1:1" ht="15" customHeight="1" x14ac:dyDescent="0.3">
      <c r="A76" t="s">
        <v>28</v>
      </c>
    </row>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24" zoomScale="80" zoomScaleNormal="80" workbookViewId="0">
      <selection activeCell="D3" sqref="D3:D7"/>
    </sheetView>
  </sheetViews>
  <sheetFormatPr baseColWidth="10" defaultColWidth="11.44140625" defaultRowHeight="14.4" x14ac:dyDescent="0.3"/>
  <cols>
    <col min="1" max="1" width="22.5546875" style="8" customWidth="1"/>
    <col min="2" max="2" width="47.21875" style="8" customWidth="1"/>
    <col min="3" max="3" width="29.21875" style="8" customWidth="1"/>
    <col min="4" max="6" width="28.5546875" style="8" bestFit="1" customWidth="1"/>
    <col min="7" max="10" width="9.44140625" style="8" bestFit="1" customWidth="1"/>
    <col min="11" max="11" width="4.21875" style="8" customWidth="1"/>
    <col min="12" max="15" width="11.44140625" style="8" hidden="1" customWidth="1"/>
    <col min="16" max="19" width="12" style="8" hidden="1" customWidth="1"/>
    <col min="20" max="24" width="15.5546875" style="8" hidden="1" customWidth="1"/>
    <col min="25" max="25" width="22.218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73" t="s">
        <v>90</v>
      </c>
      <c r="B1" s="173"/>
      <c r="C1" s="173"/>
      <c r="D1" s="173"/>
      <c r="E1" s="173"/>
      <c r="G1" s="174" t="s">
        <v>91</v>
      </c>
      <c r="H1" s="174"/>
      <c r="I1" s="174"/>
      <c r="J1" s="174"/>
      <c r="P1" s="8" t="s">
        <v>92</v>
      </c>
      <c r="Y1" s="14" t="s">
        <v>93</v>
      </c>
      <c r="Z1" s="46">
        <v>2025</v>
      </c>
      <c r="AA1" s="15"/>
    </row>
    <row r="2" spans="1:29" ht="32.25" customHeight="1" thickBot="1" x14ac:dyDescent="0.5">
      <c r="B2" s="16" t="s">
        <v>94</v>
      </c>
      <c r="C2" s="17" t="s">
        <v>95</v>
      </c>
      <c r="D2" s="16" t="s">
        <v>96</v>
      </c>
      <c r="E2" s="17" t="s">
        <v>97</v>
      </c>
      <c r="F2" s="18" t="s">
        <v>98</v>
      </c>
      <c r="G2" s="19">
        <f>'1'!Z1+1</f>
        <v>2026</v>
      </c>
      <c r="H2" s="19">
        <f>G2+1</f>
        <v>2027</v>
      </c>
      <c r="I2" s="19">
        <f>H2+1</f>
        <v>2028</v>
      </c>
      <c r="J2" s="19">
        <f>I2+1</f>
        <v>2029</v>
      </c>
      <c r="L2" s="8">
        <f>G2</f>
        <v>2026</v>
      </c>
      <c r="M2" s="8">
        <f>H2</f>
        <v>2027</v>
      </c>
      <c r="N2" s="8">
        <f>M2+1</f>
        <v>2028</v>
      </c>
      <c r="O2" s="8">
        <f>N2+1</f>
        <v>2029</v>
      </c>
      <c r="P2" s="8" t="s">
        <v>99</v>
      </c>
      <c r="Q2" s="8" t="s">
        <v>100</v>
      </c>
      <c r="R2" s="8" t="s">
        <v>101</v>
      </c>
      <c r="S2" s="8" t="s">
        <v>102</v>
      </c>
      <c r="T2" s="8" t="s">
        <v>103</v>
      </c>
      <c r="U2" s="8" t="s">
        <v>104</v>
      </c>
      <c r="V2" s="8" t="s">
        <v>105</v>
      </c>
      <c r="W2" s="8" t="s">
        <v>106</v>
      </c>
      <c r="Y2" s="15"/>
      <c r="Z2" s="15"/>
      <c r="AA2" s="15"/>
    </row>
    <row r="3" spans="1:29" ht="24" thickBot="1" x14ac:dyDescent="0.5">
      <c r="A3" s="20">
        <v>1</v>
      </c>
      <c r="B3" s="138" t="s">
        <v>107</v>
      </c>
      <c r="C3" s="52">
        <v>360</v>
      </c>
      <c r="D3" s="13">
        <v>650000</v>
      </c>
      <c r="E3" s="21">
        <f>C3*D3</f>
        <v>234000000</v>
      </c>
      <c r="F3" s="22">
        <f>IF($E$13=0,0,E3/$E$13)</f>
        <v>7.2088724584103508E-2</v>
      </c>
      <c r="G3" s="112">
        <v>4.4999999999999998E-2</v>
      </c>
      <c r="H3" s="112">
        <v>0.15</v>
      </c>
      <c r="I3" s="112">
        <v>0.15</v>
      </c>
      <c r="J3" s="112">
        <v>0.15</v>
      </c>
      <c r="K3" s="23"/>
      <c r="L3" s="8">
        <f t="shared" ref="L3:L12" si="0">C3*(1+G3)</f>
        <v>376.2</v>
      </c>
      <c r="M3" s="8">
        <f>L3*(1+H3)</f>
        <v>432.62999999999994</v>
      </c>
      <c r="N3" s="8">
        <f>M3*(1+I3)</f>
        <v>497.52449999999988</v>
      </c>
      <c r="O3" s="8">
        <f>N3*(1+J3)</f>
        <v>572.15317499999981</v>
      </c>
      <c r="P3" s="24">
        <f>D3*(1+'1'!$Z$4)</f>
        <v>686400</v>
      </c>
      <c r="Q3" s="24">
        <f>P3*(1+'1'!$AA$4)</f>
        <v>715915.2</v>
      </c>
      <c r="R3" s="24">
        <f>Q3*(1+'1'!$AB$4)</f>
        <v>743835.89279999991</v>
      </c>
      <c r="S3" s="24">
        <f>R3*(1+'1'!$AC$4)</f>
        <v>770613.98494079988</v>
      </c>
      <c r="T3" s="25">
        <f>L3*P3</f>
        <v>258223680</v>
      </c>
      <c r="U3" s="25">
        <f>M3*Q3</f>
        <v>309726392.97599995</v>
      </c>
      <c r="V3" s="25">
        <f>N3*R3</f>
        <v>370076580.64737344</v>
      </c>
      <c r="W3" s="25">
        <f>O3*S3</f>
        <v>440909238.18328071</v>
      </c>
      <c r="X3" s="25"/>
      <c r="Y3" s="26" t="s">
        <v>108</v>
      </c>
      <c r="Z3" s="27">
        <f>G2</f>
        <v>2026</v>
      </c>
      <c r="AA3" s="27">
        <f>Z3+1</f>
        <v>2027</v>
      </c>
      <c r="AB3" s="27">
        <f>AA3+1</f>
        <v>2028</v>
      </c>
      <c r="AC3" s="28">
        <f>AB3+1</f>
        <v>2029</v>
      </c>
    </row>
    <row r="4" spans="1:29" ht="23.4" x14ac:dyDescent="0.45">
      <c r="A4" s="20">
        <f>A3+1</f>
        <v>2</v>
      </c>
      <c r="B4" s="138" t="s">
        <v>83</v>
      </c>
      <c r="C4" s="52">
        <v>480</v>
      </c>
      <c r="D4" s="13">
        <v>5000000</v>
      </c>
      <c r="E4" s="21">
        <f t="shared" ref="E4:E12" si="1">C4*D4</f>
        <v>2400000000</v>
      </c>
      <c r="F4" s="22">
        <f t="shared" ref="F4:F12" si="2">IF($E$13=0,0,E4/$E$13)</f>
        <v>0.73937153419593349</v>
      </c>
      <c r="G4" s="112">
        <v>4.4999999999999998E-2</v>
      </c>
      <c r="H4" s="112">
        <v>0.15</v>
      </c>
      <c r="I4" s="112">
        <v>0.12</v>
      </c>
      <c r="J4" s="112">
        <v>0.15</v>
      </c>
      <c r="K4" s="23"/>
      <c r="L4" s="8">
        <f t="shared" si="0"/>
        <v>501.59999999999997</v>
      </c>
      <c r="M4" s="8">
        <f t="shared" ref="M4:M12" si="3">L4*(1+H4)</f>
        <v>576.83999999999992</v>
      </c>
      <c r="N4" s="8">
        <f t="shared" ref="N4:N12" si="4">M4*(1+I4)</f>
        <v>646.06079999999997</v>
      </c>
      <c r="O4" s="8">
        <f t="shared" ref="O4:O12" si="5">N4*(1+J4)</f>
        <v>742.96991999999989</v>
      </c>
      <c r="P4" s="24">
        <f>D4*(1+'1'!$Z$4)</f>
        <v>5280000</v>
      </c>
      <c r="Q4" s="24">
        <f>P4*(1+'1'!$AA$4)</f>
        <v>5507040</v>
      </c>
      <c r="R4" s="24">
        <f>Q4*(1+'1'!$AB$4)</f>
        <v>5721814.5599999996</v>
      </c>
      <c r="S4" s="24">
        <f>R4*(1+'1'!$AC$4)</f>
        <v>5927799.8841599999</v>
      </c>
      <c r="T4" s="25">
        <f t="shared" ref="T4:T12" si="6">L4*P4</f>
        <v>2648448000</v>
      </c>
      <c r="U4" s="25">
        <f t="shared" ref="U4:U12" si="7">M4*Q4</f>
        <v>3176680953.5999994</v>
      </c>
      <c r="V4" s="25">
        <f t="shared" ref="V4:V12" si="8">N4*R4</f>
        <v>3696640092.0852475</v>
      </c>
      <c r="W4" s="25">
        <f t="shared" ref="W4:W12" si="9">O4*S4</f>
        <v>4404177005.7103634</v>
      </c>
      <c r="X4" s="25"/>
      <c r="Y4" s="114" t="s">
        <v>109</v>
      </c>
      <c r="Z4" s="47">
        <v>5.6000000000000001E-2</v>
      </c>
      <c r="AA4" s="47">
        <v>4.2999999999999997E-2</v>
      </c>
      <c r="AB4" s="47">
        <v>3.9E-2</v>
      </c>
      <c r="AC4" s="48">
        <v>3.5999999999999997E-2</v>
      </c>
    </row>
    <row r="5" spans="1:29" ht="24" thickBot="1" x14ac:dyDescent="0.5">
      <c r="A5" s="20">
        <f t="shared" ref="A5:A12" si="10">A4+1</f>
        <v>3</v>
      </c>
      <c r="B5" s="138" t="s">
        <v>26</v>
      </c>
      <c r="C5" s="52">
        <v>120</v>
      </c>
      <c r="D5" s="13">
        <v>980000</v>
      </c>
      <c r="E5" s="21">
        <f t="shared" si="1"/>
        <v>117600000</v>
      </c>
      <c r="F5" s="22">
        <f t="shared" si="2"/>
        <v>3.6229205175600743E-2</v>
      </c>
      <c r="G5" s="112">
        <v>0.05</v>
      </c>
      <c r="H5" s="112">
        <v>0.4</v>
      </c>
      <c r="I5" s="112">
        <v>0.125</v>
      </c>
      <c r="J5" s="112">
        <v>0.15</v>
      </c>
      <c r="K5" s="23"/>
      <c r="L5" s="8">
        <f t="shared" si="0"/>
        <v>126</v>
      </c>
      <c r="M5" s="8">
        <f t="shared" si="3"/>
        <v>176.39999999999998</v>
      </c>
      <c r="N5" s="8">
        <f t="shared" si="4"/>
        <v>198.45</v>
      </c>
      <c r="O5" s="8">
        <f t="shared" si="5"/>
        <v>228.21749999999997</v>
      </c>
      <c r="P5" s="24">
        <f>D5*(1+'1'!$Z$4)</f>
        <v>1034880</v>
      </c>
      <c r="Q5" s="24">
        <f>P5*(1+'1'!$AA$4)</f>
        <v>1079379.8399999999</v>
      </c>
      <c r="R5" s="24">
        <f>Q5*(1+'1'!$AB$4)</f>
        <v>1121475.6537599997</v>
      </c>
      <c r="S5" s="24">
        <f>R5*(1+'1'!$AC$4)</f>
        <v>1161848.7772953596</v>
      </c>
      <c r="T5" s="25">
        <f t="shared" si="6"/>
        <v>130394880</v>
      </c>
      <c r="U5" s="25">
        <f t="shared" si="7"/>
        <v>190402603.77599996</v>
      </c>
      <c r="V5" s="25">
        <f t="shared" si="8"/>
        <v>222556843.48867193</v>
      </c>
      <c r="W5" s="25">
        <f t="shared" si="9"/>
        <v>265154223.33240372</v>
      </c>
      <c r="X5" s="25"/>
      <c r="Y5" s="115" t="s">
        <v>110</v>
      </c>
      <c r="Z5" s="49">
        <v>0.05</v>
      </c>
      <c r="AA5" s="49">
        <v>0.05</v>
      </c>
      <c r="AB5" s="49">
        <v>0.05</v>
      </c>
      <c r="AC5" s="50">
        <v>0.05</v>
      </c>
    </row>
    <row r="6" spans="1:29" ht="15" thickBot="1" x14ac:dyDescent="0.35">
      <c r="A6" s="20">
        <f t="shared" si="10"/>
        <v>4</v>
      </c>
      <c r="B6" s="138" t="s">
        <v>27</v>
      </c>
      <c r="C6" s="52">
        <v>480</v>
      </c>
      <c r="D6" s="13">
        <v>280000</v>
      </c>
      <c r="E6" s="21">
        <f t="shared" si="1"/>
        <v>134400000</v>
      </c>
      <c r="F6" s="22">
        <f t="shared" si="2"/>
        <v>4.1404805914972274E-2</v>
      </c>
      <c r="G6" s="112">
        <v>4.2000000000000003E-2</v>
      </c>
      <c r="H6" s="112">
        <v>0.45</v>
      </c>
      <c r="I6" s="112">
        <v>0.16</v>
      </c>
      <c r="J6" s="112">
        <v>0.15</v>
      </c>
      <c r="K6" s="23"/>
      <c r="L6" s="8">
        <f t="shared" si="0"/>
        <v>500.16</v>
      </c>
      <c r="M6" s="8">
        <f t="shared" si="3"/>
        <v>725.23199999999997</v>
      </c>
      <c r="N6" s="8">
        <f t="shared" si="4"/>
        <v>841.26911999999993</v>
      </c>
      <c r="O6" s="8">
        <f t="shared" si="5"/>
        <v>967.45948799999985</v>
      </c>
      <c r="P6" s="24">
        <f>D6*(1+'1'!$Z$4)</f>
        <v>295680</v>
      </c>
      <c r="Q6" s="24">
        <f>P6*(1+'1'!$AA$4)</f>
        <v>308394.23999999999</v>
      </c>
      <c r="R6" s="24">
        <f>Q6*(1+'1'!$AB$4)</f>
        <v>320421.61535999994</v>
      </c>
      <c r="S6" s="24">
        <f>R6*(1+'1'!$AC$4)</f>
        <v>331956.79351295996</v>
      </c>
      <c r="T6" s="25">
        <f t="shared" si="6"/>
        <v>147887308.80000001</v>
      </c>
      <c r="U6" s="25">
        <f t="shared" si="7"/>
        <v>223657371.46368</v>
      </c>
      <c r="V6" s="25">
        <f t="shared" si="8"/>
        <v>269560810.38288563</v>
      </c>
      <c r="W6" s="25">
        <f t="shared" si="9"/>
        <v>321154749.49016994</v>
      </c>
      <c r="X6" s="25"/>
    </row>
    <row r="7" spans="1:29" ht="24" thickBot="1" x14ac:dyDescent="0.5">
      <c r="A7" s="20">
        <f t="shared" si="10"/>
        <v>5</v>
      </c>
      <c r="B7" s="138" t="s">
        <v>28</v>
      </c>
      <c r="C7" s="52">
        <v>120</v>
      </c>
      <c r="D7" s="13">
        <v>3000000</v>
      </c>
      <c r="E7" s="21">
        <f t="shared" si="1"/>
        <v>360000000</v>
      </c>
      <c r="F7" s="22">
        <f t="shared" si="2"/>
        <v>0.11090573012939002</v>
      </c>
      <c r="G7" s="112">
        <v>0.05</v>
      </c>
      <c r="H7" s="112">
        <v>0.25</v>
      </c>
      <c r="I7" s="112">
        <v>0.1</v>
      </c>
      <c r="J7" s="112">
        <v>0.15</v>
      </c>
      <c r="K7" s="23"/>
      <c r="L7" s="8">
        <f t="shared" si="0"/>
        <v>126</v>
      </c>
      <c r="M7" s="8">
        <f t="shared" si="3"/>
        <v>157.5</v>
      </c>
      <c r="N7" s="8">
        <f t="shared" si="4"/>
        <v>173.25</v>
      </c>
      <c r="O7" s="8">
        <f t="shared" si="5"/>
        <v>199.23749999999998</v>
      </c>
      <c r="P7" s="24">
        <f>D7*(1+'1'!$Z$4)</f>
        <v>3168000</v>
      </c>
      <c r="Q7" s="24">
        <f>P7*(1+'1'!$AA$4)</f>
        <v>3304224</v>
      </c>
      <c r="R7" s="24">
        <f>Q7*(1+'1'!$AB$4)</f>
        <v>3433088.7359999996</v>
      </c>
      <c r="S7" s="24">
        <f>R7*(1+'1'!$AC$4)</f>
        <v>3556679.9304959998</v>
      </c>
      <c r="T7" s="25">
        <f t="shared" si="6"/>
        <v>399168000</v>
      </c>
      <c r="U7" s="25">
        <f t="shared" si="7"/>
        <v>520415280</v>
      </c>
      <c r="V7" s="25">
        <f t="shared" si="8"/>
        <v>594782623.51199996</v>
      </c>
      <c r="W7" s="25">
        <f t="shared" si="9"/>
        <v>708624017.65219665</v>
      </c>
      <c r="X7" s="25"/>
      <c r="Y7" s="29" t="s">
        <v>111</v>
      </c>
      <c r="Z7" s="30"/>
      <c r="AA7" s="30"/>
      <c r="AB7" s="51">
        <v>0.34</v>
      </c>
      <c r="AC7" s="31"/>
    </row>
    <row r="8" spans="1:29" x14ac:dyDescent="0.3">
      <c r="A8" s="20">
        <f t="shared" si="10"/>
        <v>6</v>
      </c>
      <c r="B8" s="138"/>
      <c r="C8" s="52"/>
      <c r="D8" s="13"/>
      <c r="E8" s="21">
        <f t="shared" si="1"/>
        <v>0</v>
      </c>
      <c r="F8" s="22">
        <f t="shared" si="2"/>
        <v>0</v>
      </c>
      <c r="G8" s="112"/>
      <c r="H8" s="112"/>
      <c r="I8" s="112"/>
      <c r="J8" s="112"/>
      <c r="K8" s="23"/>
      <c r="L8" s="8">
        <f t="shared" si="0"/>
        <v>0</v>
      </c>
      <c r="M8" s="8">
        <f t="shared" si="3"/>
        <v>0</v>
      </c>
      <c r="N8" s="8">
        <f t="shared" si="4"/>
        <v>0</v>
      </c>
      <c r="O8" s="8">
        <f t="shared" si="5"/>
        <v>0</v>
      </c>
      <c r="P8" s="24">
        <f>D8*(1+'1'!$Z$4)</f>
        <v>0</v>
      </c>
      <c r="Q8" s="24">
        <f>P8*(1+'1'!$AA$4)</f>
        <v>0</v>
      </c>
      <c r="R8" s="24">
        <f>Q8*(1+'1'!$AB$4)</f>
        <v>0</v>
      </c>
      <c r="S8" s="24">
        <f>R8*(1+'1'!$AC$4)</f>
        <v>0</v>
      </c>
      <c r="T8" s="25">
        <f t="shared" si="6"/>
        <v>0</v>
      </c>
      <c r="U8" s="25">
        <f t="shared" si="7"/>
        <v>0</v>
      </c>
      <c r="V8" s="25">
        <f t="shared" si="8"/>
        <v>0</v>
      </c>
      <c r="W8" s="25">
        <f t="shared" si="9"/>
        <v>0</v>
      </c>
      <c r="X8" s="25"/>
    </row>
    <row r="9" spans="1:29" x14ac:dyDescent="0.3">
      <c r="A9" s="20">
        <f t="shared" si="10"/>
        <v>7</v>
      </c>
      <c r="B9" s="138"/>
      <c r="C9" s="52"/>
      <c r="D9" s="13"/>
      <c r="E9" s="21">
        <f t="shared" si="1"/>
        <v>0</v>
      </c>
      <c r="F9" s="22">
        <f t="shared" si="2"/>
        <v>0</v>
      </c>
      <c r="G9" s="112"/>
      <c r="H9" s="112"/>
      <c r="I9" s="112"/>
      <c r="J9" s="112"/>
      <c r="K9" s="23"/>
      <c r="L9" s="8">
        <f t="shared" si="0"/>
        <v>0</v>
      </c>
      <c r="M9" s="8">
        <f t="shared" si="3"/>
        <v>0</v>
      </c>
      <c r="N9" s="8">
        <f t="shared" si="4"/>
        <v>0</v>
      </c>
      <c r="O9" s="8">
        <f t="shared" si="5"/>
        <v>0</v>
      </c>
      <c r="P9" s="24">
        <f>D9*(1+'1'!$Z$4)</f>
        <v>0</v>
      </c>
      <c r="Q9" s="24">
        <f>P9*(1+'1'!$AA$4)</f>
        <v>0</v>
      </c>
      <c r="R9" s="24">
        <f>Q9*(1+'1'!$AB$4)</f>
        <v>0</v>
      </c>
      <c r="S9" s="24">
        <f>R9*(1+'1'!$AC$4)</f>
        <v>0</v>
      </c>
      <c r="T9" s="25">
        <f t="shared" si="6"/>
        <v>0</v>
      </c>
      <c r="U9" s="25">
        <f t="shared" si="7"/>
        <v>0</v>
      </c>
      <c r="V9" s="25">
        <f t="shared" si="8"/>
        <v>0</v>
      </c>
      <c r="W9" s="25">
        <f t="shared" si="9"/>
        <v>0</v>
      </c>
      <c r="X9" s="25"/>
    </row>
    <row r="10" spans="1:29" x14ac:dyDescent="0.3">
      <c r="A10" s="20">
        <f t="shared" si="10"/>
        <v>8</v>
      </c>
      <c r="B10" s="138"/>
      <c r="C10" s="52"/>
      <c r="D10" s="13"/>
      <c r="E10" s="21">
        <f t="shared" si="1"/>
        <v>0</v>
      </c>
      <c r="F10" s="22">
        <f t="shared" si="2"/>
        <v>0</v>
      </c>
      <c r="G10" s="112"/>
      <c r="H10" s="112"/>
      <c r="I10" s="112"/>
      <c r="J10" s="112"/>
      <c r="K10" s="23"/>
      <c r="L10" s="8">
        <f t="shared" si="0"/>
        <v>0</v>
      </c>
      <c r="M10" s="8">
        <f t="shared" si="3"/>
        <v>0</v>
      </c>
      <c r="N10" s="8">
        <f t="shared" si="4"/>
        <v>0</v>
      </c>
      <c r="O10" s="8">
        <f t="shared" si="5"/>
        <v>0</v>
      </c>
      <c r="P10" s="24">
        <f>D10*(1+'1'!$Z$4)</f>
        <v>0</v>
      </c>
      <c r="Q10" s="24">
        <f>P10*(1+'1'!$AA$4)</f>
        <v>0</v>
      </c>
      <c r="R10" s="24">
        <f>Q10*(1+'1'!$AB$4)</f>
        <v>0</v>
      </c>
      <c r="S10" s="24">
        <f>R10*(1+'1'!$AC$4)</f>
        <v>0</v>
      </c>
      <c r="T10" s="25">
        <f t="shared" si="6"/>
        <v>0</v>
      </c>
      <c r="U10" s="25">
        <f t="shared" si="7"/>
        <v>0</v>
      </c>
      <c r="V10" s="25">
        <f t="shared" si="8"/>
        <v>0</v>
      </c>
      <c r="W10" s="25">
        <f t="shared" si="9"/>
        <v>0</v>
      </c>
      <c r="X10" s="25"/>
    </row>
    <row r="11" spans="1:29" x14ac:dyDescent="0.3">
      <c r="A11" s="20">
        <f t="shared" si="10"/>
        <v>9</v>
      </c>
      <c r="B11" s="138"/>
      <c r="C11" s="52"/>
      <c r="D11" s="13"/>
      <c r="E11" s="21">
        <f t="shared" si="1"/>
        <v>0</v>
      </c>
      <c r="F11" s="22">
        <f t="shared" si="2"/>
        <v>0</v>
      </c>
      <c r="G11" s="112"/>
      <c r="H11" s="112"/>
      <c r="I11" s="112"/>
      <c r="J11" s="112"/>
      <c r="K11" s="23"/>
      <c r="L11" s="8">
        <f t="shared" si="0"/>
        <v>0</v>
      </c>
      <c r="M11" s="8">
        <f t="shared" si="3"/>
        <v>0</v>
      </c>
      <c r="N11" s="8">
        <f t="shared" si="4"/>
        <v>0</v>
      </c>
      <c r="O11" s="8">
        <f t="shared" si="5"/>
        <v>0</v>
      </c>
      <c r="P11" s="24">
        <f>D11*(1+'1'!$Z$4)</f>
        <v>0</v>
      </c>
      <c r="Q11" s="24">
        <f>P11*(1+'1'!$AA$4)</f>
        <v>0</v>
      </c>
      <c r="R11" s="24">
        <f>Q11*(1+'1'!$AB$4)</f>
        <v>0</v>
      </c>
      <c r="S11" s="24">
        <f>R11*(1+'1'!$AC$4)</f>
        <v>0</v>
      </c>
      <c r="T11" s="25">
        <f t="shared" si="6"/>
        <v>0</v>
      </c>
      <c r="U11" s="25">
        <f t="shared" si="7"/>
        <v>0</v>
      </c>
      <c r="V11" s="25">
        <f t="shared" si="8"/>
        <v>0</v>
      </c>
      <c r="W11" s="25">
        <f t="shared" si="9"/>
        <v>0</v>
      </c>
      <c r="X11" s="25"/>
    </row>
    <row r="12" spans="1:29" x14ac:dyDescent="0.3">
      <c r="A12" s="20">
        <f t="shared" si="10"/>
        <v>10</v>
      </c>
      <c r="B12" s="138"/>
      <c r="C12" s="52"/>
      <c r="D12" s="13"/>
      <c r="E12" s="21">
        <f t="shared" si="1"/>
        <v>0</v>
      </c>
      <c r="F12" s="22">
        <f t="shared" si="2"/>
        <v>0</v>
      </c>
      <c r="G12" s="45"/>
      <c r="H12" s="45"/>
      <c r="I12" s="45"/>
      <c r="J12" s="45"/>
      <c r="K12" s="23"/>
      <c r="L12" s="8">
        <f t="shared" si="0"/>
        <v>0</v>
      </c>
      <c r="M12" s="8">
        <f t="shared" si="3"/>
        <v>0</v>
      </c>
      <c r="N12" s="8">
        <f t="shared" si="4"/>
        <v>0</v>
      </c>
      <c r="O12" s="8">
        <f t="shared" si="5"/>
        <v>0</v>
      </c>
      <c r="P12" s="24">
        <f>D12*(1+'1'!$Z$4)</f>
        <v>0</v>
      </c>
      <c r="Q12" s="24">
        <f>P12*(1+'1'!$AA$4)</f>
        <v>0</v>
      </c>
      <c r="R12" s="24">
        <f>Q12*(1+'1'!$AB$4)</f>
        <v>0</v>
      </c>
      <c r="S12" s="24">
        <f>R12*(1+'1'!$AC$4)</f>
        <v>0</v>
      </c>
      <c r="T12" s="25">
        <f t="shared" si="6"/>
        <v>0</v>
      </c>
      <c r="U12" s="25">
        <f t="shared" si="7"/>
        <v>0</v>
      </c>
      <c r="V12" s="25">
        <f t="shared" si="8"/>
        <v>0</v>
      </c>
      <c r="W12" s="25">
        <f t="shared" si="9"/>
        <v>0</v>
      </c>
      <c r="X12" s="25"/>
    </row>
    <row r="13" spans="1:29" x14ac:dyDescent="0.3">
      <c r="D13" s="8" t="s">
        <v>112</v>
      </c>
      <c r="E13" s="32">
        <f>SUM(E3:E12)</f>
        <v>3246000000</v>
      </c>
      <c r="F13" s="33">
        <f>SUM(F3:F12)</f>
        <v>1.0000000000000002</v>
      </c>
      <c r="T13" s="34">
        <f>SUM(T3:T12)</f>
        <v>3584121868.8000002</v>
      </c>
      <c r="U13" s="34">
        <f>SUM(U3:U12)</f>
        <v>4420882601.8156796</v>
      </c>
      <c r="V13" s="34">
        <f>SUM(V3:V12)</f>
        <v>5153616950.1161785</v>
      </c>
      <c r="W13" s="34">
        <f>SUM(W3:W12)</f>
        <v>6140019234.3684149</v>
      </c>
      <c r="X13" s="25"/>
    </row>
    <row r="15" spans="1:29" ht="23.25" customHeight="1" x14ac:dyDescent="0.3">
      <c r="A15" s="173" t="s">
        <v>113</v>
      </c>
      <c r="B15" s="173"/>
      <c r="C15" s="173"/>
      <c r="D15" s="173"/>
      <c r="E15" s="173"/>
      <c r="G15" s="35"/>
    </row>
    <row r="16" spans="1:29" ht="25.5" customHeight="1" x14ac:dyDescent="0.3">
      <c r="B16" s="16" t="s">
        <v>114</v>
      </c>
      <c r="C16" s="36" t="s">
        <v>95</v>
      </c>
      <c r="D16" s="110" t="s">
        <v>115</v>
      </c>
      <c r="E16" s="17" t="s">
        <v>116</v>
      </c>
      <c r="L16" s="8">
        <f>L2</f>
        <v>2026</v>
      </c>
      <c r="M16" s="8">
        <f t="shared" ref="M16:W16" si="11">M2</f>
        <v>2027</v>
      </c>
      <c r="N16" s="8">
        <f t="shared" si="11"/>
        <v>2028</v>
      </c>
      <c r="O16" s="8">
        <f t="shared" si="11"/>
        <v>2029</v>
      </c>
      <c r="P16" s="8" t="str">
        <f t="shared" si="11"/>
        <v>AÑO 2</v>
      </c>
      <c r="Q16" s="8" t="str">
        <f t="shared" si="11"/>
        <v>AÑO 3</v>
      </c>
      <c r="R16" s="8" t="str">
        <f t="shared" si="11"/>
        <v>AÑO 4</v>
      </c>
      <c r="S16" s="8" t="str">
        <f t="shared" si="11"/>
        <v>AÑO 5</v>
      </c>
      <c r="T16" s="8" t="str">
        <f t="shared" si="11"/>
        <v>año 2</v>
      </c>
      <c r="U16" s="8" t="str">
        <f t="shared" si="11"/>
        <v>año 3</v>
      </c>
      <c r="V16" s="8" t="str">
        <f t="shared" si="11"/>
        <v>año 4</v>
      </c>
      <c r="W16" s="8" t="str">
        <f t="shared" si="11"/>
        <v>año 5</v>
      </c>
    </row>
    <row r="17" spans="1:24" x14ac:dyDescent="0.3">
      <c r="A17" s="20">
        <f>A3</f>
        <v>1</v>
      </c>
      <c r="B17" s="91" t="str">
        <f>B3</f>
        <v>Tableros de fibra de coco 1 m2 - calibre 15 mm</v>
      </c>
      <c r="C17" s="38">
        <f>C3</f>
        <v>360</v>
      </c>
      <c r="D17" s="13">
        <f>+'Forecast de materia prima'!T3</f>
        <v>616092.03544048755</v>
      </c>
      <c r="E17" s="21">
        <f>C17*D17</f>
        <v>221793132.75857553</v>
      </c>
      <c r="F17" s="22">
        <f>IF($E$27=0,0,E17/$E$27)</f>
        <v>9.5389507154213043E-2</v>
      </c>
      <c r="L17" s="8">
        <f t="shared" ref="L17:L26" si="12">C17*(1+G3)</f>
        <v>376.2</v>
      </c>
      <c r="M17" s="8">
        <f>L17*(1+H3)</f>
        <v>432.62999999999994</v>
      </c>
      <c r="N17" s="8">
        <f>M17*(1+I3)</f>
        <v>497.52449999999988</v>
      </c>
      <c r="O17" s="8">
        <f>N17*(1+J3)</f>
        <v>572.15317499999981</v>
      </c>
      <c r="P17" s="39">
        <f>D17*(1+'1'!$Z$5)</f>
        <v>646896.63721251197</v>
      </c>
      <c r="Q17" s="24">
        <f>P17*(1+'1'!$AA$5)</f>
        <v>679241.46907313762</v>
      </c>
      <c r="R17" s="24">
        <f>Q17*(1+'1'!$AB$5)</f>
        <v>713203.54252679448</v>
      </c>
      <c r="S17" s="24">
        <f>R17*(1+'1'!$AC$5)</f>
        <v>748863.71965313423</v>
      </c>
      <c r="T17" s="39">
        <f t="shared" ref="T17:U19" si="13">L17*P17</f>
        <v>243362514.91934699</v>
      </c>
      <c r="U17" s="25">
        <f t="shared" si="13"/>
        <v>293860236.76511151</v>
      </c>
      <c r="V17" s="25">
        <f>N17*R17</f>
        <v>354836235.89387208</v>
      </c>
      <c r="W17" s="25">
        <f>O17*S17</f>
        <v>428464754.84185052</v>
      </c>
      <c r="X17" s="25"/>
    </row>
    <row r="18" spans="1:24" x14ac:dyDescent="0.3">
      <c r="A18" s="20">
        <f t="shared" ref="A18:B25" si="14">A4</f>
        <v>2</v>
      </c>
      <c r="B18" s="40" t="str">
        <f t="shared" si="14"/>
        <v xml:space="preserve">Mesas con fribra de coco - comedor 4 puestos </v>
      </c>
      <c r="C18" s="38">
        <f t="shared" ref="C18:C26" si="15">C4</f>
        <v>480</v>
      </c>
      <c r="D18" s="13">
        <f>+'Forecast de materia prima'!T4</f>
        <v>3696552.2126429253</v>
      </c>
      <c r="E18" s="21">
        <f t="shared" ref="E18:E26" si="16">C18*D18</f>
        <v>1774345062.0686042</v>
      </c>
      <c r="F18" s="22">
        <f t="shared" ref="F18:F26" si="17">IF($E$27=0,0,E18/$E$27)</f>
        <v>0.76311605723370435</v>
      </c>
      <c r="L18" s="8">
        <f t="shared" si="12"/>
        <v>501.59999999999997</v>
      </c>
      <c r="M18" s="8">
        <f t="shared" ref="M18:M26" si="18">L18*(1+H4)</f>
        <v>576.83999999999992</v>
      </c>
      <c r="N18" s="8">
        <f t="shared" ref="N18:N26" si="19">M18*(1+I4)</f>
        <v>646.06079999999997</v>
      </c>
      <c r="O18" s="8">
        <f t="shared" ref="O18:O26" si="20">N18*(1+J4)</f>
        <v>742.96991999999989</v>
      </c>
      <c r="P18" s="39">
        <f>D18*(1+'1'!$Z$5)</f>
        <v>3881379.8232750716</v>
      </c>
      <c r="Q18" s="24">
        <f>P18*(1+'1'!$AA$5)</f>
        <v>4075448.8144388255</v>
      </c>
      <c r="R18" s="24">
        <f>Q18*(1+'1'!$AB$5)</f>
        <v>4279221.2551607667</v>
      </c>
      <c r="S18" s="24">
        <f>R18*(1+'1'!$AC$5)</f>
        <v>4493182.3179188054</v>
      </c>
      <c r="T18" s="39">
        <f t="shared" si="13"/>
        <v>1946900119.3547757</v>
      </c>
      <c r="U18" s="25">
        <f t="shared" si="13"/>
        <v>2350881894.1208916</v>
      </c>
      <c r="V18" s="25">
        <f t="shared" ref="V18:V26" si="21">N18*R18</f>
        <v>2764637107.4861689</v>
      </c>
      <c r="W18" s="25">
        <f t="shared" ref="W18:W26" si="22">O18*S18</f>
        <v>3338299307.2895489</v>
      </c>
      <c r="X18" s="25"/>
    </row>
    <row r="19" spans="1:24" x14ac:dyDescent="0.3">
      <c r="A19" s="20">
        <f t="shared" si="14"/>
        <v>3</v>
      </c>
      <c r="B19" s="40" t="str">
        <f>B5</f>
        <v>Mesas de centro con fribra de coco  - pequeña</v>
      </c>
      <c r="C19" s="38">
        <f t="shared" si="15"/>
        <v>120</v>
      </c>
      <c r="D19" s="13">
        <f>+'Forecast de materia prima'!T5</f>
        <v>893333.45138870692</v>
      </c>
      <c r="E19" s="21">
        <f t="shared" si="16"/>
        <v>107200014.16664483</v>
      </c>
      <c r="F19" s="22">
        <f t="shared" si="17"/>
        <v>4.6104928457869634E-2</v>
      </c>
      <c r="L19" s="8">
        <f t="shared" si="12"/>
        <v>126</v>
      </c>
      <c r="M19" s="8">
        <f t="shared" si="18"/>
        <v>176.39999999999998</v>
      </c>
      <c r="N19" s="8">
        <f t="shared" si="19"/>
        <v>198.45</v>
      </c>
      <c r="O19" s="8">
        <f t="shared" si="20"/>
        <v>228.21749999999997</v>
      </c>
      <c r="P19" s="39">
        <f>D19*(1+'1'!$Z$5)</f>
        <v>938000.12395814236</v>
      </c>
      <c r="Q19" s="24">
        <f>P19*(1+'1'!$AA$5)</f>
        <v>984900.1301560495</v>
      </c>
      <c r="R19" s="24">
        <f>Q19*(1+'1'!$AB$5)</f>
        <v>1034145.136663852</v>
      </c>
      <c r="S19" s="24">
        <f>R19*(1+'1'!$AC$5)</f>
        <v>1085852.3934970447</v>
      </c>
      <c r="T19" s="39">
        <f t="shared" si="13"/>
        <v>118188015.61872594</v>
      </c>
      <c r="U19" s="25">
        <f t="shared" si="13"/>
        <v>173736382.95952711</v>
      </c>
      <c r="V19" s="25">
        <f t="shared" si="21"/>
        <v>205226102.37094143</v>
      </c>
      <c r="W19" s="25">
        <f t="shared" si="22"/>
        <v>247810518.61291176</v>
      </c>
      <c r="X19" s="25"/>
    </row>
    <row r="20" spans="1:24" x14ac:dyDescent="0.3">
      <c r="A20" s="20">
        <f t="shared" si="14"/>
        <v>4</v>
      </c>
      <c r="B20" s="40" t="str">
        <f>B6</f>
        <v xml:space="preserve">Soporte para macetas pequeño </v>
      </c>
      <c r="C20" s="38">
        <f t="shared" si="15"/>
        <v>480</v>
      </c>
      <c r="D20" s="13">
        <f>+'Forecast de materia prima'!T6</f>
        <v>154023.00886012189</v>
      </c>
      <c r="E20" s="21">
        <f t="shared" si="16"/>
        <v>73931044.252858505</v>
      </c>
      <c r="F20" s="22">
        <f t="shared" si="17"/>
        <v>3.1796502384737677E-2</v>
      </c>
      <c r="L20" s="8">
        <f t="shared" si="12"/>
        <v>500.16</v>
      </c>
      <c r="M20" s="8">
        <f t="shared" si="18"/>
        <v>725.23199999999997</v>
      </c>
      <c r="N20" s="8">
        <f t="shared" si="19"/>
        <v>841.26911999999993</v>
      </c>
      <c r="O20" s="8">
        <f t="shared" si="20"/>
        <v>967.45948799999985</v>
      </c>
      <c r="P20" s="39">
        <f>D20*(1+'1'!$Z$5)</f>
        <v>161724.15930312799</v>
      </c>
      <c r="Q20" s="24">
        <f>P20*(1+'1'!$AA$5)</f>
        <v>169810.3672682844</v>
      </c>
      <c r="R20" s="24">
        <f>Q20*(1+'1'!$AB$5)</f>
        <v>178300.88563169862</v>
      </c>
      <c r="S20" s="24">
        <f>R20*(1+'1'!$AC$5)</f>
        <v>187215.92991328356</v>
      </c>
      <c r="T20" s="39">
        <f t="shared" ref="T20:T26" si="23">L20*P20</f>
        <v>80887955.517052501</v>
      </c>
      <c r="U20" s="25">
        <f t="shared" ref="U20:U26" si="24">M20*Q20</f>
        <v>123151912.27471243</v>
      </c>
      <c r="V20" s="25">
        <f t="shared" si="21"/>
        <v>149999029.15059972</v>
      </c>
      <c r="W20" s="25">
        <f t="shared" si="22"/>
        <v>181123827.69934916</v>
      </c>
      <c r="X20" s="25"/>
    </row>
    <row r="21" spans="1:24" x14ac:dyDescent="0.3">
      <c r="A21" s="20">
        <f t="shared" si="14"/>
        <v>5</v>
      </c>
      <c r="B21" s="40" t="str">
        <f>B7</f>
        <v>Escritorio con fibra de coco Pequeño</v>
      </c>
      <c r="C21" s="38">
        <f t="shared" si="15"/>
        <v>120</v>
      </c>
      <c r="D21" s="13">
        <f>+'Forecast de materia prima'!T7</f>
        <v>1232184.0708809751</v>
      </c>
      <c r="E21" s="21">
        <f t="shared" si="16"/>
        <v>147862088.50571701</v>
      </c>
      <c r="F21" s="22">
        <f t="shared" si="17"/>
        <v>6.3593004769475353E-2</v>
      </c>
      <c r="L21" s="8">
        <f t="shared" si="12"/>
        <v>126</v>
      </c>
      <c r="M21" s="8">
        <f t="shared" si="18"/>
        <v>157.5</v>
      </c>
      <c r="N21" s="8">
        <f t="shared" si="19"/>
        <v>173.25</v>
      </c>
      <c r="O21" s="8">
        <f t="shared" si="20"/>
        <v>199.23749999999998</v>
      </c>
      <c r="P21" s="39">
        <f>D21*(1+'1'!$Z$5)</f>
        <v>1293793.2744250239</v>
      </c>
      <c r="Q21" s="24">
        <f>P21*(1+'1'!$AA$5)</f>
        <v>1358482.9381462752</v>
      </c>
      <c r="R21" s="24">
        <f>Q21*(1+'1'!$AB$5)</f>
        <v>1426407.085053589</v>
      </c>
      <c r="S21" s="24">
        <f>R21*(1+'1'!$AC$5)</f>
        <v>1497727.4393062685</v>
      </c>
      <c r="T21" s="39">
        <f t="shared" si="23"/>
        <v>163017952.577553</v>
      </c>
      <c r="U21" s="25">
        <f t="shared" si="24"/>
        <v>213961062.75803834</v>
      </c>
      <c r="V21" s="25">
        <f t="shared" si="21"/>
        <v>247125027.48553428</v>
      </c>
      <c r="W21" s="25">
        <f t="shared" si="22"/>
        <v>298403470.68878263</v>
      </c>
      <c r="X21" s="25"/>
    </row>
    <row r="22" spans="1:24" x14ac:dyDescent="0.3">
      <c r="A22" s="20">
        <f t="shared" si="14"/>
        <v>6</v>
      </c>
      <c r="B22" s="40">
        <f>B8</f>
        <v>0</v>
      </c>
      <c r="C22" s="38">
        <f t="shared" si="15"/>
        <v>0</v>
      </c>
      <c r="D22" s="13"/>
      <c r="E22" s="21">
        <f t="shared" si="16"/>
        <v>0</v>
      </c>
      <c r="F22" s="22">
        <f t="shared" si="17"/>
        <v>0</v>
      </c>
      <c r="L22" s="8">
        <f t="shared" si="12"/>
        <v>0</v>
      </c>
      <c r="M22" s="8">
        <f t="shared" si="18"/>
        <v>0</v>
      </c>
      <c r="N22" s="8">
        <f t="shared" si="19"/>
        <v>0</v>
      </c>
      <c r="O22" s="8">
        <f t="shared" si="20"/>
        <v>0</v>
      </c>
      <c r="P22" s="39">
        <f>D22*(1+'1'!$Z$5)</f>
        <v>0</v>
      </c>
      <c r="Q22" s="24">
        <f>P22*(1+'1'!$AA$5)</f>
        <v>0</v>
      </c>
      <c r="R22" s="24">
        <f>Q22*(1+'1'!$AB$5)</f>
        <v>0</v>
      </c>
      <c r="S22" s="24">
        <f>R22*(1+'1'!$AC$5)</f>
        <v>0</v>
      </c>
      <c r="T22" s="39">
        <f t="shared" si="23"/>
        <v>0</v>
      </c>
      <c r="U22" s="25">
        <f t="shared" si="24"/>
        <v>0</v>
      </c>
      <c r="V22" s="25">
        <f t="shared" si="21"/>
        <v>0</v>
      </c>
      <c r="W22" s="25">
        <f t="shared" si="22"/>
        <v>0</v>
      </c>
      <c r="X22" s="25"/>
    </row>
    <row r="23" spans="1:24" x14ac:dyDescent="0.3">
      <c r="A23" s="20">
        <f t="shared" si="14"/>
        <v>7</v>
      </c>
      <c r="B23" s="40">
        <f t="shared" si="14"/>
        <v>0</v>
      </c>
      <c r="C23" s="38">
        <f t="shared" si="15"/>
        <v>0</v>
      </c>
      <c r="D23" s="13">
        <f t="shared" ref="D23:D26" si="25">D9*0.45</f>
        <v>0</v>
      </c>
      <c r="E23" s="21">
        <f t="shared" si="16"/>
        <v>0</v>
      </c>
      <c r="F23" s="22">
        <f t="shared" si="17"/>
        <v>0</v>
      </c>
      <c r="L23" s="8">
        <f t="shared" si="12"/>
        <v>0</v>
      </c>
      <c r="M23" s="8">
        <f t="shared" si="18"/>
        <v>0</v>
      </c>
      <c r="N23" s="8">
        <f t="shared" si="19"/>
        <v>0</v>
      </c>
      <c r="O23" s="8">
        <f t="shared" si="20"/>
        <v>0</v>
      </c>
      <c r="P23" s="39">
        <f>D23*(1+'1'!$Z$5)</f>
        <v>0</v>
      </c>
      <c r="Q23" s="24">
        <f>P23*(1+'1'!$AA$5)</f>
        <v>0</v>
      </c>
      <c r="R23" s="24">
        <f>Q23*(1+'1'!$AB$5)</f>
        <v>0</v>
      </c>
      <c r="S23" s="24">
        <f>R23*(1+'1'!$AC$5)</f>
        <v>0</v>
      </c>
      <c r="T23" s="39">
        <f t="shared" si="23"/>
        <v>0</v>
      </c>
      <c r="U23" s="25">
        <f t="shared" si="24"/>
        <v>0</v>
      </c>
      <c r="V23" s="25">
        <f t="shared" si="21"/>
        <v>0</v>
      </c>
      <c r="W23" s="25">
        <f t="shared" si="22"/>
        <v>0</v>
      </c>
      <c r="X23" s="25"/>
    </row>
    <row r="24" spans="1:24" x14ac:dyDescent="0.3">
      <c r="A24" s="20">
        <f t="shared" si="14"/>
        <v>8</v>
      </c>
      <c r="B24" s="40">
        <f t="shared" si="14"/>
        <v>0</v>
      </c>
      <c r="C24" s="38">
        <f t="shared" si="15"/>
        <v>0</v>
      </c>
      <c r="D24" s="13">
        <f t="shared" si="25"/>
        <v>0</v>
      </c>
      <c r="E24" s="21">
        <f t="shared" si="16"/>
        <v>0</v>
      </c>
      <c r="F24" s="22">
        <f t="shared" si="17"/>
        <v>0</v>
      </c>
      <c r="L24" s="8">
        <f t="shared" si="12"/>
        <v>0</v>
      </c>
      <c r="M24" s="8">
        <f t="shared" si="18"/>
        <v>0</v>
      </c>
      <c r="N24" s="8">
        <f t="shared" si="19"/>
        <v>0</v>
      </c>
      <c r="O24" s="8">
        <f t="shared" si="20"/>
        <v>0</v>
      </c>
      <c r="P24" s="39">
        <f>D24*(1+'1'!$Z$5)</f>
        <v>0</v>
      </c>
      <c r="Q24" s="24">
        <f>P24*(1+'1'!$AA$5)</f>
        <v>0</v>
      </c>
      <c r="R24" s="24">
        <f>Q24*(1+'1'!$AB$5)</f>
        <v>0</v>
      </c>
      <c r="S24" s="24">
        <f>R24*(1+'1'!$AC$5)</f>
        <v>0</v>
      </c>
      <c r="T24" s="39">
        <f t="shared" si="23"/>
        <v>0</v>
      </c>
      <c r="U24" s="25">
        <f t="shared" si="24"/>
        <v>0</v>
      </c>
      <c r="V24" s="25">
        <f t="shared" si="21"/>
        <v>0</v>
      </c>
      <c r="W24" s="25">
        <f t="shared" si="22"/>
        <v>0</v>
      </c>
      <c r="X24" s="25"/>
    </row>
    <row r="25" spans="1:24" x14ac:dyDescent="0.3">
      <c r="A25" s="20">
        <f t="shared" si="14"/>
        <v>9</v>
      </c>
      <c r="B25" s="40">
        <f t="shared" si="14"/>
        <v>0</v>
      </c>
      <c r="C25" s="38">
        <f t="shared" si="15"/>
        <v>0</v>
      </c>
      <c r="D25" s="13">
        <f t="shared" si="25"/>
        <v>0</v>
      </c>
      <c r="E25" s="21">
        <f t="shared" si="16"/>
        <v>0</v>
      </c>
      <c r="F25" s="22">
        <f t="shared" si="17"/>
        <v>0</v>
      </c>
      <c r="L25" s="8">
        <f t="shared" si="12"/>
        <v>0</v>
      </c>
      <c r="M25" s="8">
        <f t="shared" si="18"/>
        <v>0</v>
      </c>
      <c r="N25" s="8">
        <f t="shared" si="19"/>
        <v>0</v>
      </c>
      <c r="O25" s="8">
        <f t="shared" si="20"/>
        <v>0</v>
      </c>
      <c r="P25" s="39">
        <f>D25*(1+'1'!$Z$5)</f>
        <v>0</v>
      </c>
      <c r="Q25" s="24">
        <f>P25*(1+'1'!$AA$5)</f>
        <v>0</v>
      </c>
      <c r="R25" s="24">
        <f>Q25*(1+'1'!$AB$5)</f>
        <v>0</v>
      </c>
      <c r="S25" s="24">
        <f>R25*(1+'1'!$AC$5)</f>
        <v>0</v>
      </c>
      <c r="T25" s="39">
        <f t="shared" si="23"/>
        <v>0</v>
      </c>
      <c r="U25" s="25">
        <f t="shared" si="24"/>
        <v>0</v>
      </c>
      <c r="V25" s="25">
        <f t="shared" si="21"/>
        <v>0</v>
      </c>
      <c r="W25" s="25">
        <f t="shared" si="22"/>
        <v>0</v>
      </c>
      <c r="X25" s="25"/>
    </row>
    <row r="26" spans="1:24" x14ac:dyDescent="0.3">
      <c r="A26" s="20">
        <f>A12</f>
        <v>10</v>
      </c>
      <c r="B26" s="40">
        <f>B12</f>
        <v>0</v>
      </c>
      <c r="C26" s="38">
        <f t="shared" si="15"/>
        <v>0</v>
      </c>
      <c r="D26" s="13">
        <f t="shared" si="25"/>
        <v>0</v>
      </c>
      <c r="E26" s="21">
        <f t="shared" si="16"/>
        <v>0</v>
      </c>
      <c r="F26" s="22">
        <f t="shared" si="17"/>
        <v>0</v>
      </c>
      <c r="L26" s="8">
        <f t="shared" si="12"/>
        <v>0</v>
      </c>
      <c r="M26" s="8">
        <f t="shared" si="18"/>
        <v>0</v>
      </c>
      <c r="N26" s="8">
        <f t="shared" si="19"/>
        <v>0</v>
      </c>
      <c r="O26" s="8">
        <f t="shared" si="20"/>
        <v>0</v>
      </c>
      <c r="P26" s="39">
        <f>D26*(1+'1'!$Z$5)</f>
        <v>0</v>
      </c>
      <c r="Q26" s="24">
        <f>P26*(1+'1'!$AA$5)</f>
        <v>0</v>
      </c>
      <c r="R26" s="24">
        <f>Q26*(1+'1'!$AB$5)</f>
        <v>0</v>
      </c>
      <c r="S26" s="24">
        <f>R26*(1+'1'!$AC$5)</f>
        <v>0</v>
      </c>
      <c r="T26" s="39">
        <f t="shared" si="23"/>
        <v>0</v>
      </c>
      <c r="U26" s="25">
        <f t="shared" si="24"/>
        <v>0</v>
      </c>
      <c r="V26" s="25">
        <f t="shared" si="21"/>
        <v>0</v>
      </c>
      <c r="W26" s="25">
        <f t="shared" si="22"/>
        <v>0</v>
      </c>
      <c r="X26" s="25"/>
    </row>
    <row r="27" spans="1:24" x14ac:dyDescent="0.3">
      <c r="D27" s="8" t="str">
        <f>D13</f>
        <v>TOTAL</v>
      </c>
      <c r="E27" s="32">
        <f>SUM(E17:E26)</f>
        <v>2325131341.7523999</v>
      </c>
      <c r="F27" s="33">
        <f>SUM(F17:F26)</f>
        <v>1</v>
      </c>
      <c r="T27" s="34">
        <f>SUM(T17:T26)</f>
        <v>2552356557.9874539</v>
      </c>
      <c r="U27" s="34">
        <f>SUM(U17:U26)</f>
        <v>3155591488.8782811</v>
      </c>
      <c r="V27" s="34">
        <f>SUM(V17:V26)</f>
        <v>3721823502.3871169</v>
      </c>
      <c r="W27" s="34">
        <f>SUM(W17:W26)</f>
        <v>4494101879.1324425</v>
      </c>
      <c r="X27" s="25"/>
    </row>
    <row r="30" spans="1:24" x14ac:dyDescent="0.3">
      <c r="A30" s="172" t="s">
        <v>117</v>
      </c>
      <c r="B30" s="172"/>
      <c r="C30" s="172"/>
      <c r="D30" s="172"/>
      <c r="E30" s="172"/>
      <c r="F30" s="172"/>
    </row>
    <row r="31" spans="1:24" ht="25.2" x14ac:dyDescent="0.45">
      <c r="A31" s="41" t="s">
        <v>108</v>
      </c>
      <c r="B31" s="42">
        <f>'1'!Z1</f>
        <v>2025</v>
      </c>
      <c r="C31" s="42">
        <f>B31+1</f>
        <v>2026</v>
      </c>
      <c r="D31" s="42">
        <f>C31+1</f>
        <v>2027</v>
      </c>
      <c r="E31" s="42">
        <f>D31+1</f>
        <v>2028</v>
      </c>
      <c r="F31" s="42">
        <f>E31+1</f>
        <v>2029</v>
      </c>
      <c r="H31" s="43"/>
      <c r="I31" s="43"/>
      <c r="J31" s="43"/>
      <c r="K31" s="43"/>
      <c r="L31" s="43"/>
      <c r="M31" s="43"/>
      <c r="N31" s="43"/>
      <c r="O31" s="43"/>
      <c r="P31" s="43"/>
      <c r="Q31" s="43"/>
      <c r="R31" s="43"/>
      <c r="S31" s="43"/>
      <c r="T31" s="43"/>
      <c r="U31" s="43"/>
      <c r="V31" s="43"/>
    </row>
    <row r="32" spans="1:24" ht="15.6" x14ac:dyDescent="0.3">
      <c r="A32" s="134" t="s">
        <v>118</v>
      </c>
      <c r="B32" s="135">
        <f>'1'!E13</f>
        <v>3246000000</v>
      </c>
      <c r="C32" s="136">
        <f>'1'!T13</f>
        <v>3584121868.8000002</v>
      </c>
      <c r="D32" s="136">
        <f>'1'!U13</f>
        <v>4420882601.8156796</v>
      </c>
      <c r="E32" s="136">
        <f>'1'!V13</f>
        <v>5153616950.1161785</v>
      </c>
      <c r="F32" s="136">
        <f>'1'!W13</f>
        <v>6140019234.3684149</v>
      </c>
    </row>
    <row r="33" spans="1:6" ht="15.6" x14ac:dyDescent="0.3">
      <c r="A33" s="134" t="s">
        <v>119</v>
      </c>
      <c r="B33" s="135">
        <f>'1'!E27</f>
        <v>2325131341.7523999</v>
      </c>
      <c r="C33" s="135">
        <f>'1'!T27</f>
        <v>2552356557.9874539</v>
      </c>
      <c r="D33" s="135">
        <f>'1'!U27</f>
        <v>3155591488.8782811</v>
      </c>
      <c r="E33" s="135">
        <f>'1'!V27</f>
        <v>3721823502.3871169</v>
      </c>
      <c r="F33" s="135">
        <f>'1'!W27</f>
        <v>4494101879.1324425</v>
      </c>
    </row>
    <row r="34" spans="1:6" ht="21.6" thickBot="1" x14ac:dyDescent="0.45">
      <c r="A34" s="44" t="s">
        <v>120</v>
      </c>
      <c r="B34" s="113">
        <f>B32-B33</f>
        <v>920868658.24760008</v>
      </c>
      <c r="C34" s="113">
        <f>C32-C33</f>
        <v>1031765310.8125463</v>
      </c>
      <c r="D34" s="113">
        <f>D32-D33</f>
        <v>1265291112.9373984</v>
      </c>
      <c r="E34" s="113">
        <f>E32-E33</f>
        <v>1431793447.7290616</v>
      </c>
      <c r="F34" s="113">
        <f>F32-F33</f>
        <v>1645917355.2359724</v>
      </c>
    </row>
    <row r="35" spans="1:6" ht="15" thickTop="1" x14ac:dyDescent="0.3"/>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15" activePane="bottomLeft" state="frozenSplit"/>
      <selection activeCell="B40" sqref="B40"/>
      <selection pane="bottomLeft" activeCell="F20" sqref="F20"/>
    </sheetView>
  </sheetViews>
  <sheetFormatPr baseColWidth="10" defaultColWidth="11.44140625" defaultRowHeight="14.4" x14ac:dyDescent="0.3"/>
  <cols>
    <col min="1" max="1" width="5.44140625" style="8" customWidth="1"/>
    <col min="2" max="2" width="29.44140625" style="8" bestFit="1" customWidth="1"/>
    <col min="3" max="3" width="20.21875" style="8" customWidth="1"/>
    <col min="4" max="4" width="11.44140625" style="8"/>
    <col min="5" max="5" width="23.21875" style="8" customWidth="1"/>
    <col min="6" max="6" width="19.21875" style="8" bestFit="1" customWidth="1"/>
    <col min="7" max="7" width="15.5546875" style="8" bestFit="1" customWidth="1"/>
    <col min="8" max="16384" width="11.44140625" style="8"/>
  </cols>
  <sheetData>
    <row r="1" spans="2:13" x14ac:dyDescent="0.3">
      <c r="B1" s="175" t="s">
        <v>121</v>
      </c>
      <c r="C1" s="175"/>
      <c r="D1" s="175"/>
      <c r="E1" s="175"/>
      <c r="F1" s="175"/>
      <c r="G1" s="175"/>
      <c r="H1" s="175"/>
    </row>
    <row r="2" spans="2:13" ht="3.75" customHeight="1" x14ac:dyDescent="0.3">
      <c r="B2" s="175"/>
      <c r="C2" s="175"/>
      <c r="D2" s="175"/>
      <c r="E2" s="175"/>
      <c r="F2" s="175"/>
      <c r="G2" s="175"/>
      <c r="H2" s="175"/>
    </row>
    <row r="3" spans="2:13" x14ac:dyDescent="0.3">
      <c r="C3" s="20" t="s">
        <v>122</v>
      </c>
      <c r="F3" s="70" t="s">
        <v>123</v>
      </c>
      <c r="G3" s="128"/>
      <c r="H3" s="128"/>
      <c r="I3" s="128"/>
      <c r="J3" s="128"/>
      <c r="K3" s="128"/>
      <c r="L3" s="128"/>
      <c r="M3" s="128"/>
    </row>
    <row r="4" spans="2:13" x14ac:dyDescent="0.3">
      <c r="B4" s="44" t="s">
        <v>124</v>
      </c>
      <c r="C4" s="13">
        <v>0</v>
      </c>
      <c r="F4" s="70"/>
      <c r="G4" s="70"/>
      <c r="H4" s="70"/>
      <c r="I4" s="128"/>
      <c r="J4" s="128"/>
      <c r="K4" s="128"/>
      <c r="L4" s="128"/>
      <c r="M4" s="128"/>
    </row>
    <row r="5" spans="2:13" x14ac:dyDescent="0.3">
      <c r="B5" s="44" t="s">
        <v>125</v>
      </c>
      <c r="C5" s="13">
        <v>101959900</v>
      </c>
      <c r="F5" s="70">
        <v>10</v>
      </c>
      <c r="G5" s="71">
        <f t="shared" ref="G5:G11" si="0">C5/F5</f>
        <v>10195990</v>
      </c>
      <c r="H5" s="70"/>
      <c r="I5" s="128"/>
      <c r="J5" s="128"/>
      <c r="K5" s="128"/>
      <c r="L5" s="128"/>
      <c r="M5" s="128"/>
    </row>
    <row r="6" spans="2:13" x14ac:dyDescent="0.3">
      <c r="B6" s="44" t="s">
        <v>126</v>
      </c>
      <c r="C6" s="13">
        <v>10000000</v>
      </c>
      <c r="F6" s="70">
        <v>5</v>
      </c>
      <c r="G6" s="71">
        <f t="shared" si="0"/>
        <v>2000000</v>
      </c>
      <c r="H6" s="70"/>
      <c r="I6" s="128"/>
      <c r="J6" s="128"/>
      <c r="K6" s="128"/>
      <c r="L6" s="128"/>
      <c r="M6" s="128"/>
    </row>
    <row r="7" spans="2:13" x14ac:dyDescent="0.3">
      <c r="B7" s="44" t="s">
        <v>127</v>
      </c>
      <c r="C7" s="13">
        <v>12000000</v>
      </c>
      <c r="F7" s="70">
        <v>5</v>
      </c>
      <c r="G7" s="71">
        <f t="shared" si="0"/>
        <v>2400000</v>
      </c>
      <c r="H7" s="70"/>
      <c r="I7" s="128"/>
      <c r="J7" s="128"/>
      <c r="K7" s="128"/>
      <c r="L7" s="128"/>
      <c r="M7" s="128"/>
    </row>
    <row r="8" spans="2:13" x14ac:dyDescent="0.3">
      <c r="B8" s="44" t="s">
        <v>128</v>
      </c>
      <c r="C8" s="13">
        <v>0</v>
      </c>
      <c r="F8" s="70">
        <v>5</v>
      </c>
      <c r="G8" s="71">
        <f t="shared" si="0"/>
        <v>0</v>
      </c>
      <c r="H8" s="70"/>
      <c r="I8" s="128"/>
      <c r="J8" s="128"/>
      <c r="K8" s="128"/>
      <c r="L8" s="128"/>
      <c r="M8" s="128"/>
    </row>
    <row r="9" spans="2:13" x14ac:dyDescent="0.3">
      <c r="B9" s="44" t="s">
        <v>129</v>
      </c>
      <c r="C9" s="13">
        <v>0</v>
      </c>
      <c r="F9" s="70">
        <v>5</v>
      </c>
      <c r="G9" s="71">
        <f t="shared" si="0"/>
        <v>0</v>
      </c>
      <c r="H9" s="70"/>
      <c r="I9" s="128"/>
      <c r="J9" s="128"/>
      <c r="K9" s="128"/>
      <c r="L9" s="128"/>
      <c r="M9" s="128"/>
    </row>
    <row r="10" spans="2:13" x14ac:dyDescent="0.3">
      <c r="B10" s="44" t="s">
        <v>130</v>
      </c>
      <c r="C10" s="13">
        <v>1863000</v>
      </c>
      <c r="F10" s="70">
        <v>5</v>
      </c>
      <c r="G10" s="71">
        <f t="shared" si="0"/>
        <v>372600</v>
      </c>
      <c r="H10" s="70"/>
      <c r="I10" s="128"/>
      <c r="J10" s="128"/>
      <c r="K10" s="128"/>
      <c r="L10" s="128"/>
      <c r="M10" s="128"/>
    </row>
    <row r="11" spans="2:13" x14ac:dyDescent="0.3">
      <c r="B11" s="44" t="s">
        <v>131</v>
      </c>
      <c r="C11" s="13">
        <v>5000000</v>
      </c>
      <c r="F11" s="70">
        <v>5</v>
      </c>
      <c r="G11" s="71">
        <f t="shared" si="0"/>
        <v>1000000</v>
      </c>
      <c r="H11" s="70"/>
      <c r="I11" s="128"/>
      <c r="J11" s="128"/>
      <c r="K11" s="128"/>
      <c r="L11" s="128"/>
      <c r="M11" s="128"/>
    </row>
    <row r="12" spans="2:13" ht="16.2" thickBot="1" x14ac:dyDescent="0.35">
      <c r="B12" s="72" t="s">
        <v>132</v>
      </c>
      <c r="C12" s="73">
        <f>SUM(C4:C11)</f>
        <v>130822900</v>
      </c>
      <c r="F12" s="70"/>
      <c r="G12" s="71">
        <f>SUM(G5:G11)</f>
        <v>15968590</v>
      </c>
      <c r="H12" s="70"/>
      <c r="I12" s="128"/>
      <c r="J12" s="128"/>
      <c r="K12" s="128"/>
      <c r="L12" s="128"/>
      <c r="M12" s="128"/>
    </row>
    <row r="13" spans="2:13" x14ac:dyDescent="0.3">
      <c r="B13" s="176" t="s">
        <v>133</v>
      </c>
      <c r="C13" s="177"/>
      <c r="D13" s="177"/>
      <c r="E13" s="177"/>
      <c r="F13" s="177"/>
      <c r="G13" s="177"/>
      <c r="H13" s="178"/>
    </row>
    <row r="14" spans="2:13" ht="15" thickBot="1" x14ac:dyDescent="0.35">
      <c r="B14" s="179"/>
      <c r="C14" s="180"/>
      <c r="D14" s="180"/>
      <c r="E14" s="180"/>
      <c r="F14" s="180"/>
      <c r="G14" s="180"/>
      <c r="H14" s="181"/>
    </row>
    <row r="15" spans="2:13" x14ac:dyDescent="0.3">
      <c r="B15" s="74"/>
      <c r="C15" s="74"/>
      <c r="D15" s="74"/>
      <c r="E15" s="74"/>
      <c r="F15" s="74"/>
      <c r="G15" s="74"/>
      <c r="H15" s="74"/>
    </row>
    <row r="16" spans="2:13" x14ac:dyDescent="0.3">
      <c r="B16" s="72" t="s">
        <v>134</v>
      </c>
      <c r="E16" s="72" t="s">
        <v>135</v>
      </c>
      <c r="F16" s="37"/>
    </row>
    <row r="17" spans="2:6" x14ac:dyDescent="0.3">
      <c r="C17" s="72" t="s">
        <v>136</v>
      </c>
      <c r="F17" s="72" t="str">
        <f>C17</f>
        <v>VALOR AÑO 1</v>
      </c>
    </row>
    <row r="18" spans="2:6" x14ac:dyDescent="0.3">
      <c r="B18" s="75" t="s">
        <v>137</v>
      </c>
      <c r="C18" s="13">
        <v>272160000</v>
      </c>
      <c r="E18" s="76" t="s">
        <v>138</v>
      </c>
      <c r="F18" s="13">
        <v>72000000</v>
      </c>
    </row>
    <row r="19" spans="2:6" x14ac:dyDescent="0.3">
      <c r="C19" s="77"/>
      <c r="E19" s="76" t="s">
        <v>139</v>
      </c>
      <c r="F19" s="13">
        <v>100000000</v>
      </c>
    </row>
    <row r="20" spans="2:6" x14ac:dyDescent="0.3">
      <c r="B20" s="75" t="s">
        <v>140</v>
      </c>
      <c r="C20" s="13"/>
      <c r="E20" s="76" t="s">
        <v>141</v>
      </c>
      <c r="F20" s="13">
        <v>0</v>
      </c>
    </row>
    <row r="21" spans="2:6" x14ac:dyDescent="0.3">
      <c r="C21" s="77"/>
      <c r="E21" s="76" t="s">
        <v>142</v>
      </c>
      <c r="F21" s="13">
        <v>1380000</v>
      </c>
    </row>
    <row r="22" spans="2:6" x14ac:dyDescent="0.3">
      <c r="B22" s="75" t="s">
        <v>143</v>
      </c>
      <c r="C22" s="13">
        <v>143505000</v>
      </c>
      <c r="E22" s="76" t="s">
        <v>144</v>
      </c>
      <c r="F22" s="13">
        <v>1500000</v>
      </c>
    </row>
    <row r="23" spans="2:6" ht="15.6" x14ac:dyDescent="0.3">
      <c r="B23" s="8" t="s">
        <v>145</v>
      </c>
      <c r="C23" s="73">
        <f>C18+C20+C22</f>
        <v>415665000</v>
      </c>
      <c r="E23" s="76" t="s">
        <v>146</v>
      </c>
      <c r="F23" s="13">
        <v>2000000</v>
      </c>
    </row>
    <row r="24" spans="2:6" x14ac:dyDescent="0.3">
      <c r="E24" s="76" t="s">
        <v>147</v>
      </c>
      <c r="F24" s="13">
        <v>8000000</v>
      </c>
    </row>
    <row r="25" spans="2:6" ht="24.6" x14ac:dyDescent="0.3">
      <c r="B25" s="76" t="s">
        <v>148</v>
      </c>
      <c r="C25" s="13">
        <v>5000000</v>
      </c>
      <c r="E25" s="97" t="s">
        <v>149</v>
      </c>
      <c r="F25" s="13">
        <v>6000000</v>
      </c>
    </row>
    <row r="26" spans="2:6" x14ac:dyDescent="0.3">
      <c r="E26" s="97" t="s">
        <v>150</v>
      </c>
      <c r="F26" s="13">
        <v>18000000</v>
      </c>
    </row>
    <row r="27" spans="2:6" x14ac:dyDescent="0.3">
      <c r="B27" s="95" t="s">
        <v>151</v>
      </c>
      <c r="C27" s="95"/>
      <c r="E27" s="97"/>
      <c r="F27" s="13">
        <v>0</v>
      </c>
    </row>
    <row r="28" spans="2:6" x14ac:dyDescent="0.3">
      <c r="B28" s="111">
        <f>'1'!G2</f>
        <v>2026</v>
      </c>
      <c r="C28" s="13">
        <v>10000000</v>
      </c>
      <c r="E28" s="97"/>
      <c r="F28" s="13">
        <v>0</v>
      </c>
    </row>
    <row r="29" spans="2:6" x14ac:dyDescent="0.3">
      <c r="B29" s="111">
        <f>'1'!H2</f>
        <v>2027</v>
      </c>
      <c r="C29" s="13">
        <v>15000000</v>
      </c>
      <c r="E29" s="97"/>
      <c r="F29" s="13">
        <v>0</v>
      </c>
    </row>
    <row r="30" spans="2:6" x14ac:dyDescent="0.3">
      <c r="B30" s="111">
        <f>'1'!I2</f>
        <v>2028</v>
      </c>
      <c r="C30" s="13">
        <v>20000000</v>
      </c>
      <c r="E30" s="97"/>
      <c r="F30" s="13">
        <v>0</v>
      </c>
    </row>
    <row r="31" spans="2:6" ht="15.6" x14ac:dyDescent="0.3">
      <c r="B31" s="111">
        <f>'1'!J2</f>
        <v>2029</v>
      </c>
      <c r="C31" s="13">
        <v>25000000</v>
      </c>
      <c r="E31" s="76" t="s">
        <v>152</v>
      </c>
      <c r="F31" s="73">
        <f>SUM(F18:F30)</f>
        <v>208880000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I9" sqref="I9"/>
    </sheetView>
  </sheetViews>
  <sheetFormatPr baseColWidth="10" defaultColWidth="11.44140625" defaultRowHeight="14.4" x14ac:dyDescent="0.3"/>
  <cols>
    <col min="1" max="1" width="11.44140625" style="8"/>
    <col min="2" max="2" width="39" style="8" bestFit="1" customWidth="1"/>
    <col min="3" max="3" width="18.5546875" style="8" bestFit="1" customWidth="1"/>
    <col min="4" max="4" width="30.77734375" style="8" customWidth="1"/>
    <col min="5" max="5" width="12.77734375" style="8" customWidth="1"/>
    <col min="6" max="6" width="18.77734375" style="8" customWidth="1"/>
    <col min="7" max="7" width="17.77734375" style="8" customWidth="1"/>
    <col min="8" max="8" width="15.21875" style="8" bestFit="1" customWidth="1"/>
    <col min="9" max="9" width="17" style="8" bestFit="1" customWidth="1"/>
    <col min="10" max="10" width="16.21875" style="8" bestFit="1" customWidth="1"/>
    <col min="11" max="16384" width="11.44140625" style="8"/>
  </cols>
  <sheetData>
    <row r="2" spans="2:12" ht="29.25" customHeight="1" x14ac:dyDescent="0.3">
      <c r="B2" s="173" t="s">
        <v>153</v>
      </c>
      <c r="C2" s="173"/>
      <c r="D2" s="173"/>
      <c r="E2" s="173"/>
      <c r="F2" s="173"/>
      <c r="G2" s="173"/>
      <c r="H2" s="173"/>
      <c r="I2" s="173"/>
      <c r="J2" s="173"/>
    </row>
    <row r="3" spans="2:12" x14ac:dyDescent="0.3">
      <c r="F3" s="182" t="s">
        <v>154</v>
      </c>
      <c r="G3" s="182"/>
    </row>
    <row r="4" spans="2:12" ht="15.6" x14ac:dyDescent="0.3">
      <c r="B4" s="15" t="s">
        <v>132</v>
      </c>
      <c r="C4" s="73">
        <f>'2'!C12</f>
        <v>130822900</v>
      </c>
      <c r="F4" s="183">
        <v>0.20519999999999999</v>
      </c>
      <c r="G4" s="183"/>
      <c r="I4" s="8" t="s">
        <v>155</v>
      </c>
      <c r="J4" s="127">
        <v>5</v>
      </c>
      <c r="L4" s="70">
        <v>1</v>
      </c>
    </row>
    <row r="5" spans="2:12" x14ac:dyDescent="0.3">
      <c r="L5" s="70">
        <v>2</v>
      </c>
    </row>
    <row r="6" spans="2:12" ht="15" thickBot="1" x14ac:dyDescent="0.35">
      <c r="B6" s="15" t="s">
        <v>156</v>
      </c>
      <c r="F6" s="172" t="s">
        <v>157</v>
      </c>
      <c r="G6" s="172"/>
      <c r="H6" s="172"/>
      <c r="I6" s="172"/>
      <c r="J6" s="172"/>
      <c r="L6" s="70">
        <v>3</v>
      </c>
    </row>
    <row r="7" spans="2:12" x14ac:dyDescent="0.3">
      <c r="C7" s="78" t="s">
        <v>158</v>
      </c>
      <c r="D7" s="78" t="s">
        <v>159</v>
      </c>
      <c r="E7" s="116"/>
      <c r="F7" s="117" t="s">
        <v>160</v>
      </c>
      <c r="G7" s="117" t="s">
        <v>161</v>
      </c>
      <c r="H7" s="117" t="s">
        <v>162</v>
      </c>
      <c r="I7" s="117" t="s">
        <v>163</v>
      </c>
      <c r="J7" s="118" t="s">
        <v>164</v>
      </c>
      <c r="L7" s="70">
        <v>4</v>
      </c>
    </row>
    <row r="8" spans="2:12" x14ac:dyDescent="0.3">
      <c r="B8" s="44" t="s">
        <v>165</v>
      </c>
      <c r="C8" s="53">
        <v>2</v>
      </c>
      <c r="D8" s="24">
        <f>('1'!B33/12)*C8</f>
        <v>387521890.29206663</v>
      </c>
      <c r="E8" s="119" t="s">
        <v>166</v>
      </c>
      <c r="F8" s="120"/>
      <c r="G8" s="120"/>
      <c r="H8" s="120"/>
      <c r="I8" s="120"/>
      <c r="J8" s="121">
        <f>D16</f>
        <v>323268956.95873332</v>
      </c>
      <c r="L8" s="70">
        <v>5</v>
      </c>
    </row>
    <row r="9" spans="2:12" x14ac:dyDescent="0.3">
      <c r="B9" s="44" t="s">
        <v>167</v>
      </c>
      <c r="C9" s="53">
        <v>2</v>
      </c>
      <c r="D9" s="24">
        <f>('2'!C23/12)*C9</f>
        <v>69277500</v>
      </c>
      <c r="E9" s="119">
        <f>'1'!B31</f>
        <v>2025</v>
      </c>
      <c r="F9" s="123">
        <f>IF(J8&gt;0,J8,0)</f>
        <v>323268956.95873332</v>
      </c>
      <c r="G9" s="123">
        <f>F9*$F$4</f>
        <v>66334789.967932075</v>
      </c>
      <c r="H9" s="123">
        <f>IF(J8&lt;1,0,(I9-G9))</f>
        <v>42999070.535899714</v>
      </c>
      <c r="I9" s="123">
        <f>PMT(F4,J4,J8)*-1</f>
        <v>109333860.50383179</v>
      </c>
      <c r="J9" s="124">
        <f>F9-H9</f>
        <v>280269886.42283362</v>
      </c>
    </row>
    <row r="10" spans="2:12" x14ac:dyDescent="0.3">
      <c r="B10" s="44" t="s">
        <v>168</v>
      </c>
      <c r="C10" s="53">
        <v>2</v>
      </c>
      <c r="D10" s="24">
        <f>('2'!C25/12)*C10</f>
        <v>833333.33333333337</v>
      </c>
      <c r="E10" s="119">
        <f>'1'!C31</f>
        <v>2026</v>
      </c>
      <c r="F10" s="123">
        <f>IF(J9&gt;0,J9,0)</f>
        <v>280269886.42283362</v>
      </c>
      <c r="G10" s="123">
        <f>F10*$F$4</f>
        <v>57511380.693965457</v>
      </c>
      <c r="H10" s="123">
        <f>IF(J9&lt;1,0,(I10-G10))</f>
        <v>51822479.809866332</v>
      </c>
      <c r="I10" s="123">
        <f>IF(J9&lt;1,0,(I9*(1+$K$7)))</f>
        <v>109333860.50383179</v>
      </c>
      <c r="J10" s="124">
        <f>F10-H10</f>
        <v>228447406.61296728</v>
      </c>
    </row>
    <row r="11" spans="2:12" x14ac:dyDescent="0.3">
      <c r="B11" s="44" t="s">
        <v>169</v>
      </c>
      <c r="C11" s="53">
        <v>2</v>
      </c>
      <c r="D11" s="24">
        <f>('2'!F31/12)*C11</f>
        <v>34813333.333333336</v>
      </c>
      <c r="E11" s="119">
        <f>'1'!D31</f>
        <v>2027</v>
      </c>
      <c r="F11" s="123">
        <f>IF(J10&gt;0,J10,0)</f>
        <v>228447406.61296728</v>
      </c>
      <c r="G11" s="123">
        <f>F11*$F$4</f>
        <v>46877407.836980887</v>
      </c>
      <c r="H11" s="123">
        <f>IF(J10&lt;1,0,(I11-G11))</f>
        <v>62456452.666850902</v>
      </c>
      <c r="I11" s="123">
        <f>IF(J10&lt;1,0,(I10*(1+$K$7)))</f>
        <v>109333860.50383179</v>
      </c>
      <c r="J11" s="124">
        <f>F11-H11</f>
        <v>165990953.94611639</v>
      </c>
    </row>
    <row r="12" spans="2:12" ht="15.6" x14ac:dyDescent="0.3">
      <c r="B12" s="79" t="s">
        <v>112</v>
      </c>
      <c r="C12" s="57"/>
      <c r="D12" s="80">
        <f>SUM(D8:D11)</f>
        <v>492446056.95873326</v>
      </c>
      <c r="E12" s="119">
        <f>'1'!E31</f>
        <v>2028</v>
      </c>
      <c r="F12" s="123">
        <f>IF(J11&gt;0,J11,0)</f>
        <v>165990953.94611639</v>
      </c>
      <c r="G12" s="123">
        <f>F12*$F$4</f>
        <v>34061343.749743082</v>
      </c>
      <c r="H12" s="123">
        <f>IF(J11&lt;1,0,(I12-G12))</f>
        <v>75272516.7540887</v>
      </c>
      <c r="I12" s="123">
        <f>IF(J11&lt;1,0,(I11*(1+$K$7)))</f>
        <v>109333860.50383179</v>
      </c>
      <c r="J12" s="124">
        <f>F12-H12</f>
        <v>90718437.192027688</v>
      </c>
    </row>
    <row r="13" spans="2:12" ht="15" thickBot="1" x14ac:dyDescent="0.35">
      <c r="E13" s="122">
        <f>'1'!F31</f>
        <v>2029</v>
      </c>
      <c r="F13" s="125">
        <f>IF(J12&gt;0,J12,0)</f>
        <v>90718437.192027688</v>
      </c>
      <c r="G13" s="125">
        <f>F13*$F$4</f>
        <v>18615423.311804082</v>
      </c>
      <c r="H13" s="125">
        <f>IF(J12&lt;1,0,(I13-G13))</f>
        <v>90718437.192027703</v>
      </c>
      <c r="I13" s="125">
        <f>IF(J12&lt;1,0,(I12*(1+$K$7)))</f>
        <v>109333860.50383179</v>
      </c>
      <c r="J13" s="126">
        <f>F13-H13</f>
        <v>0</v>
      </c>
    </row>
    <row r="14" spans="2:12" ht="15.6" x14ac:dyDescent="0.3">
      <c r="B14" s="44" t="s">
        <v>170</v>
      </c>
      <c r="D14" s="73">
        <f>C4+D12</f>
        <v>623268956.95873332</v>
      </c>
    </row>
    <row r="15" spans="2:12" x14ac:dyDescent="0.3">
      <c r="B15" s="44" t="s">
        <v>171</v>
      </c>
      <c r="D15" s="54">
        <v>300000000</v>
      </c>
    </row>
    <row r="16" spans="2:12" ht="15.6" x14ac:dyDescent="0.3">
      <c r="B16" s="44" t="s">
        <v>172</v>
      </c>
      <c r="D16" s="81">
        <f>D14-D15</f>
        <v>323268956.95873332</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11" activePane="bottomRight" state="frozenSplit"/>
      <selection pane="topRight" activeCell="E1" sqref="E1"/>
      <selection pane="bottomLeft" activeCell="A12" sqref="A12"/>
      <selection pane="bottomRight" activeCell="H10" sqref="H10"/>
    </sheetView>
  </sheetViews>
  <sheetFormatPr baseColWidth="10" defaultColWidth="11.44140625" defaultRowHeight="14.4" x14ac:dyDescent="0.3"/>
  <cols>
    <col min="1" max="1" width="26.77734375" style="8" customWidth="1"/>
    <col min="2" max="2" width="25.77734375" style="8" bestFit="1" customWidth="1"/>
    <col min="3" max="3" width="21.77734375" style="8" bestFit="1" customWidth="1"/>
    <col min="4" max="7" width="19.21875" style="8" bestFit="1" customWidth="1"/>
    <col min="8" max="16384" width="11.44140625" style="8"/>
  </cols>
  <sheetData>
    <row r="1" spans="1:7" ht="34.5" customHeight="1" x14ac:dyDescent="0.3">
      <c r="A1" s="184" t="s">
        <v>173</v>
      </c>
      <c r="B1" s="184"/>
      <c r="C1" s="184"/>
      <c r="D1" s="184"/>
      <c r="E1" s="184"/>
      <c r="F1" s="184"/>
      <c r="G1" s="184"/>
    </row>
    <row r="2" spans="1:7" ht="23.4" x14ac:dyDescent="0.3">
      <c r="A2" s="185" t="s">
        <v>174</v>
      </c>
      <c r="B2" s="185"/>
      <c r="C2" s="185"/>
      <c r="D2" s="185"/>
      <c r="E2" s="185"/>
      <c r="F2" s="185"/>
      <c r="G2" s="185"/>
    </row>
    <row r="3" spans="1:7" ht="8.25" customHeight="1" x14ac:dyDescent="0.3">
      <c r="A3" s="55"/>
      <c r="B3" s="55"/>
      <c r="C3" s="55"/>
      <c r="D3" s="55"/>
      <c r="E3" s="55"/>
      <c r="F3" s="55"/>
      <c r="G3" s="55"/>
    </row>
    <row r="4" spans="1:7" ht="15.6" x14ac:dyDescent="0.3">
      <c r="A4" s="186" t="s">
        <v>175</v>
      </c>
      <c r="B4" s="186"/>
      <c r="C4" s="186"/>
      <c r="D4" s="186"/>
      <c r="E4" s="186"/>
      <c r="F4" s="186"/>
      <c r="G4" s="186"/>
    </row>
    <row r="5" spans="1:7" ht="23.4" x14ac:dyDescent="0.3">
      <c r="C5" s="59">
        <f>'1'!B31</f>
        <v>2025</v>
      </c>
      <c r="D5" s="59">
        <f>'1'!C31</f>
        <v>2026</v>
      </c>
      <c r="E5" s="59">
        <f>'1'!D31</f>
        <v>2027</v>
      </c>
      <c r="F5" s="59">
        <f>'1'!E31</f>
        <v>2028</v>
      </c>
      <c r="G5" s="59">
        <f>'1'!F31</f>
        <v>2029</v>
      </c>
    </row>
    <row r="6" spans="1:7" x14ac:dyDescent="0.3">
      <c r="B6" s="8" t="s">
        <v>176</v>
      </c>
      <c r="C6" s="60">
        <f>'1'!B32</f>
        <v>3246000000</v>
      </c>
      <c r="D6" s="60">
        <f>'1'!C32</f>
        <v>3584121868.8000002</v>
      </c>
      <c r="E6" s="60">
        <f>'1'!D32</f>
        <v>4420882601.8156796</v>
      </c>
      <c r="F6" s="60">
        <f>'1'!E32</f>
        <v>5153616950.1161785</v>
      </c>
      <c r="G6" s="60">
        <f>'1'!F32</f>
        <v>6140019234.3684149</v>
      </c>
    </row>
    <row r="7" spans="1:7" x14ac:dyDescent="0.3">
      <c r="B7" s="8" t="s">
        <v>177</v>
      </c>
      <c r="C7" s="60">
        <f>'1'!B33</f>
        <v>2325131341.7523999</v>
      </c>
      <c r="D7" s="60">
        <f>'1'!C33</f>
        <v>2552356557.9874539</v>
      </c>
      <c r="E7" s="60">
        <f>'1'!D33</f>
        <v>3155591488.8782811</v>
      </c>
      <c r="F7" s="60">
        <f>'1'!E33</f>
        <v>3721823502.3871169</v>
      </c>
      <c r="G7" s="60">
        <f>'1'!F33</f>
        <v>4494101879.1324425</v>
      </c>
    </row>
    <row r="8" spans="1:7" ht="15" thickBot="1" x14ac:dyDescent="0.35">
      <c r="B8" s="61" t="s">
        <v>178</v>
      </c>
      <c r="C8" s="62">
        <f>C6-C7</f>
        <v>920868658.24760008</v>
      </c>
      <c r="D8" s="62">
        <f>D6-D7</f>
        <v>1031765310.8125463</v>
      </c>
      <c r="E8" s="62">
        <f>E6-E7</f>
        <v>1265291112.9373984</v>
      </c>
      <c r="F8" s="62">
        <f>F6-F7</f>
        <v>1431793447.7290616</v>
      </c>
      <c r="G8" s="62">
        <f>G6-G7</f>
        <v>1645917355.2359724</v>
      </c>
    </row>
    <row r="9" spans="1:7" ht="15" thickTop="1" x14ac:dyDescent="0.3">
      <c r="B9" s="8" t="s">
        <v>179</v>
      </c>
      <c r="C9" s="60">
        <f>'2'!C23</f>
        <v>415665000</v>
      </c>
      <c r="D9" s="60">
        <f>C9*(1+'1'!Z4)</f>
        <v>438942240</v>
      </c>
      <c r="E9" s="60">
        <f>D9*(1+'1'!AA4)</f>
        <v>457816756.31999999</v>
      </c>
      <c r="F9" s="60">
        <f>E9*(1+'1'!AB4)</f>
        <v>475671609.81647998</v>
      </c>
      <c r="G9" s="60">
        <f>F9*(1+'1'!AC4)</f>
        <v>492795787.76987326</v>
      </c>
    </row>
    <row r="10" spans="1:7" x14ac:dyDescent="0.3">
      <c r="B10" s="8" t="s">
        <v>180</v>
      </c>
      <c r="C10" s="60">
        <f>'2'!F31</f>
        <v>208880000</v>
      </c>
      <c r="D10" s="60">
        <f>C10*(1+'1'!Z4)</f>
        <v>220577280</v>
      </c>
      <c r="E10" s="60">
        <f>D10*(1+'1'!AA4)</f>
        <v>230062103.03999999</v>
      </c>
      <c r="F10" s="60">
        <f>E10*(1+'1'!AB4)</f>
        <v>239034525.05855998</v>
      </c>
      <c r="G10" s="60">
        <f>F10*(1+'1'!AC4)</f>
        <v>247639767.96066815</v>
      </c>
    </row>
    <row r="11" spans="1:7" x14ac:dyDescent="0.3">
      <c r="B11" s="8" t="s">
        <v>181</v>
      </c>
      <c r="C11" s="60">
        <f>'2'!C25</f>
        <v>5000000</v>
      </c>
      <c r="D11" s="60">
        <f>'2'!C28</f>
        <v>10000000</v>
      </c>
      <c r="E11" s="60">
        <f>'2'!C29</f>
        <v>15000000</v>
      </c>
      <c r="F11" s="60">
        <f>'2'!C30</f>
        <v>20000000</v>
      </c>
      <c r="G11" s="60">
        <f>'2'!C31</f>
        <v>25000000</v>
      </c>
    </row>
    <row r="12" spans="1:7" x14ac:dyDescent="0.3">
      <c r="B12" s="8" t="s">
        <v>182</v>
      </c>
      <c r="C12" s="60">
        <f>'2'!G12</f>
        <v>15968590</v>
      </c>
      <c r="D12" s="60">
        <f>C12</f>
        <v>15968590</v>
      </c>
      <c r="E12" s="60">
        <f>D12</f>
        <v>15968590</v>
      </c>
      <c r="F12" s="60">
        <f>E12</f>
        <v>15968590</v>
      </c>
      <c r="G12" s="60">
        <f>F12</f>
        <v>15968590</v>
      </c>
    </row>
    <row r="13" spans="1:7" ht="15" thickBot="1" x14ac:dyDescent="0.35">
      <c r="B13" s="61" t="s">
        <v>183</v>
      </c>
      <c r="C13" s="63">
        <f>C8-C9-C10-C11-C12</f>
        <v>275355068.24760008</v>
      </c>
      <c r="D13" s="63">
        <f>D8-D9-D10-D11-D12</f>
        <v>346277200.81254625</v>
      </c>
      <c r="E13" s="63">
        <f>E8-E9-E10-E11-E12</f>
        <v>546443663.57739854</v>
      </c>
      <c r="F13" s="63">
        <f>F8-F9-F10-F11-F12</f>
        <v>681118722.85402167</v>
      </c>
      <c r="G13" s="63">
        <f>G8-G9-G10-G11-G12</f>
        <v>864513209.50543118</v>
      </c>
    </row>
    <row r="14" spans="1:7" ht="15" thickTop="1" x14ac:dyDescent="0.3">
      <c r="B14" s="8" t="s">
        <v>184</v>
      </c>
      <c r="C14" s="60">
        <f>'3'!G9</f>
        <v>66334789.967932075</v>
      </c>
      <c r="D14" s="60">
        <f>'3'!G10</f>
        <v>57511380.693965457</v>
      </c>
      <c r="E14" s="60">
        <f>'3'!G11</f>
        <v>46877407.836980887</v>
      </c>
      <c r="F14" s="60">
        <f>'3'!G12</f>
        <v>34061343.749743082</v>
      </c>
      <c r="G14" s="60">
        <f>'3'!G13</f>
        <v>18615423.311804082</v>
      </c>
    </row>
    <row r="15" spans="1:7" ht="15" thickBot="1" x14ac:dyDescent="0.35">
      <c r="B15" s="61" t="s">
        <v>185</v>
      </c>
      <c r="C15" s="63">
        <f>C13-C14</f>
        <v>209020278.279668</v>
      </c>
      <c r="D15" s="63">
        <f>D13-D14</f>
        <v>288765820.11858082</v>
      </c>
      <c r="E15" s="63">
        <f>E13-E14</f>
        <v>499566255.74041766</v>
      </c>
      <c r="F15" s="63">
        <f>F13-F14</f>
        <v>647057379.10427856</v>
      </c>
      <c r="G15" s="63">
        <f>G13-G14</f>
        <v>845897786.19362712</v>
      </c>
    </row>
    <row r="16" spans="1:7" ht="15" thickTop="1" x14ac:dyDescent="0.3">
      <c r="B16" s="8" t="s">
        <v>186</v>
      </c>
      <c r="C16" s="64">
        <f>IF(C15*'1'!$AB$7&lt;0,0,C15*'1'!$AB$7)</f>
        <v>71066894.615087122</v>
      </c>
      <c r="D16" s="64">
        <f>IF(D15*'1'!$AB$7&lt;0,0,D15*'1'!$AB$7)</f>
        <v>98180378.840317488</v>
      </c>
      <c r="E16" s="64">
        <f>IF(E15*'1'!$AB$7&lt;0,0,E15*'1'!$AB$7)</f>
        <v>169852526.95174202</v>
      </c>
      <c r="F16" s="64">
        <f>IF(F15*'1'!$AB$7&lt;0,0,F15*'1'!$AB$7)</f>
        <v>219999508.89545473</v>
      </c>
      <c r="G16" s="64">
        <f>IF(G15*'1'!$AB$7&lt;0,0,G15*'1'!$AB$7)</f>
        <v>287605247.30583322</v>
      </c>
    </row>
    <row r="17" spans="1:8" ht="15" thickBot="1" x14ac:dyDescent="0.35">
      <c r="B17" s="65" t="s">
        <v>187</v>
      </c>
      <c r="C17" s="66">
        <f>C15-C16</f>
        <v>137953383.66458088</v>
      </c>
      <c r="D17" s="66">
        <f>D15-D16</f>
        <v>190585441.27826333</v>
      </c>
      <c r="E17" s="66">
        <f>E15-E16</f>
        <v>329713728.78867567</v>
      </c>
      <c r="F17" s="66">
        <f>F15-F16</f>
        <v>427057870.2088238</v>
      </c>
      <c r="G17" s="66">
        <f>G15-G16</f>
        <v>558292538.8877939</v>
      </c>
    </row>
    <row r="19" spans="1:8" ht="15.6" x14ac:dyDescent="0.3">
      <c r="A19" s="186" t="s">
        <v>188</v>
      </c>
      <c r="B19" s="186"/>
      <c r="C19" s="186"/>
      <c r="D19" s="186"/>
      <c r="E19" s="186"/>
      <c r="F19" s="186"/>
      <c r="G19" s="186"/>
    </row>
    <row r="20" spans="1:8" ht="23.4" x14ac:dyDescent="0.3">
      <c r="B20" s="67" t="s">
        <v>166</v>
      </c>
      <c r="C20" s="59">
        <f>C5</f>
        <v>2025</v>
      </c>
      <c r="D20" s="59">
        <f>D5</f>
        <v>2026</v>
      </c>
      <c r="E20" s="59">
        <f>E5</f>
        <v>2027</v>
      </c>
      <c r="F20" s="59">
        <f>F5</f>
        <v>2028</v>
      </c>
      <c r="G20" s="59">
        <f>G5</f>
        <v>2029</v>
      </c>
    </row>
    <row r="21" spans="1:8" x14ac:dyDescent="0.3">
      <c r="A21" s="187" t="s">
        <v>189</v>
      </c>
      <c r="B21" s="187"/>
      <c r="C21" s="187"/>
      <c r="D21" s="187"/>
      <c r="E21" s="187"/>
      <c r="F21" s="187"/>
      <c r="G21" s="187"/>
    </row>
    <row r="22" spans="1:8" x14ac:dyDescent="0.3">
      <c r="A22" s="8" t="s">
        <v>190</v>
      </c>
      <c r="B22" s="25">
        <f t="shared" ref="B22:G22" si="0">B38-B26</f>
        <v>492446056.95873332</v>
      </c>
      <c r="C22" s="25">
        <f t="shared" si="0"/>
        <v>674435854.70250154</v>
      </c>
      <c r="D22" s="25">
        <f t="shared" si="0"/>
        <v>718327506.73154807</v>
      </c>
      <c r="E22" s="25">
        <f t="shared" si="0"/>
        <v>882640079.68653405</v>
      </c>
      <c r="F22" s="25">
        <f t="shared" si="0"/>
        <v>970827276.29630625</v>
      </c>
      <c r="G22" s="25">
        <f t="shared" si="0"/>
        <v>1094917836.1936271</v>
      </c>
    </row>
    <row r="23" spans="1:8" x14ac:dyDescent="0.3">
      <c r="A23" s="8" t="s">
        <v>191</v>
      </c>
      <c r="B23" s="25">
        <f>'2'!C4</f>
        <v>0</v>
      </c>
      <c r="C23" s="25">
        <f t="shared" ref="C23:G24" si="1">B23</f>
        <v>0</v>
      </c>
      <c r="D23" s="25">
        <f t="shared" si="1"/>
        <v>0</v>
      </c>
      <c r="E23" s="25">
        <f t="shared" si="1"/>
        <v>0</v>
      </c>
      <c r="F23" s="25">
        <f t="shared" si="1"/>
        <v>0</v>
      </c>
      <c r="G23" s="25">
        <f t="shared" si="1"/>
        <v>0</v>
      </c>
      <c r="H23" s="25"/>
    </row>
    <row r="24" spans="1:8" x14ac:dyDescent="0.3">
      <c r="A24" s="8" t="s">
        <v>192</v>
      </c>
      <c r="B24" s="25">
        <f>'2'!C12-'2'!C4</f>
        <v>130822900</v>
      </c>
      <c r="C24" s="25">
        <f t="shared" si="1"/>
        <v>130822900</v>
      </c>
      <c r="D24" s="25">
        <f t="shared" si="1"/>
        <v>130822900</v>
      </c>
      <c r="E24" s="25">
        <f t="shared" si="1"/>
        <v>130822900</v>
      </c>
      <c r="F24" s="25">
        <f t="shared" si="1"/>
        <v>130822900</v>
      </c>
      <c r="G24" s="25">
        <f t="shared" si="1"/>
        <v>130822900</v>
      </c>
      <c r="H24" s="25"/>
    </row>
    <row r="25" spans="1:8" x14ac:dyDescent="0.3">
      <c r="A25" s="8" t="s">
        <v>193</v>
      </c>
      <c r="B25" s="25">
        <v>0</v>
      </c>
      <c r="C25" s="25">
        <f>C12</f>
        <v>15968590</v>
      </c>
      <c r="D25" s="25">
        <f>D12+C12</f>
        <v>31937180</v>
      </c>
      <c r="E25" s="25">
        <f>E12+D12+C12</f>
        <v>47905770</v>
      </c>
      <c r="F25" s="25">
        <f>F12+E12+D12+C12</f>
        <v>63874360</v>
      </c>
      <c r="G25" s="25">
        <f>F25+G12</f>
        <v>79842950</v>
      </c>
      <c r="H25" s="25"/>
    </row>
    <row r="26" spans="1:8" x14ac:dyDescent="0.3">
      <c r="A26" s="8" t="s">
        <v>194</v>
      </c>
      <c r="B26" s="25">
        <f t="shared" ref="B26:G26" si="2">B23+(B24-B25)</f>
        <v>130822900</v>
      </c>
      <c r="C26" s="25">
        <f t="shared" si="2"/>
        <v>114854310</v>
      </c>
      <c r="D26" s="25">
        <f t="shared" si="2"/>
        <v>98885720</v>
      </c>
      <c r="E26" s="25">
        <f t="shared" si="2"/>
        <v>82917130</v>
      </c>
      <c r="F26" s="25">
        <f t="shared" si="2"/>
        <v>66948540</v>
      </c>
      <c r="G26" s="25">
        <f t="shared" si="2"/>
        <v>50979950</v>
      </c>
      <c r="H26" s="25"/>
    </row>
    <row r="27" spans="1:8" ht="15" thickBot="1" x14ac:dyDescent="0.35">
      <c r="A27" s="61" t="s">
        <v>195</v>
      </c>
      <c r="B27" s="68">
        <f t="shared" ref="B27:G27" si="3">B22+B26</f>
        <v>623268956.95873332</v>
      </c>
      <c r="C27" s="68">
        <f t="shared" si="3"/>
        <v>789290164.70250154</v>
      </c>
      <c r="D27" s="68">
        <f t="shared" si="3"/>
        <v>817213226.73154807</v>
      </c>
      <c r="E27" s="68">
        <f t="shared" si="3"/>
        <v>965557209.68653405</v>
      </c>
      <c r="F27" s="68">
        <f t="shared" si="3"/>
        <v>1037775816.2963063</v>
      </c>
      <c r="G27" s="68">
        <f t="shared" si="3"/>
        <v>1145897786.1936271</v>
      </c>
      <c r="H27" s="25"/>
    </row>
    <row r="28" spans="1:8" ht="15" thickTop="1" x14ac:dyDescent="0.3">
      <c r="A28" s="187" t="s">
        <v>196</v>
      </c>
      <c r="B28" s="187"/>
      <c r="C28" s="187"/>
      <c r="D28" s="187"/>
      <c r="E28" s="187"/>
      <c r="F28" s="187"/>
      <c r="G28" s="187"/>
    </row>
    <row r="29" spans="1:8" x14ac:dyDescent="0.3">
      <c r="A29" s="8" t="s">
        <v>197</v>
      </c>
      <c r="B29" s="8">
        <v>0</v>
      </c>
      <c r="C29" s="64">
        <f>C16</f>
        <v>71066894.615087122</v>
      </c>
      <c r="D29" s="64">
        <f>D16</f>
        <v>98180378.840317488</v>
      </c>
      <c r="E29" s="64">
        <f>E16</f>
        <v>169852526.95174202</v>
      </c>
      <c r="F29" s="64">
        <f>F16</f>
        <v>219999508.89545473</v>
      </c>
      <c r="G29" s="64">
        <f>G16</f>
        <v>287605247.30583322</v>
      </c>
    </row>
    <row r="30" spans="1:8" x14ac:dyDescent="0.3">
      <c r="A30" s="8" t="s">
        <v>198</v>
      </c>
      <c r="B30" s="64">
        <f t="shared" ref="B30:G30" si="4">B29</f>
        <v>0</v>
      </c>
      <c r="C30" s="64">
        <f t="shared" si="4"/>
        <v>71066894.615087122</v>
      </c>
      <c r="D30" s="64">
        <f t="shared" si="4"/>
        <v>98180378.840317488</v>
      </c>
      <c r="E30" s="64">
        <f t="shared" si="4"/>
        <v>169852526.95174202</v>
      </c>
      <c r="F30" s="64">
        <f t="shared" si="4"/>
        <v>219999508.89545473</v>
      </c>
      <c r="G30" s="64">
        <f t="shared" si="4"/>
        <v>287605247.30583322</v>
      </c>
    </row>
    <row r="31" spans="1:8" x14ac:dyDescent="0.3">
      <c r="A31" s="8" t="s">
        <v>199</v>
      </c>
      <c r="B31" s="24">
        <f>'3'!J8</f>
        <v>323268956.95873332</v>
      </c>
      <c r="C31" s="24">
        <f>'3'!J9</f>
        <v>280269886.42283362</v>
      </c>
      <c r="D31" s="24">
        <f>'3'!J10</f>
        <v>228447406.61296728</v>
      </c>
      <c r="E31" s="24">
        <f>'3'!J11</f>
        <v>165990953.94611639</v>
      </c>
      <c r="F31" s="24">
        <f>'3'!J12</f>
        <v>90718437.192027688</v>
      </c>
      <c r="G31" s="24">
        <f>'3'!J13</f>
        <v>0</v>
      </c>
    </row>
    <row r="32" spans="1:8" ht="15" thickBot="1" x14ac:dyDescent="0.35">
      <c r="A32" s="61" t="s">
        <v>196</v>
      </c>
      <c r="B32" s="68">
        <f t="shared" ref="B32:G32" si="5">B30+B31</f>
        <v>323268956.95873332</v>
      </c>
      <c r="C32" s="68">
        <f t="shared" si="5"/>
        <v>351336781.03792071</v>
      </c>
      <c r="D32" s="68">
        <f t="shared" si="5"/>
        <v>326627785.45328474</v>
      </c>
      <c r="E32" s="68">
        <f t="shared" si="5"/>
        <v>335843480.89785838</v>
      </c>
      <c r="F32" s="68">
        <f t="shared" si="5"/>
        <v>310717946.08748245</v>
      </c>
      <c r="G32" s="68">
        <f t="shared" si="5"/>
        <v>287605247.30583322</v>
      </c>
    </row>
    <row r="33" spans="1:7" ht="15" thickTop="1" x14ac:dyDescent="0.3">
      <c r="A33" s="187" t="s">
        <v>200</v>
      </c>
      <c r="B33" s="187"/>
      <c r="C33" s="187"/>
      <c r="D33" s="187"/>
      <c r="E33" s="187"/>
      <c r="F33" s="187"/>
      <c r="G33" s="187"/>
    </row>
    <row r="34" spans="1:7" x14ac:dyDescent="0.3">
      <c r="A34" s="8" t="s">
        <v>201</v>
      </c>
      <c r="B34" s="25">
        <f>'3'!D15</f>
        <v>300000000</v>
      </c>
      <c r="C34" s="25">
        <f>B34</f>
        <v>300000000</v>
      </c>
      <c r="D34" s="25">
        <f>C34</f>
        <v>300000000</v>
      </c>
      <c r="E34" s="25">
        <f>D34</f>
        <v>300000000</v>
      </c>
      <c r="F34" s="25">
        <f>E34</f>
        <v>300000000</v>
      </c>
      <c r="G34" s="25">
        <f>F34</f>
        <v>300000000</v>
      </c>
    </row>
    <row r="35" spans="1:7" x14ac:dyDescent="0.3">
      <c r="A35" s="8" t="s">
        <v>202</v>
      </c>
      <c r="B35" s="8">
        <v>0</v>
      </c>
      <c r="C35" s="64">
        <f>C17</f>
        <v>137953383.66458088</v>
      </c>
      <c r="D35" s="64">
        <f>D17</f>
        <v>190585441.27826333</v>
      </c>
      <c r="E35" s="64">
        <f>E17</f>
        <v>329713728.78867567</v>
      </c>
      <c r="F35" s="64">
        <f>F17</f>
        <v>427057870.2088238</v>
      </c>
      <c r="G35" s="64">
        <f>G17</f>
        <v>558292538.8877939</v>
      </c>
    </row>
    <row r="36" spans="1:7" ht="15" thickBot="1" x14ac:dyDescent="0.35">
      <c r="A36" s="61" t="s">
        <v>203</v>
      </c>
      <c r="B36" s="68">
        <f t="shared" ref="B36:G36" si="6">B34+B35</f>
        <v>300000000</v>
      </c>
      <c r="C36" s="68">
        <f t="shared" si="6"/>
        <v>437953383.66458088</v>
      </c>
      <c r="D36" s="68">
        <f t="shared" si="6"/>
        <v>490585441.27826333</v>
      </c>
      <c r="E36" s="68">
        <f t="shared" si="6"/>
        <v>629713728.78867567</v>
      </c>
      <c r="F36" s="68">
        <f t="shared" si="6"/>
        <v>727057870.2088238</v>
      </c>
      <c r="G36" s="68">
        <f t="shared" si="6"/>
        <v>858292538.8877939</v>
      </c>
    </row>
    <row r="37" spans="1:7" ht="15" thickTop="1" x14ac:dyDescent="0.3"/>
    <row r="38" spans="1:7" ht="15" thickBot="1" x14ac:dyDescent="0.35">
      <c r="A38" s="61" t="s">
        <v>204</v>
      </c>
      <c r="B38" s="68">
        <f t="shared" ref="B38:G38" si="7">B32+B36</f>
        <v>623268956.95873332</v>
      </c>
      <c r="C38" s="68">
        <f t="shared" si="7"/>
        <v>789290164.70250154</v>
      </c>
      <c r="D38" s="68">
        <f t="shared" si="7"/>
        <v>817213226.73154807</v>
      </c>
      <c r="E38" s="68">
        <f t="shared" si="7"/>
        <v>965557209.68653405</v>
      </c>
      <c r="F38" s="68">
        <f t="shared" si="7"/>
        <v>1037775816.2963063</v>
      </c>
      <c r="G38" s="68">
        <f t="shared" si="7"/>
        <v>1145897786.1936271</v>
      </c>
    </row>
    <row r="39" spans="1:7" ht="15" thickTop="1" x14ac:dyDescent="0.3">
      <c r="A39" s="57" t="s">
        <v>205</v>
      </c>
      <c r="B39" s="69">
        <f t="shared" ref="B39:G39" si="8">B27-B38</f>
        <v>0</v>
      </c>
      <c r="C39" s="69">
        <f t="shared" si="8"/>
        <v>0</v>
      </c>
      <c r="D39" s="69">
        <f t="shared" si="8"/>
        <v>0</v>
      </c>
      <c r="E39" s="69">
        <f t="shared" si="8"/>
        <v>0</v>
      </c>
      <c r="F39" s="69">
        <f t="shared" si="8"/>
        <v>0</v>
      </c>
      <c r="G39" s="69">
        <f t="shared" si="8"/>
        <v>0</v>
      </c>
    </row>
    <row r="41" spans="1:7" ht="15.6" x14ac:dyDescent="0.3">
      <c r="A41" s="186" t="s">
        <v>206</v>
      </c>
      <c r="B41" s="186"/>
      <c r="C41" s="186"/>
      <c r="D41" s="186"/>
      <c r="E41" s="186"/>
      <c r="F41" s="186"/>
      <c r="G41" s="186"/>
    </row>
    <row r="42" spans="1:7" x14ac:dyDescent="0.3">
      <c r="A42" s="187" t="s">
        <v>207</v>
      </c>
      <c r="B42" s="187"/>
      <c r="C42" s="187"/>
      <c r="D42" s="187"/>
      <c r="E42" s="187"/>
      <c r="F42" s="187"/>
      <c r="G42" s="187"/>
    </row>
    <row r="43" spans="1:7" ht="23.4" x14ac:dyDescent="0.3">
      <c r="A43" s="11"/>
      <c r="B43" s="67" t="s">
        <v>166</v>
      </c>
      <c r="C43" s="59">
        <f>C20</f>
        <v>2025</v>
      </c>
      <c r="D43" s="59">
        <f>D20</f>
        <v>2026</v>
      </c>
      <c r="E43" s="59">
        <f>E20</f>
        <v>2027</v>
      </c>
      <c r="F43" s="59">
        <f>F20</f>
        <v>2028</v>
      </c>
      <c r="G43" s="59">
        <f>G20</f>
        <v>2029</v>
      </c>
    </row>
    <row r="44" spans="1:7" x14ac:dyDescent="0.3">
      <c r="A44" s="1" t="s">
        <v>208</v>
      </c>
      <c r="B44" s="2">
        <f t="shared" ref="B44:G44" si="9">B22</f>
        <v>492446056.95873332</v>
      </c>
      <c r="C44" s="2">
        <f t="shared" si="9"/>
        <v>674435854.70250154</v>
      </c>
      <c r="D44" s="2">
        <f t="shared" si="9"/>
        <v>718327506.73154807</v>
      </c>
      <c r="E44" s="2">
        <f t="shared" si="9"/>
        <v>882640079.68653405</v>
      </c>
      <c r="F44" s="2">
        <f t="shared" si="9"/>
        <v>970827276.29630625</v>
      </c>
      <c r="G44" s="2">
        <f t="shared" si="9"/>
        <v>1094917836.1936271</v>
      </c>
    </row>
    <row r="45" spans="1:7" ht="15" thickBot="1" x14ac:dyDescent="0.35">
      <c r="A45" s="1" t="s">
        <v>209</v>
      </c>
      <c r="B45" s="3">
        <f t="shared" ref="B45:G45" si="10">B29</f>
        <v>0</v>
      </c>
      <c r="C45" s="3">
        <f t="shared" si="10"/>
        <v>71066894.615087122</v>
      </c>
      <c r="D45" s="3">
        <f t="shared" si="10"/>
        <v>98180378.840317488</v>
      </c>
      <c r="E45" s="3">
        <f t="shared" si="10"/>
        <v>169852526.95174202</v>
      </c>
      <c r="F45" s="3">
        <f t="shared" si="10"/>
        <v>219999508.89545473</v>
      </c>
      <c r="G45" s="3">
        <f t="shared" si="10"/>
        <v>287605247.30583322</v>
      </c>
    </row>
    <row r="46" spans="1:7" ht="15" thickTop="1" x14ac:dyDescent="0.3">
      <c r="A46" s="4" t="s">
        <v>210</v>
      </c>
      <c r="B46" s="5">
        <f t="shared" ref="B46:G46" si="11">B44-B45</f>
        <v>492446056.95873332</v>
      </c>
      <c r="C46" s="5">
        <f t="shared" si="11"/>
        <v>603368960.08741438</v>
      </c>
      <c r="D46" s="5">
        <f t="shared" si="11"/>
        <v>620147127.89123058</v>
      </c>
      <c r="E46" s="5">
        <f t="shared" si="11"/>
        <v>712787552.73479199</v>
      </c>
      <c r="F46" s="5">
        <f t="shared" si="11"/>
        <v>750827767.40085149</v>
      </c>
      <c r="G46" s="5">
        <f t="shared" si="11"/>
        <v>807312588.8877939</v>
      </c>
    </row>
    <row r="47" spans="1:7" x14ac:dyDescent="0.3">
      <c r="A47" s="1"/>
      <c r="B47" s="2"/>
      <c r="C47" s="2"/>
      <c r="D47" s="2"/>
      <c r="E47" s="2"/>
      <c r="F47" s="2"/>
      <c r="G47" s="2"/>
    </row>
    <row r="48" spans="1:7" x14ac:dyDescent="0.3">
      <c r="A48" s="4" t="s">
        <v>211</v>
      </c>
      <c r="B48" s="2">
        <f t="shared" ref="B48:G48" si="12">B26</f>
        <v>130822900</v>
      </c>
      <c r="C48" s="2">
        <f t="shared" si="12"/>
        <v>114854310</v>
      </c>
      <c r="D48" s="2">
        <f t="shared" si="12"/>
        <v>98885720</v>
      </c>
      <c r="E48" s="2">
        <f t="shared" si="12"/>
        <v>82917130</v>
      </c>
      <c r="F48" s="2">
        <f t="shared" si="12"/>
        <v>66948540</v>
      </c>
      <c r="G48" s="2">
        <f t="shared" si="12"/>
        <v>50979950</v>
      </c>
    </row>
    <row r="49" spans="1:7" ht="15" thickBot="1" x14ac:dyDescent="0.35">
      <c r="A49" s="1" t="s">
        <v>212</v>
      </c>
      <c r="B49" s="3">
        <f t="shared" ref="B49:G49" si="13">B25</f>
        <v>0</v>
      </c>
      <c r="C49" s="3">
        <f t="shared" si="13"/>
        <v>15968590</v>
      </c>
      <c r="D49" s="3">
        <f t="shared" si="13"/>
        <v>31937180</v>
      </c>
      <c r="E49" s="3">
        <f t="shared" si="13"/>
        <v>47905770</v>
      </c>
      <c r="F49" s="3">
        <f t="shared" si="13"/>
        <v>63874360</v>
      </c>
      <c r="G49" s="3">
        <f t="shared" si="13"/>
        <v>79842950</v>
      </c>
    </row>
    <row r="50" spans="1:7" ht="15" thickTop="1" x14ac:dyDescent="0.3">
      <c r="A50" s="4" t="s">
        <v>213</v>
      </c>
      <c r="B50" s="5">
        <f t="shared" ref="B50:G50" si="14">B48+B49</f>
        <v>130822900</v>
      </c>
      <c r="C50" s="5">
        <f t="shared" si="14"/>
        <v>130822900</v>
      </c>
      <c r="D50" s="5">
        <f t="shared" si="14"/>
        <v>130822900</v>
      </c>
      <c r="E50" s="5">
        <f t="shared" si="14"/>
        <v>130822900</v>
      </c>
      <c r="F50" s="5">
        <f t="shared" si="14"/>
        <v>130822900</v>
      </c>
      <c r="G50" s="5">
        <f t="shared" si="14"/>
        <v>130822900</v>
      </c>
    </row>
    <row r="51" spans="1:7" x14ac:dyDescent="0.3">
      <c r="A51" s="1"/>
      <c r="B51" s="2"/>
      <c r="C51" s="2"/>
      <c r="D51" s="2"/>
      <c r="E51" s="2"/>
      <c r="F51" s="2"/>
      <c r="G51" s="2"/>
    </row>
    <row r="52" spans="1:7" ht="15" thickBot="1" x14ac:dyDescent="0.35">
      <c r="A52" s="12" t="s">
        <v>214</v>
      </c>
      <c r="B52" s="6">
        <f t="shared" ref="B52:G52" si="15">B46+B48</f>
        <v>623268956.95873332</v>
      </c>
      <c r="C52" s="6">
        <f t="shared" si="15"/>
        <v>718223270.08741438</v>
      </c>
      <c r="D52" s="6">
        <f t="shared" si="15"/>
        <v>719032847.89123058</v>
      </c>
      <c r="E52" s="6">
        <f t="shared" si="15"/>
        <v>795704682.73479199</v>
      </c>
      <c r="F52" s="6">
        <f t="shared" si="15"/>
        <v>817776307.40085149</v>
      </c>
      <c r="G52" s="6">
        <f t="shared" si="15"/>
        <v>858292538.8877939</v>
      </c>
    </row>
    <row r="53" spans="1:7" ht="15" thickTop="1" x14ac:dyDescent="0.3">
      <c r="A53" s="7"/>
      <c r="B53" s="2"/>
      <c r="C53" s="2"/>
      <c r="D53" s="2"/>
      <c r="E53" s="2"/>
      <c r="F53" s="2"/>
      <c r="G53" s="2"/>
    </row>
    <row r="54" spans="1:7" x14ac:dyDescent="0.3">
      <c r="A54" s="188" t="s">
        <v>215</v>
      </c>
      <c r="B54" s="188"/>
      <c r="C54" s="188"/>
      <c r="D54" s="188"/>
      <c r="E54" s="188"/>
      <c r="F54" s="188"/>
      <c r="G54" s="188"/>
    </row>
    <row r="55" spans="1:7" x14ac:dyDescent="0.3">
      <c r="A55" s="1" t="s">
        <v>216</v>
      </c>
      <c r="C55" s="9">
        <f>C13</f>
        <v>275355068.24760008</v>
      </c>
      <c r="D55" s="9">
        <f>D13</f>
        <v>346277200.81254625</v>
      </c>
      <c r="E55" s="9">
        <f>E13</f>
        <v>546443663.57739854</v>
      </c>
      <c r="F55" s="9">
        <f>F13</f>
        <v>681118722.85402167</v>
      </c>
      <c r="G55" s="9">
        <f>G13</f>
        <v>864513209.50543118</v>
      </c>
    </row>
    <row r="56" spans="1:7" ht="15" thickBot="1" x14ac:dyDescent="0.35">
      <c r="A56" s="1" t="s">
        <v>217</v>
      </c>
      <c r="C56" s="10">
        <f>C55*'1'!$AB$7</f>
        <v>93620723.20418404</v>
      </c>
      <c r="D56" s="10">
        <f>D55*'1'!$AB$7</f>
        <v>117734248.27626574</v>
      </c>
      <c r="E56" s="10">
        <f>E55*'1'!$AB$7</f>
        <v>185790845.61631551</v>
      </c>
      <c r="F56" s="10">
        <f>F55*'1'!$AB$7</f>
        <v>231580365.77036738</v>
      </c>
      <c r="G56" s="10">
        <f>G55*'1'!$AB$7</f>
        <v>293934491.23184663</v>
      </c>
    </row>
    <row r="57" spans="1:7" ht="15" thickTop="1" x14ac:dyDescent="0.3">
      <c r="A57" s="4" t="s">
        <v>218</v>
      </c>
      <c r="C57" s="9">
        <f>C55-C56</f>
        <v>181734345.04341602</v>
      </c>
      <c r="D57" s="9">
        <f>D55-D56</f>
        <v>228542952.53628051</v>
      </c>
      <c r="E57" s="9">
        <f>E55-E56</f>
        <v>360652817.96108305</v>
      </c>
      <c r="F57" s="9">
        <f>F55-F56</f>
        <v>449538357.08365428</v>
      </c>
      <c r="G57" s="9">
        <f>G55-G56</f>
        <v>570578718.2735846</v>
      </c>
    </row>
    <row r="58" spans="1:7" ht="15" thickBot="1" x14ac:dyDescent="0.35">
      <c r="A58" s="1" t="s">
        <v>219</v>
      </c>
      <c r="C58" s="10">
        <f>-(C52-B52)</f>
        <v>-94954313.128681064</v>
      </c>
      <c r="D58" s="10">
        <f>-(D52-C52)</f>
        <v>-809577.8038161993</v>
      </c>
      <c r="E58" s="10">
        <f>-(E52-D52)</f>
        <v>-76671834.843561411</v>
      </c>
      <c r="F58" s="10">
        <f>-(F52-E52)</f>
        <v>-22071624.666059494</v>
      </c>
      <c r="G58" s="10">
        <f>-(G52-F52)</f>
        <v>-40516231.48694241</v>
      </c>
    </row>
    <row r="59" spans="1:7" ht="15.6" thickTop="1" thickBot="1" x14ac:dyDescent="0.35">
      <c r="A59" s="56" t="s">
        <v>220</v>
      </c>
      <c r="B59" s="57"/>
      <c r="C59" s="58">
        <f>SUM(C57:C58)</f>
        <v>86780031.91473496</v>
      </c>
      <c r="D59" s="58">
        <f>SUM(D57:D58)</f>
        <v>227733374.73246431</v>
      </c>
      <c r="E59" s="58">
        <f>SUM(E57:E58)</f>
        <v>283980983.11752164</v>
      </c>
      <c r="F59" s="58">
        <f>SUM(F57:F58)</f>
        <v>427466732.41759479</v>
      </c>
      <c r="G59" s="58">
        <f>SUM(G57:G58)</f>
        <v>530062486.78664219</v>
      </c>
    </row>
    <row r="60" spans="1:7" ht="15" thickTop="1" x14ac:dyDescent="0.3"/>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60" zoomScaleNormal="60" workbookViewId="0">
      <selection activeCell="F25" sqref="F25"/>
    </sheetView>
  </sheetViews>
  <sheetFormatPr baseColWidth="10" defaultColWidth="11.44140625" defaultRowHeight="14.4" x14ac:dyDescent="0.3"/>
  <cols>
    <col min="1" max="1" width="11.44140625" style="8"/>
    <col min="2" max="2" width="32.5546875" style="8" customWidth="1"/>
    <col min="3" max="3" width="24.21875" style="8" bestFit="1" customWidth="1"/>
    <col min="4" max="4" width="36.21875" style="8" bestFit="1" customWidth="1"/>
    <col min="5" max="5" width="29.77734375" style="8" bestFit="1" customWidth="1"/>
    <col min="6" max="6" width="26" style="8" customWidth="1"/>
    <col min="7" max="7" width="20.77734375" style="8" bestFit="1" customWidth="1"/>
    <col min="8" max="8" width="26.77734375" style="8" customWidth="1"/>
    <col min="9" max="9" width="11.44140625" style="8"/>
    <col min="10" max="10" width="12" style="8" bestFit="1" customWidth="1"/>
    <col min="11" max="14" width="11.44140625" style="8"/>
    <col min="15" max="15" width="15.21875" style="8" bestFit="1" customWidth="1"/>
    <col min="16" max="16" width="21.5546875" style="8" bestFit="1" customWidth="1"/>
    <col min="17" max="16384" width="11.44140625" style="8"/>
  </cols>
  <sheetData>
    <row r="2" spans="2:16" ht="38.25" customHeight="1" x14ac:dyDescent="0.3">
      <c r="B2" s="173" t="s">
        <v>221</v>
      </c>
      <c r="C2" s="173"/>
      <c r="D2" s="173"/>
      <c r="E2" s="173"/>
      <c r="F2" s="173"/>
      <c r="G2" s="173"/>
      <c r="H2" s="173"/>
    </row>
    <row r="3" spans="2:16" ht="15.75" customHeight="1" x14ac:dyDescent="0.3">
      <c r="B3" s="189" t="s">
        <v>222</v>
      </c>
      <c r="C3" s="189"/>
      <c r="D3" s="189"/>
      <c r="E3" s="190">
        <v>0.25</v>
      </c>
      <c r="F3" s="190"/>
    </row>
    <row r="4" spans="2:16" ht="16.5" customHeight="1" x14ac:dyDescent="0.3">
      <c r="B4" s="189"/>
      <c r="C4" s="189"/>
      <c r="D4" s="189"/>
      <c r="E4" s="190"/>
      <c r="F4" s="190"/>
      <c r="O4" s="99"/>
    </row>
    <row r="5" spans="2:16" ht="16.5" customHeight="1" x14ac:dyDescent="0.3">
      <c r="B5" s="193"/>
      <c r="C5" s="193"/>
      <c r="D5" s="193"/>
      <c r="E5" s="133"/>
      <c r="F5" s="133"/>
      <c r="O5" s="99"/>
    </row>
    <row r="6" spans="2:16" ht="15" thickBot="1" x14ac:dyDescent="0.35">
      <c r="O6" s="99"/>
      <c r="P6" s="102"/>
    </row>
    <row r="7" spans="2:16" ht="23.4" x14ac:dyDescent="0.3">
      <c r="B7" s="98" t="s">
        <v>223</v>
      </c>
      <c r="C7" s="82" t="s">
        <v>224</v>
      </c>
      <c r="D7" s="83">
        <f>'4'!C20</f>
        <v>2025</v>
      </c>
      <c r="E7" s="83">
        <f>'4'!D20</f>
        <v>2026</v>
      </c>
      <c r="F7" s="83">
        <f>'4'!E20</f>
        <v>2027</v>
      </c>
      <c r="G7" s="83">
        <f>'4'!F20</f>
        <v>2028</v>
      </c>
      <c r="H7" s="84">
        <f>'4'!G20</f>
        <v>2029</v>
      </c>
      <c r="O7" s="99"/>
      <c r="P7" s="101"/>
    </row>
    <row r="8" spans="2:16" ht="18.600000000000001" thickBot="1" x14ac:dyDescent="0.4">
      <c r="B8" s="85"/>
      <c r="C8" s="106">
        <f>-'3'!D14</f>
        <v>-623268956.95873332</v>
      </c>
      <c r="D8" s="106">
        <f>'4'!C59</f>
        <v>86780031.91473496</v>
      </c>
      <c r="E8" s="106">
        <f>'4'!D59</f>
        <v>227733374.73246431</v>
      </c>
      <c r="F8" s="106">
        <f>'4'!E59</f>
        <v>283980983.11752164</v>
      </c>
      <c r="G8" s="106">
        <f>'4'!F59</f>
        <v>427466732.41759479</v>
      </c>
      <c r="H8" s="107">
        <f>'4'!G59</f>
        <v>530062486.78664219</v>
      </c>
      <c r="O8" s="99"/>
      <c r="P8" s="101"/>
    </row>
    <row r="9" spans="2:16" ht="15" thickBot="1" x14ac:dyDescent="0.35">
      <c r="C9" s="70">
        <f>C8/(1+$E$3)^0</f>
        <v>-623268956.95873332</v>
      </c>
      <c r="D9" s="70">
        <f>D8/(1+$E$3)^1</f>
        <v>69424025.531787962</v>
      </c>
      <c r="E9" s="70">
        <f>E8/(1+$E$3)^2</f>
        <v>145749359.82877716</v>
      </c>
      <c r="F9" s="70">
        <f>F8/(1+$E$3)^3</f>
        <v>145398263.35617107</v>
      </c>
      <c r="G9" s="70">
        <f>G8/(1+$E$3)^4</f>
        <v>175090373.59824681</v>
      </c>
      <c r="H9" s="70">
        <f>H8/(1+$E$3)^5</f>
        <v>173690875.67024693</v>
      </c>
      <c r="O9" s="99"/>
      <c r="P9" s="101"/>
    </row>
    <row r="10" spans="2:16" ht="24" thickBot="1" x14ac:dyDescent="0.5">
      <c r="B10" s="29" t="s">
        <v>225</v>
      </c>
      <c r="C10" s="30"/>
      <c r="D10" s="108">
        <f>NPV(E3,D8:H8)+$C$8</f>
        <v>86083941.026496649</v>
      </c>
      <c r="O10" s="99"/>
      <c r="P10" s="101"/>
    </row>
    <row r="11" spans="2:16" ht="28.8" thickBot="1" x14ac:dyDescent="0.5">
      <c r="B11" s="137" t="s">
        <v>226</v>
      </c>
      <c r="C11" s="30"/>
      <c r="D11" s="109">
        <f>IF(ISERROR(IRR(C8:H8)),"NO_APLICA",(IRR(C8:H8)))</f>
        <v>0.29995285632576763</v>
      </c>
      <c r="F11" s="103" t="s">
        <v>227</v>
      </c>
      <c r="G11" s="30"/>
      <c r="H11" s="104">
        <f>IF(ISERROR(-C9/AVERAGE(D9:H9)),"NO_APLICA",(-C9/AVERAGE(D9:H9)))</f>
        <v>4.3932220389103911</v>
      </c>
      <c r="I11" s="105" t="s">
        <v>228</v>
      </c>
      <c r="P11" s="100"/>
    </row>
    <row r="13" spans="2:16" ht="18" x14ac:dyDescent="0.35">
      <c r="B13" s="191" t="s">
        <v>229</v>
      </c>
      <c r="C13" s="191"/>
      <c r="D13" s="191"/>
      <c r="E13" s="191"/>
      <c r="F13" s="191"/>
      <c r="G13" s="191"/>
      <c r="H13" s="191"/>
    </row>
    <row r="14" spans="2:16" ht="36.6" x14ac:dyDescent="0.3">
      <c r="B14" s="86" t="str">
        <f>'1'!B2</f>
        <v>NOMBRE DEL PRODUCTO O SERVICIO</v>
      </c>
      <c r="C14" s="86" t="s">
        <v>230</v>
      </c>
      <c r="D14" s="86" t="s">
        <v>231</v>
      </c>
      <c r="E14" s="86" t="s">
        <v>232</v>
      </c>
      <c r="F14" s="86" t="s">
        <v>233</v>
      </c>
      <c r="H14" s="70"/>
      <c r="I14" s="70"/>
      <c r="J14" s="70" t="s">
        <v>234</v>
      </c>
    </row>
    <row r="15" spans="2:16" x14ac:dyDescent="0.3">
      <c r="B15" s="91" t="str">
        <f>'1'!B3</f>
        <v>Tableros de fibra de coco 1 m2 - calibre 15 mm</v>
      </c>
      <c r="C15" s="87">
        <f>'1'!D3-'1'!D17</f>
        <v>33907.964559512446</v>
      </c>
      <c r="D15" s="88">
        <f>'1'!F3</f>
        <v>7.2088724584103508E-2</v>
      </c>
      <c r="E15" s="87">
        <f>C15*D15</f>
        <v>2444.3819183382352</v>
      </c>
      <c r="F15" s="89">
        <f t="shared" ref="F15:F24" si="0">$E$28*D15</f>
        <v>38.769307990732628</v>
      </c>
      <c r="G15" s="37" t="s">
        <v>235</v>
      </c>
      <c r="H15" s="71">
        <f>'1'!D3</f>
        <v>650000</v>
      </c>
      <c r="I15" s="90">
        <f t="shared" ref="I15:I24" si="1">$B$35*D15</f>
        <v>77.538615981465256</v>
      </c>
      <c r="J15" s="71">
        <f>'1'!D17</f>
        <v>616092.03544048755</v>
      </c>
    </row>
    <row r="16" spans="2:16" x14ac:dyDescent="0.3">
      <c r="B16" s="91" t="str">
        <f>'1'!B4</f>
        <v xml:space="preserve">Mesas con fribra de coco - comedor 4 puestos </v>
      </c>
      <c r="C16" s="87">
        <f>'1'!D4-'1'!D18</f>
        <v>1303447.7873570747</v>
      </c>
      <c r="D16" s="88">
        <f>'1'!F4</f>
        <v>0.73937153419593349</v>
      </c>
      <c r="E16" s="87">
        <f t="shared" ref="E16:E24" si="2">C16*D16</f>
        <v>963732.19028249523</v>
      </c>
      <c r="F16" s="89">
        <f t="shared" si="0"/>
        <v>397.63392811007827</v>
      </c>
      <c r="G16" s="37" t="str">
        <f>G15</f>
        <v>UNIDADES</v>
      </c>
      <c r="H16" s="71">
        <f>'1'!D4</f>
        <v>5000000</v>
      </c>
      <c r="I16" s="90">
        <f t="shared" si="1"/>
        <v>795.26785622015655</v>
      </c>
      <c r="J16" s="71">
        <f>'1'!D18</f>
        <v>3696552.2126429253</v>
      </c>
    </row>
    <row r="17" spans="2:10" x14ac:dyDescent="0.3">
      <c r="B17" s="91" t="str">
        <f>'1'!B5</f>
        <v>Mesas de centro con fribra de coco  - pequeña</v>
      </c>
      <c r="C17" s="87">
        <f>'1'!D5-'1'!D19</f>
        <v>86666.548611293081</v>
      </c>
      <c r="D17" s="88">
        <f>'1'!F5</f>
        <v>3.6229205175600743E-2</v>
      </c>
      <c r="E17" s="87">
        <f t="shared" si="2"/>
        <v>3139.8601714997126</v>
      </c>
      <c r="F17" s="89">
        <f t="shared" si="0"/>
        <v>19.484062477393834</v>
      </c>
      <c r="G17" s="37" t="str">
        <f t="shared" ref="G17:G24" si="3">G16</f>
        <v>UNIDADES</v>
      </c>
      <c r="H17" s="71">
        <f>'1'!D5</f>
        <v>980000</v>
      </c>
      <c r="I17" s="90">
        <f t="shared" si="1"/>
        <v>38.968124954787669</v>
      </c>
      <c r="J17" s="71">
        <f>'1'!D19</f>
        <v>893333.45138870692</v>
      </c>
    </row>
    <row r="18" spans="2:10" x14ac:dyDescent="0.3">
      <c r="B18" s="91" t="str">
        <f>'1'!B6</f>
        <v xml:space="preserve">Soporte para macetas pequeño </v>
      </c>
      <c r="C18" s="87">
        <f>'1'!D6-'1'!D20</f>
        <v>125976.99113987811</v>
      </c>
      <c r="D18" s="88">
        <f>'1'!F6</f>
        <v>4.1404805914972274E-2</v>
      </c>
      <c r="E18" s="87">
        <f t="shared" si="2"/>
        <v>5216.0528678988348</v>
      </c>
      <c r="F18" s="89">
        <f t="shared" si="0"/>
        <v>22.26749997416438</v>
      </c>
      <c r="G18" s="37" t="str">
        <f t="shared" si="3"/>
        <v>UNIDADES</v>
      </c>
      <c r="H18" s="71">
        <f>'1'!D6</f>
        <v>280000</v>
      </c>
      <c r="I18" s="90">
        <f t="shared" si="1"/>
        <v>44.53499994832876</v>
      </c>
      <c r="J18" s="71">
        <f>'1'!D20</f>
        <v>154023.00886012189</v>
      </c>
    </row>
    <row r="19" spans="2:10" x14ac:dyDescent="0.3">
      <c r="B19" s="91" t="str">
        <f>'1'!B7</f>
        <v>Escritorio con fibra de coco Pequeño</v>
      </c>
      <c r="C19" s="87">
        <f>'1'!D7-'1'!D21</f>
        <v>1767815.9291190249</v>
      </c>
      <c r="D19" s="88">
        <f>'1'!F7</f>
        <v>0.11090573012939002</v>
      </c>
      <c r="E19" s="87">
        <f t="shared" si="2"/>
        <v>196060.91635331145</v>
      </c>
      <c r="F19" s="89">
        <f t="shared" si="0"/>
        <v>59.645089216511735</v>
      </c>
      <c r="G19" s="37" t="str">
        <f t="shared" si="3"/>
        <v>UNIDADES</v>
      </c>
      <c r="H19" s="71">
        <f>'1'!D7</f>
        <v>3000000</v>
      </c>
      <c r="I19" s="90">
        <f t="shared" si="1"/>
        <v>119.29017843302347</v>
      </c>
      <c r="J19" s="71">
        <f>'1'!D21</f>
        <v>1232184.0708809751</v>
      </c>
    </row>
    <row r="20" spans="2:10" x14ac:dyDescent="0.3">
      <c r="B20" s="91">
        <f>'1'!B8</f>
        <v>0</v>
      </c>
      <c r="C20" s="87">
        <f>'1'!D8-'1'!D22</f>
        <v>0</v>
      </c>
      <c r="D20" s="88">
        <f>'1'!F8</f>
        <v>0</v>
      </c>
      <c r="E20" s="87">
        <f t="shared" si="2"/>
        <v>0</v>
      </c>
      <c r="F20" s="89">
        <f t="shared" si="0"/>
        <v>0</v>
      </c>
      <c r="G20" s="37" t="str">
        <f t="shared" si="3"/>
        <v>UNIDADES</v>
      </c>
      <c r="H20" s="71">
        <f>'1'!D8</f>
        <v>0</v>
      </c>
      <c r="I20" s="90">
        <f t="shared" si="1"/>
        <v>0</v>
      </c>
      <c r="J20" s="71">
        <f>'1'!D22</f>
        <v>0</v>
      </c>
    </row>
    <row r="21" spans="2:10" x14ac:dyDescent="0.3">
      <c r="B21" s="91">
        <f>'1'!B9</f>
        <v>0</v>
      </c>
      <c r="C21" s="87">
        <f>'1'!D9-'1'!D23</f>
        <v>0</v>
      </c>
      <c r="D21" s="88">
        <f>'1'!F9</f>
        <v>0</v>
      </c>
      <c r="E21" s="87">
        <f t="shared" si="2"/>
        <v>0</v>
      </c>
      <c r="F21" s="89">
        <f t="shared" si="0"/>
        <v>0</v>
      </c>
      <c r="G21" s="37" t="str">
        <f t="shared" si="3"/>
        <v>UNIDADES</v>
      </c>
      <c r="H21" s="71">
        <f>'1'!D9</f>
        <v>0</v>
      </c>
      <c r="I21" s="90">
        <f t="shared" si="1"/>
        <v>0</v>
      </c>
      <c r="J21" s="71">
        <f>'1'!D23</f>
        <v>0</v>
      </c>
    </row>
    <row r="22" spans="2:10" x14ac:dyDescent="0.3">
      <c r="B22" s="91">
        <f>'1'!B10</f>
        <v>0</v>
      </c>
      <c r="C22" s="87">
        <f>'1'!D10-'1'!D24</f>
        <v>0</v>
      </c>
      <c r="D22" s="88">
        <f>'1'!F10</f>
        <v>0</v>
      </c>
      <c r="E22" s="87">
        <f t="shared" si="2"/>
        <v>0</v>
      </c>
      <c r="F22" s="89">
        <f t="shared" si="0"/>
        <v>0</v>
      </c>
      <c r="G22" s="37" t="str">
        <f t="shared" si="3"/>
        <v>UNIDADES</v>
      </c>
      <c r="H22" s="71">
        <f>'1'!D10</f>
        <v>0</v>
      </c>
      <c r="I22" s="90">
        <f t="shared" si="1"/>
        <v>0</v>
      </c>
      <c r="J22" s="71">
        <f>'1'!D24</f>
        <v>0</v>
      </c>
    </row>
    <row r="23" spans="2:10" x14ac:dyDescent="0.3">
      <c r="B23" s="91">
        <f>'1'!B11</f>
        <v>0</v>
      </c>
      <c r="C23" s="87">
        <f>'1'!D11-'1'!D25</f>
        <v>0</v>
      </c>
      <c r="D23" s="88">
        <f>'1'!F11</f>
        <v>0</v>
      </c>
      <c r="E23" s="87">
        <f t="shared" si="2"/>
        <v>0</v>
      </c>
      <c r="F23" s="89">
        <f t="shared" si="0"/>
        <v>0</v>
      </c>
      <c r="G23" s="37" t="str">
        <f t="shared" si="3"/>
        <v>UNIDADES</v>
      </c>
      <c r="H23" s="71">
        <f>'1'!D11</f>
        <v>0</v>
      </c>
      <c r="I23" s="90">
        <f t="shared" si="1"/>
        <v>0</v>
      </c>
      <c r="J23" s="71">
        <f>'1'!D25</f>
        <v>0</v>
      </c>
    </row>
    <row r="24" spans="2:10" x14ac:dyDescent="0.3">
      <c r="B24" s="91">
        <f>'1'!B12</f>
        <v>0</v>
      </c>
      <c r="C24" s="87">
        <f>'1'!D12-'1'!D26</f>
        <v>0</v>
      </c>
      <c r="D24" s="88">
        <f>'1'!F12</f>
        <v>0</v>
      </c>
      <c r="E24" s="87">
        <f t="shared" si="2"/>
        <v>0</v>
      </c>
      <c r="F24" s="89">
        <f t="shared" si="0"/>
        <v>0</v>
      </c>
      <c r="G24" s="37" t="str">
        <f t="shared" si="3"/>
        <v>UNIDADES</v>
      </c>
      <c r="H24" s="71">
        <f>'1'!D12</f>
        <v>0</v>
      </c>
      <c r="I24" s="90">
        <f t="shared" si="1"/>
        <v>0</v>
      </c>
      <c r="J24" s="71">
        <f>'1'!D26</f>
        <v>0</v>
      </c>
    </row>
    <row r="25" spans="2:10" ht="25.2" x14ac:dyDescent="0.45">
      <c r="C25" s="25"/>
      <c r="D25" s="92"/>
      <c r="E25" s="25"/>
      <c r="F25" s="93">
        <f>SUM(F15:F24)</f>
        <v>537.79988776888081</v>
      </c>
      <c r="G25" s="8" t="str">
        <f>G24</f>
        <v>UNIDADES</v>
      </c>
      <c r="H25" s="71"/>
      <c r="I25" s="90"/>
      <c r="J25" s="71"/>
    </row>
    <row r="26" spans="2:10" ht="12.75" customHeight="1" x14ac:dyDescent="0.45">
      <c r="C26" s="25"/>
      <c r="D26" s="92"/>
      <c r="E26" s="25"/>
      <c r="F26" s="93"/>
      <c r="H26" s="71"/>
      <c r="I26" s="90"/>
      <c r="J26" s="71"/>
    </row>
    <row r="27" spans="2:10" ht="21" customHeight="1" x14ac:dyDescent="0.45">
      <c r="B27" s="194" t="s">
        <v>236</v>
      </c>
      <c r="C27" s="194"/>
      <c r="D27" s="194"/>
      <c r="E27" s="94">
        <f>SUM(E15:E24)</f>
        <v>1170593.4015935434</v>
      </c>
      <c r="H27" s="70"/>
      <c r="I27" s="70"/>
      <c r="J27" s="70"/>
    </row>
    <row r="28" spans="2:10" ht="19.5" customHeight="1" x14ac:dyDescent="0.45">
      <c r="B28" s="194" t="s">
        <v>237</v>
      </c>
      <c r="C28" s="194"/>
      <c r="D28" s="194"/>
      <c r="E28" s="93">
        <f>IF(E27=0,0,('2'!C23+'2'!F31+'2'!C25)/'5'!E27)</f>
        <v>537.79988776888081</v>
      </c>
      <c r="F28" s="95" t="s">
        <v>235</v>
      </c>
      <c r="H28" s="96"/>
    </row>
    <row r="29" spans="2:10" ht="25.2" x14ac:dyDescent="0.45">
      <c r="B29" s="194" t="s">
        <v>238</v>
      </c>
      <c r="C29" s="194"/>
      <c r="D29" s="194"/>
      <c r="E29" s="94">
        <f>E49</f>
        <v>2217634239.6145148</v>
      </c>
    </row>
    <row r="30" spans="2:10" x14ac:dyDescent="0.3">
      <c r="B30" s="128"/>
      <c r="C30" s="128"/>
      <c r="D30" s="128"/>
      <c r="E30" s="128"/>
      <c r="F30" s="128"/>
      <c r="G30" s="128"/>
    </row>
    <row r="31" spans="2:10" s="70" customFormat="1" x14ac:dyDescent="0.3"/>
    <row r="32" spans="2:10" s="70" customFormat="1" x14ac:dyDescent="0.3">
      <c r="C32" s="70" t="s">
        <v>239</v>
      </c>
      <c r="D32" s="70" t="s">
        <v>240</v>
      </c>
      <c r="E32" s="70" t="s">
        <v>241</v>
      </c>
      <c r="F32" s="70" t="s">
        <v>242</v>
      </c>
    </row>
    <row r="33" spans="2:6" s="70" customFormat="1" x14ac:dyDescent="0.3">
      <c r="B33" s="70">
        <v>0</v>
      </c>
      <c r="C33" s="71">
        <f>'2'!C25+'2'!F31+'2'!C23</f>
        <v>629545000</v>
      </c>
      <c r="D33" s="70">
        <f>0</f>
        <v>0</v>
      </c>
      <c r="E33" s="70">
        <v>0</v>
      </c>
      <c r="F33" s="71">
        <f>C33+E33</f>
        <v>629545000</v>
      </c>
    </row>
    <row r="34" spans="2:6" s="70" customFormat="1" x14ac:dyDescent="0.3">
      <c r="B34" s="90">
        <f>F25</f>
        <v>537.79988776888081</v>
      </c>
      <c r="C34" s="71">
        <f>C33</f>
        <v>629545000</v>
      </c>
      <c r="D34" s="129">
        <f>SUMPRODUCT(F15:F24,H15:H24)</f>
        <v>2217634239.6145148</v>
      </c>
      <c r="E34" s="129">
        <f>SUMPRODUCT(F15:F24,J15:J24)</f>
        <v>1588089239.6145148</v>
      </c>
      <c r="F34" s="71">
        <f>C34+E34</f>
        <v>2217634239.6145148</v>
      </c>
    </row>
    <row r="35" spans="2:6" s="70" customFormat="1" x14ac:dyDescent="0.3">
      <c r="B35" s="90">
        <f>B34*2</f>
        <v>1075.5997755377616</v>
      </c>
      <c r="C35" s="71">
        <f>C34</f>
        <v>629545000</v>
      </c>
      <c r="D35" s="129">
        <f>SUMPRODUCT(H15:H24,I15:I24)</f>
        <v>4435268479.2290297</v>
      </c>
      <c r="E35" s="129">
        <f>SUMPRODUCT(I15:I24,J15:J24)</f>
        <v>3176178479.2290297</v>
      </c>
      <c r="F35" s="71">
        <f>C35+E35</f>
        <v>3805723479.2290297</v>
      </c>
    </row>
    <row r="36" spans="2:6" s="70" customFormat="1" x14ac:dyDescent="0.3">
      <c r="C36" s="71"/>
    </row>
    <row r="37" spans="2:6" s="70" customFormat="1" x14ac:dyDescent="0.3">
      <c r="C37" s="71"/>
    </row>
    <row r="38" spans="2:6" s="70" customFormat="1" x14ac:dyDescent="0.3">
      <c r="C38" s="130" t="s">
        <v>243</v>
      </c>
      <c r="D38" s="70" t="s">
        <v>235</v>
      </c>
      <c r="E38" s="70" t="s">
        <v>244</v>
      </c>
    </row>
    <row r="39" spans="2:6" s="70" customFormat="1" x14ac:dyDescent="0.3">
      <c r="B39" s="70">
        <v>1</v>
      </c>
      <c r="C39" s="71">
        <f>'1'!D3</f>
        <v>650000</v>
      </c>
      <c r="D39" s="90">
        <f>F15</f>
        <v>38.769307990732628</v>
      </c>
      <c r="E39" s="70">
        <f>C39*D39</f>
        <v>25200050.193976209</v>
      </c>
    </row>
    <row r="40" spans="2:6" s="70" customFormat="1" x14ac:dyDescent="0.3">
      <c r="B40" s="70">
        <f>B39+1</f>
        <v>2</v>
      </c>
      <c r="C40" s="71">
        <f>'1'!D4</f>
        <v>5000000</v>
      </c>
      <c r="D40" s="90">
        <f t="shared" ref="D40:D48" si="4">F16</f>
        <v>397.63392811007827</v>
      </c>
      <c r="E40" s="70">
        <f t="shared" ref="E40:E48" si="5">C40*D40</f>
        <v>1988169640.5503914</v>
      </c>
    </row>
    <row r="41" spans="2:6" s="70" customFormat="1" x14ac:dyDescent="0.3">
      <c r="B41" s="70">
        <f t="shared" ref="B41:B48" si="6">B40+1</f>
        <v>3</v>
      </c>
      <c r="C41" s="71">
        <f>'1'!D5</f>
        <v>980000</v>
      </c>
      <c r="D41" s="90">
        <f t="shared" si="4"/>
        <v>19.484062477393834</v>
      </c>
      <c r="E41" s="70">
        <f t="shared" si="5"/>
        <v>19094381.227845959</v>
      </c>
    </row>
    <row r="42" spans="2:6" s="70" customFormat="1" x14ac:dyDescent="0.3">
      <c r="B42" s="70">
        <f t="shared" si="6"/>
        <v>4</v>
      </c>
      <c r="C42" s="71">
        <f>'1'!D6</f>
        <v>280000</v>
      </c>
      <c r="D42" s="90">
        <f t="shared" si="4"/>
        <v>22.26749997416438</v>
      </c>
      <c r="E42" s="70">
        <f t="shared" si="5"/>
        <v>6234899.9927660264</v>
      </c>
    </row>
    <row r="43" spans="2:6" s="70" customFormat="1" x14ac:dyDescent="0.3">
      <c r="B43" s="70">
        <f t="shared" si="6"/>
        <v>5</v>
      </c>
      <c r="C43" s="71">
        <f>'1'!D7</f>
        <v>3000000</v>
      </c>
      <c r="D43" s="90">
        <f t="shared" si="4"/>
        <v>59.645089216511735</v>
      </c>
      <c r="E43" s="70">
        <f t="shared" si="5"/>
        <v>178935267.64953521</v>
      </c>
    </row>
    <row r="44" spans="2:6" s="70" customFormat="1" x14ac:dyDescent="0.3">
      <c r="B44" s="70">
        <f t="shared" si="6"/>
        <v>6</v>
      </c>
      <c r="C44" s="71">
        <f>'1'!D8</f>
        <v>0</v>
      </c>
      <c r="D44" s="90">
        <f t="shared" si="4"/>
        <v>0</v>
      </c>
      <c r="E44" s="70">
        <f t="shared" si="5"/>
        <v>0</v>
      </c>
    </row>
    <row r="45" spans="2:6" s="70" customFormat="1" x14ac:dyDescent="0.3">
      <c r="B45" s="70">
        <f t="shared" si="6"/>
        <v>7</v>
      </c>
      <c r="C45" s="71">
        <f>'1'!D9</f>
        <v>0</v>
      </c>
      <c r="D45" s="90">
        <f t="shared" si="4"/>
        <v>0</v>
      </c>
      <c r="E45" s="70">
        <f t="shared" si="5"/>
        <v>0</v>
      </c>
    </row>
    <row r="46" spans="2:6" s="70" customFormat="1" x14ac:dyDescent="0.3">
      <c r="B46" s="70">
        <f t="shared" si="6"/>
        <v>8</v>
      </c>
      <c r="C46" s="71">
        <f>'1'!D10</f>
        <v>0</v>
      </c>
      <c r="D46" s="90">
        <f t="shared" si="4"/>
        <v>0</v>
      </c>
      <c r="E46" s="70">
        <f t="shared" si="5"/>
        <v>0</v>
      </c>
    </row>
    <row r="47" spans="2:6" s="70" customFormat="1" x14ac:dyDescent="0.3">
      <c r="B47" s="70">
        <f t="shared" si="6"/>
        <v>9</v>
      </c>
      <c r="C47" s="71">
        <f>'1'!D11</f>
        <v>0</v>
      </c>
      <c r="D47" s="90">
        <f t="shared" si="4"/>
        <v>0</v>
      </c>
      <c r="E47" s="70">
        <f t="shared" si="5"/>
        <v>0</v>
      </c>
    </row>
    <row r="48" spans="2:6" s="70" customFormat="1" x14ac:dyDescent="0.3">
      <c r="B48" s="70">
        <f t="shared" si="6"/>
        <v>10</v>
      </c>
      <c r="C48" s="71">
        <f>'1'!D12</f>
        <v>0</v>
      </c>
      <c r="D48" s="90">
        <f t="shared" si="4"/>
        <v>0</v>
      </c>
      <c r="E48" s="70">
        <f t="shared" si="5"/>
        <v>0</v>
      </c>
    </row>
    <row r="49" spans="2:8" s="70" customFormat="1" x14ac:dyDescent="0.3">
      <c r="C49" s="71"/>
      <c r="E49" s="131">
        <f>SUM(E39:E48)</f>
        <v>2217634239.6145148</v>
      </c>
    </row>
    <row r="50" spans="2:8" s="70" customFormat="1" x14ac:dyDescent="0.3"/>
    <row r="51" spans="2:8" s="70" customFormat="1" x14ac:dyDescent="0.3">
      <c r="C51" s="71"/>
    </row>
    <row r="52" spans="2:8" s="70" customFormat="1" x14ac:dyDescent="0.3">
      <c r="B52" s="192"/>
      <c r="C52" s="192"/>
      <c r="D52" s="192"/>
      <c r="G52" s="70" t="s">
        <v>245</v>
      </c>
      <c r="H52" s="132">
        <f>'4'!B32/'4'!B27</f>
        <v>0.51866686660625227</v>
      </c>
    </row>
    <row r="53" spans="2:8" s="70" customFormat="1" x14ac:dyDescent="0.3">
      <c r="C53" s="71"/>
      <c r="G53" s="70" t="s">
        <v>246</v>
      </c>
      <c r="H53" s="132">
        <f>'4'!B36/'4'!B27</f>
        <v>0.48133313339374773</v>
      </c>
    </row>
    <row r="54" spans="2:8" s="70" customFormat="1" x14ac:dyDescent="0.3">
      <c r="G54" s="70" t="s">
        <v>247</v>
      </c>
      <c r="H54" s="70">
        <f>'1'!AB7</f>
        <v>0.34</v>
      </c>
    </row>
    <row r="55" spans="2:8" s="70" customFormat="1" x14ac:dyDescent="0.3">
      <c r="G55" s="70" t="s">
        <v>248</v>
      </c>
      <c r="H55" s="132">
        <f>'3'!F4</f>
        <v>0.20519999999999999</v>
      </c>
    </row>
    <row r="56" spans="2:8" s="70" customFormat="1" x14ac:dyDescent="0.3">
      <c r="G56" s="70" t="s">
        <v>249</v>
      </c>
    </row>
    <row r="57" spans="2:8" s="70" customFormat="1" x14ac:dyDescent="0.3"/>
    <row r="58" spans="2:8" s="70" customFormat="1" x14ac:dyDescent="0.3"/>
    <row r="59" spans="2:8" s="70" customFormat="1" x14ac:dyDescent="0.3"/>
    <row r="60" spans="2:8" s="70" customFormat="1" x14ac:dyDescent="0.3"/>
    <row r="61" spans="2:8" s="70" customFormat="1" x14ac:dyDescent="0.3"/>
    <row r="62" spans="2:8" x14ac:dyDescent="0.3">
      <c r="B62" s="128"/>
      <c r="C62" s="128"/>
      <c r="D62" s="128"/>
      <c r="E62" s="128"/>
      <c r="F62" s="128"/>
      <c r="G62" s="128"/>
    </row>
    <row r="63" spans="2:8" x14ac:dyDescent="0.3">
      <c r="B63" s="128"/>
      <c r="C63" s="128"/>
      <c r="D63" s="128"/>
      <c r="E63" s="128"/>
      <c r="F63" s="128"/>
      <c r="G63" s="128"/>
    </row>
    <row r="64" spans="2:8" x14ac:dyDescent="0.3">
      <c r="B64" s="128"/>
      <c r="C64" s="128"/>
      <c r="D64" s="128"/>
      <c r="E64" s="128"/>
      <c r="F64" s="128"/>
      <c r="G64" s="128"/>
    </row>
    <row r="65" spans="2:7" x14ac:dyDescent="0.3">
      <c r="B65" s="128"/>
      <c r="C65" s="128"/>
      <c r="D65" s="128"/>
      <c r="E65" s="128"/>
      <c r="F65" s="128"/>
      <c r="G65" s="128"/>
    </row>
    <row r="66" spans="2:7" x14ac:dyDescent="0.3">
      <c r="B66" s="128"/>
      <c r="C66" s="128"/>
      <c r="D66" s="128"/>
      <c r="E66" s="128"/>
      <c r="F66" s="128"/>
      <c r="G66" s="128"/>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4" ma:contentTypeDescription="Crear nuevo documento." ma:contentTypeScope="" ma:versionID="e191cd5f6cd0dfbf6688f64177c533dc">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a75d286fea4223cffb35a08b42784316"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CE1B90-2624-4245-86CF-FC78020DA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201D0C-22A1-4197-B743-460FDB3B7C6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72A827F-F916-41B3-8E4A-6E70E024C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Forecast de materia prima</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RICHARD GERARDO GARCIA CONDE</cp:lastModifiedBy>
  <cp:revision/>
  <dcterms:created xsi:type="dcterms:W3CDTF">2013-07-30T17:19:59Z</dcterms:created>
  <dcterms:modified xsi:type="dcterms:W3CDTF">2025-08-20T01:31:22Z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