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https://enelcom-my.sharepoint.com/personal/oscar_sanchezh_enel_com/Documents/Asistencias/2022.07 USB/Otros Archivos/EAN/2024 4to Ciclo (4 Semestre)/Trabajo de Grado/Presentación/"/>
    </mc:Choice>
  </mc:AlternateContent>
  <xr:revisionPtr revIDLastSave="2481" documentId="6_{2A5C017C-CB15-4358-93C0-5CCBDF477FD3}" xr6:coauthVersionLast="47" xr6:coauthVersionMax="47" xr10:uidLastSave="{9540D5C7-D75B-4908-9554-3C296D322999}"/>
  <bookViews>
    <workbookView xWindow="13550" yWindow="-110" windowWidth="25820" windowHeight="13900" tabRatio="885" activeTab="1" xr2:uid="{00000000-000D-0000-FFFF-FFFF00000000}"/>
  </bookViews>
  <sheets>
    <sheet name="Menú" sheetId="7" r:id="rId1"/>
    <sheet name="1. Ventas y Premisas" sheetId="1" r:id="rId2"/>
    <sheet name="2. Inversión y Gastos" sheetId="4" r:id="rId3"/>
    <sheet name="3 Financiación" sheetId="3" r:id="rId4"/>
    <sheet name="4. Resultados Financieros" sheetId="5" r:id="rId5"/>
    <sheet name="5. KPIs" sheetId="6" r:id="rId6"/>
    <sheet name="Proyecciones VF" sheetId="14" state="hidden" r:id="rId7"/>
    <sheet name="Vr2 Ing y Cost Esports" sheetId="15" state="hidden" r:id="rId8"/>
    <sheet name="Torneos" sheetId="8" state="hidden" r:id="rId9"/>
    <sheet name="Vr1 Ing y Cost Esports" sheetId="11" state="hidden" r:id="rId10"/>
    <sheet name="Estructura Organizativa" sheetId="12" state="hidden" r:id="rId11"/>
    <sheet name="Tablas" sheetId="13" state="hidden" r:id="rId12"/>
    <sheet name="Calendario Torneos VF" sheetId="17" state="hidden" r:id="rId13"/>
    <sheet name="Calendario Ligas VF" sheetId="18" state="hidden" r:id="rId14"/>
  </sheets>
  <externalReferences>
    <externalReference r:id="rId15"/>
  </externalReference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211" i="13" l="1"/>
  <c r="CG211" i="13"/>
  <c r="CE211" i="13"/>
  <c r="B9" i="18"/>
  <c r="B8" i="18"/>
  <c r="B6" i="18"/>
  <c r="B4" i="18"/>
  <c r="B1" i="18"/>
  <c r="B2" i="17"/>
  <c r="A5" i="15"/>
  <c r="AZ2" i="15"/>
  <c r="BL165" i="13"/>
  <c r="BI165" i="13"/>
  <c r="BI164" i="13" s="1"/>
  <c r="BJ163" i="13"/>
  <c r="BJ164" i="13" s="1"/>
  <c r="BJ168" i="13" s="1"/>
  <c r="BH168" i="13" s="1"/>
  <c r="BA126" i="13"/>
  <c r="AZ126" i="13"/>
  <c r="G34" i="14"/>
  <c r="D79" i="14"/>
  <c r="U2" i="14"/>
  <c r="V2" i="14" s="1"/>
  <c r="W2" i="14" s="1"/>
  <c r="X2" i="14" s="1"/>
  <c r="X4" i="14" s="1"/>
  <c r="G66" i="14"/>
  <c r="AB103" i="14"/>
  <c r="F21" i="14"/>
  <c r="C11" i="4"/>
  <c r="T27" i="14"/>
  <c r="U4" i="14"/>
  <c r="C29" i="4"/>
  <c r="C30" i="4" s="1"/>
  <c r="C31" i="4" s="1"/>
  <c r="C28" i="4"/>
  <c r="C3" i="1"/>
  <c r="BC4" i="15"/>
  <c r="BE4" i="15" s="1"/>
  <c r="BC5" i="15"/>
  <c r="BE5" i="15" s="1"/>
  <c r="BF5" i="15" s="1"/>
  <c r="BC6" i="15"/>
  <c r="BE6" i="15"/>
  <c r="BF6" i="15" s="1"/>
  <c r="AZ7" i="15"/>
  <c r="BD7" i="15"/>
  <c r="BD12" i="15" s="1"/>
  <c r="BF12" i="15" s="1"/>
  <c r="BE12" i="15" s="1"/>
  <c r="BG9" i="15"/>
  <c r="BF10" i="15"/>
  <c r="BG10" i="15"/>
  <c r="BF11" i="15"/>
  <c r="BE14" i="15"/>
  <c r="BF14" i="15"/>
  <c r="BJ17" i="15"/>
  <c r="F25" i="15"/>
  <c r="G25" i="15"/>
  <c r="F47" i="15" s="1"/>
  <c r="B50" i="15" s="1"/>
  <c r="B51" i="15" s="1"/>
  <c r="I25" i="15"/>
  <c r="J25" i="15"/>
  <c r="K25" i="15"/>
  <c r="K26" i="15" s="1"/>
  <c r="L25" i="15"/>
  <c r="L26" i="15" s="1"/>
  <c r="M25" i="15"/>
  <c r="N25" i="15"/>
  <c r="O25" i="15"/>
  <c r="P25" i="15"/>
  <c r="P26" i="15" s="1"/>
  <c r="Q25" i="15"/>
  <c r="R25" i="15"/>
  <c r="S25" i="15"/>
  <c r="S26" i="15" s="1"/>
  <c r="T25" i="15"/>
  <c r="T26" i="15" s="1"/>
  <c r="U25" i="15"/>
  <c r="V25" i="15"/>
  <c r="W25" i="15"/>
  <c r="X25" i="15"/>
  <c r="X26" i="15" s="1"/>
  <c r="Y25" i="15"/>
  <c r="AA25" i="15"/>
  <c r="AB25" i="15"/>
  <c r="AB26" i="15" s="1"/>
  <c r="AD25" i="15"/>
  <c r="AD26" i="15" s="1"/>
  <c r="AE25" i="15"/>
  <c r="AF25" i="15"/>
  <c r="AG25" i="15"/>
  <c r="AH25" i="15"/>
  <c r="AH26" i="15" s="1"/>
  <c r="AI25" i="15"/>
  <c r="AJ25" i="15"/>
  <c r="AK25" i="15"/>
  <c r="AL25" i="15"/>
  <c r="AL26" i="15" s="1"/>
  <c r="AM25" i="15"/>
  <c r="AN25" i="15"/>
  <c r="AO25" i="15"/>
  <c r="AP25" i="15"/>
  <c r="AP26" i="15" s="1"/>
  <c r="AQ25" i="15"/>
  <c r="AR25" i="15"/>
  <c r="AS25" i="15"/>
  <c r="AT25" i="15"/>
  <c r="AV25" i="15"/>
  <c r="AW25" i="15"/>
  <c r="F26" i="15"/>
  <c r="H26" i="15"/>
  <c r="I26" i="15"/>
  <c r="J26" i="15"/>
  <c r="M26" i="15"/>
  <c r="N26" i="15"/>
  <c r="O26" i="15"/>
  <c r="Q26" i="15"/>
  <c r="R26" i="15"/>
  <c r="U26" i="15"/>
  <c r="V26" i="15"/>
  <c r="W26" i="15"/>
  <c r="Y26" i="15"/>
  <c r="Z26" i="15"/>
  <c r="AA26" i="15"/>
  <c r="AC26" i="15"/>
  <c r="AE26" i="15"/>
  <c r="AF26" i="15"/>
  <c r="AG26" i="15"/>
  <c r="AI26" i="15"/>
  <c r="AJ26" i="15"/>
  <c r="AK26" i="15"/>
  <c r="AM26" i="15"/>
  <c r="AN26" i="15"/>
  <c r="AO26" i="15"/>
  <c r="AQ26" i="15"/>
  <c r="AR26" i="15"/>
  <c r="AS26" i="15"/>
  <c r="AU26" i="15"/>
  <c r="AV26" i="15"/>
  <c r="AW26" i="15"/>
  <c r="AX26" i="15"/>
  <c r="BB26" i="15"/>
  <c r="H28" i="15"/>
  <c r="I28" i="15"/>
  <c r="M28" i="15"/>
  <c r="P28" i="15"/>
  <c r="Q28" i="15"/>
  <c r="U28" i="15"/>
  <c r="X28" i="15"/>
  <c r="Y28" i="15"/>
  <c r="AG28" i="15"/>
  <c r="AO28" i="15"/>
  <c r="AV28" i="15"/>
  <c r="AW28" i="15"/>
  <c r="I29" i="15"/>
  <c r="J29" i="15"/>
  <c r="K29" i="15"/>
  <c r="K33" i="15" s="1"/>
  <c r="L29" i="15"/>
  <c r="L28" i="15" s="1"/>
  <c r="M29" i="15"/>
  <c r="N29" i="15"/>
  <c r="O29" i="15"/>
  <c r="P29" i="15"/>
  <c r="Q29" i="15"/>
  <c r="R29" i="15"/>
  <c r="S29" i="15"/>
  <c r="S33" i="15" s="1"/>
  <c r="T29" i="15"/>
  <c r="T28" i="15" s="1"/>
  <c r="U29" i="15"/>
  <c r="V29" i="15"/>
  <c r="W29" i="15"/>
  <c r="AD29" i="15"/>
  <c r="AE29" i="15"/>
  <c r="AE28" i="15" s="1"/>
  <c r="AF29" i="15"/>
  <c r="AG29" i="15"/>
  <c r="AG33" i="15" s="1"/>
  <c r="AH29" i="15"/>
  <c r="AH28" i="15" s="1"/>
  <c r="AI29" i="15"/>
  <c r="AI28" i="15" s="1"/>
  <c r="AJ29" i="15"/>
  <c r="AK29" i="15"/>
  <c r="AL29" i="15"/>
  <c r="AM29" i="15"/>
  <c r="AM28" i="15" s="1"/>
  <c r="AN29" i="15"/>
  <c r="AO29" i="15"/>
  <c r="AO33" i="15" s="1"/>
  <c r="AP29" i="15"/>
  <c r="AP28" i="15" s="1"/>
  <c r="AQ29" i="15"/>
  <c r="AQ28" i="15" s="1"/>
  <c r="AR29" i="15"/>
  <c r="F30" i="15"/>
  <c r="G30" i="15"/>
  <c r="G28" i="15" s="1"/>
  <c r="H30" i="15"/>
  <c r="I30" i="15"/>
  <c r="J30" i="15"/>
  <c r="J34" i="15" s="1"/>
  <c r="K30" i="15"/>
  <c r="L30" i="15"/>
  <c r="M30" i="15"/>
  <c r="M34" i="15" s="1"/>
  <c r="N30" i="15"/>
  <c r="N34" i="15" s="1"/>
  <c r="O30" i="15"/>
  <c r="P30" i="15"/>
  <c r="Q30" i="15"/>
  <c r="R30" i="15"/>
  <c r="R34" i="15" s="1"/>
  <c r="S30" i="15"/>
  <c r="T30" i="15"/>
  <c r="U30" i="15"/>
  <c r="U34" i="15" s="1"/>
  <c r="V30" i="15"/>
  <c r="V34" i="15" s="1"/>
  <c r="W30" i="15"/>
  <c r="X30" i="15"/>
  <c r="Y30" i="15"/>
  <c r="Z30" i="15"/>
  <c r="Z28" i="15" s="1"/>
  <c r="AA30" i="15"/>
  <c r="AB30" i="15"/>
  <c r="AB28" i="15" s="1"/>
  <c r="AC30" i="15"/>
  <c r="AC28" i="15" s="1"/>
  <c r="AD30" i="15"/>
  <c r="AD34" i="15" s="1"/>
  <c r="AE30" i="15"/>
  <c r="AF30" i="15"/>
  <c r="AG30" i="15"/>
  <c r="AH30" i="15"/>
  <c r="AH34" i="15" s="1"/>
  <c r="AI30" i="15"/>
  <c r="AJ30" i="15"/>
  <c r="AK30" i="15"/>
  <c r="AK34" i="15" s="1"/>
  <c r="AL30" i="15"/>
  <c r="AL34" i="15" s="1"/>
  <c r="AM30" i="15"/>
  <c r="AN30" i="15"/>
  <c r="AO30" i="15"/>
  <c r="AP30" i="15"/>
  <c r="AP34" i="15" s="1"/>
  <c r="AQ30" i="15"/>
  <c r="AR30" i="15"/>
  <c r="AS30" i="15"/>
  <c r="AS28" i="15" s="1"/>
  <c r="AT30" i="15"/>
  <c r="AU30" i="15"/>
  <c r="AU28" i="15" s="1"/>
  <c r="AV30" i="15"/>
  <c r="AW30" i="15"/>
  <c r="AX30" i="15"/>
  <c r="AX28" i="15" s="1"/>
  <c r="F31" i="15"/>
  <c r="G31" i="15"/>
  <c r="I31" i="15"/>
  <c r="J31" i="15"/>
  <c r="J35" i="15" s="1"/>
  <c r="K31" i="15"/>
  <c r="L31" i="15"/>
  <c r="M31" i="15"/>
  <c r="N31" i="15"/>
  <c r="O31" i="15"/>
  <c r="P31" i="15"/>
  <c r="Q31" i="15"/>
  <c r="R31" i="15"/>
  <c r="R35" i="15" s="1"/>
  <c r="S31" i="15"/>
  <c r="T31" i="15"/>
  <c r="U31" i="15"/>
  <c r="V31" i="15"/>
  <c r="W31" i="15"/>
  <c r="X31" i="15"/>
  <c r="Y31" i="15"/>
  <c r="AA31" i="15"/>
  <c r="AA35" i="15" s="1"/>
  <c r="AB31" i="15"/>
  <c r="AD31" i="15"/>
  <c r="AE31" i="15"/>
  <c r="AF31" i="15"/>
  <c r="AF28" i="15" s="1"/>
  <c r="AG31" i="15"/>
  <c r="AH31" i="15"/>
  <c r="AI31" i="15"/>
  <c r="AJ31" i="15"/>
  <c r="AJ35" i="15" s="1"/>
  <c r="AK31" i="15"/>
  <c r="AL31" i="15"/>
  <c r="AM31" i="15"/>
  <c r="AN31" i="15"/>
  <c r="AN28" i="15" s="1"/>
  <c r="AO31" i="15"/>
  <c r="AP31" i="15"/>
  <c r="AQ31" i="15"/>
  <c r="AR31" i="15"/>
  <c r="AR35" i="15" s="1"/>
  <c r="AS31" i="15"/>
  <c r="AT31" i="15"/>
  <c r="AV31" i="15"/>
  <c r="AW31" i="15"/>
  <c r="I33" i="15"/>
  <c r="J33" i="15"/>
  <c r="L33" i="15"/>
  <c r="M33" i="15"/>
  <c r="N33" i="15"/>
  <c r="P33" i="15"/>
  <c r="Q33" i="15"/>
  <c r="R33" i="15"/>
  <c r="T33" i="15"/>
  <c r="U33" i="15"/>
  <c r="V33" i="15"/>
  <c r="AD33" i="15"/>
  <c r="AE33" i="15"/>
  <c r="AF33" i="15"/>
  <c r="AH33" i="15"/>
  <c r="AI33" i="15"/>
  <c r="AJ33" i="15"/>
  <c r="AL33" i="15"/>
  <c r="AM33" i="15"/>
  <c r="AN33" i="15"/>
  <c r="AP33" i="15"/>
  <c r="AQ33" i="15"/>
  <c r="AR33" i="15"/>
  <c r="G34" i="15"/>
  <c r="H34" i="15"/>
  <c r="I34" i="15"/>
  <c r="K34" i="15"/>
  <c r="L34" i="15"/>
  <c r="O34" i="15"/>
  <c r="P34" i="15"/>
  <c r="Q34" i="15"/>
  <c r="S34" i="15"/>
  <c r="T34" i="15"/>
  <c r="W34" i="15"/>
  <c r="X34" i="15"/>
  <c r="Y34" i="15"/>
  <c r="AA34" i="15"/>
  <c r="AB34" i="15"/>
  <c r="AE34" i="15"/>
  <c r="AF34" i="15"/>
  <c r="AG34" i="15"/>
  <c r="AI34" i="15"/>
  <c r="AJ34" i="15"/>
  <c r="AM34" i="15"/>
  <c r="AN34" i="15"/>
  <c r="AO34" i="15"/>
  <c r="AQ34" i="15"/>
  <c r="AR34" i="15"/>
  <c r="AU34" i="15"/>
  <c r="AV34" i="15"/>
  <c r="AW34" i="15"/>
  <c r="F35" i="15"/>
  <c r="G35" i="15"/>
  <c r="I35" i="15"/>
  <c r="K35" i="15"/>
  <c r="L35" i="15"/>
  <c r="M35" i="15"/>
  <c r="N35" i="15"/>
  <c r="O35" i="15"/>
  <c r="P35" i="15"/>
  <c r="Q35" i="15"/>
  <c r="S35" i="15"/>
  <c r="T35" i="15"/>
  <c r="U35" i="15"/>
  <c r="V35" i="15"/>
  <c r="W35" i="15"/>
  <c r="X35" i="15"/>
  <c r="Y35" i="15"/>
  <c r="AB35" i="15"/>
  <c r="AD35" i="15"/>
  <c r="AE35" i="15"/>
  <c r="AF35" i="15"/>
  <c r="AG35" i="15"/>
  <c r="AH35" i="15"/>
  <c r="AI35" i="15"/>
  <c r="AK35" i="15"/>
  <c r="AL35" i="15"/>
  <c r="AM35" i="15"/>
  <c r="AN35" i="15"/>
  <c r="AO35" i="15"/>
  <c r="AP35" i="15"/>
  <c r="AQ35" i="15"/>
  <c r="AS35" i="15"/>
  <c r="AT35" i="15"/>
  <c r="AV35" i="15"/>
  <c r="AW35" i="15"/>
  <c r="BB36" i="15"/>
  <c r="BB37" i="15"/>
  <c r="BA45" i="15"/>
  <c r="BA42" i="15" s="1"/>
  <c r="I47" i="15"/>
  <c r="X47" i="15"/>
  <c r="AD47" i="15"/>
  <c r="AV47" i="15"/>
  <c r="BC49" i="15"/>
  <c r="BD49" i="15"/>
  <c r="BE49" i="15"/>
  <c r="BF49" i="15"/>
  <c r="BJ49" i="15"/>
  <c r="BK49" i="15"/>
  <c r="BL49" i="15"/>
  <c r="BM49" i="15"/>
  <c r="BJ52" i="15"/>
  <c r="BC53" i="15"/>
  <c r="BD53" i="15" s="1"/>
  <c r="BE53" i="15" s="1"/>
  <c r="BF53" i="15" s="1"/>
  <c r="B54" i="15"/>
  <c r="B55" i="15"/>
  <c r="BB56" i="15"/>
  <c r="BB57" i="15"/>
  <c r="BC57" i="15"/>
  <c r="BD57" i="15" s="1"/>
  <c r="B58" i="15"/>
  <c r="BC58" i="15"/>
  <c r="BD58" i="15"/>
  <c r="BE58" i="15"/>
  <c r="BF58" i="15"/>
  <c r="B59" i="15"/>
  <c r="BJ61" i="15"/>
  <c r="BK61" i="15"/>
  <c r="BL61" i="15"/>
  <c r="BC62" i="15"/>
  <c r="BD62" i="15"/>
  <c r="BE62" i="15"/>
  <c r="BF62" i="15" s="1"/>
  <c r="BI62" i="15"/>
  <c r="BJ62" i="15"/>
  <c r="BJ63" i="15" s="1"/>
  <c r="BJ64" i="15" s="1"/>
  <c r="BI63" i="15"/>
  <c r="BI64" i="15" s="1"/>
  <c r="BC67" i="15"/>
  <c r="BD67" i="15"/>
  <c r="BE67" i="15"/>
  <c r="BF67" i="15"/>
  <c r="BJ70" i="15"/>
  <c r="BC71" i="15"/>
  <c r="BD71" i="15" s="1"/>
  <c r="BE71" i="15" s="1"/>
  <c r="BI71" i="15"/>
  <c r="BB73" i="15"/>
  <c r="BC73" i="15"/>
  <c r="BD73" i="15"/>
  <c r="BC77" i="15"/>
  <c r="BD77" i="15"/>
  <c r="BE77" i="15"/>
  <c r="BF77" i="15"/>
  <c r="BJ80" i="15"/>
  <c r="BK80" i="15"/>
  <c r="BL80" i="15"/>
  <c r="AZ81" i="15"/>
  <c r="BC81" i="15"/>
  <c r="BC83" i="15" s="1"/>
  <c r="BC84" i="15" s="1"/>
  <c r="BD81" i="15"/>
  <c r="BE81" i="15" s="1"/>
  <c r="BF81" i="15" s="1"/>
  <c r="BF83" i="15" s="1"/>
  <c r="BF84" i="15" s="1"/>
  <c r="BB83" i="15"/>
  <c r="BB84" i="15" s="1"/>
  <c r="BC86" i="15"/>
  <c r="BD86" i="15"/>
  <c r="BE86" i="15"/>
  <c r="BF86" i="15"/>
  <c r="BB89" i="15"/>
  <c r="BC89" i="15"/>
  <c r="BD89" i="15"/>
  <c r="BE89" i="15"/>
  <c r="BF89" i="15"/>
  <c r="BJ89" i="15"/>
  <c r="BK89" i="15" s="1"/>
  <c r="BL89" i="15" s="1"/>
  <c r="BL91" i="15" s="1"/>
  <c r="BL93" i="15" s="1"/>
  <c r="BC90" i="15"/>
  <c r="BD90" i="15" s="1"/>
  <c r="BD92" i="15" s="1"/>
  <c r="BD93" i="15" s="1"/>
  <c r="BE90" i="15"/>
  <c r="BE92" i="15" s="1"/>
  <c r="BF90" i="15"/>
  <c r="BI90" i="15"/>
  <c r="BJ90" i="15" s="1"/>
  <c r="BK90" i="15" s="1"/>
  <c r="BL90" i="15"/>
  <c r="BM90" i="15" s="1"/>
  <c r="BI91" i="15"/>
  <c r="BJ91" i="15"/>
  <c r="BJ93" i="15" s="1"/>
  <c r="BJ94" i="15" s="1"/>
  <c r="BB92" i="15"/>
  <c r="BC92" i="15"/>
  <c r="BC93" i="15" s="1"/>
  <c r="BF92" i="15"/>
  <c r="BF93" i="15" s="1"/>
  <c r="BB93" i="15"/>
  <c r="BO93" i="15" s="1"/>
  <c r="BI93" i="15"/>
  <c r="BI94" i="15"/>
  <c r="BO94" i="15"/>
  <c r="BC95" i="15"/>
  <c r="BD95" i="15"/>
  <c r="BE95" i="15"/>
  <c r="BF95" i="15"/>
  <c r="BJ98" i="15"/>
  <c r="BK98" i="15" s="1"/>
  <c r="BC99" i="15"/>
  <c r="BD99" i="15" s="1"/>
  <c r="BB101" i="15"/>
  <c r="BB102" i="15" s="1"/>
  <c r="BC101" i="15"/>
  <c r="BC102" i="15" s="1"/>
  <c r="BV106" i="15"/>
  <c r="BW106" i="15"/>
  <c r="BV107" i="15"/>
  <c r="BW107" i="15" s="1"/>
  <c r="BX107" i="15" s="1"/>
  <c r="BY107" i="15" s="1"/>
  <c r="BZ107" i="15" s="1"/>
  <c r="CA107" i="15" s="1"/>
  <c r="CB107" i="15" s="1"/>
  <c r="BV108" i="15"/>
  <c r="BW108" i="15"/>
  <c r="BZ108" i="15" s="1"/>
  <c r="CA108" i="15" s="1"/>
  <c r="BX108" i="15"/>
  <c r="BY108" i="15"/>
  <c r="CB108" i="15"/>
  <c r="BV109" i="15"/>
  <c r="BW109" i="15" s="1"/>
  <c r="BX109" i="15" s="1"/>
  <c r="BV111" i="15"/>
  <c r="BY111" i="15" s="1"/>
  <c r="BW111" i="15"/>
  <c r="BX111" i="15" s="1"/>
  <c r="BV112" i="15"/>
  <c r="BY112" i="15" s="1"/>
  <c r="BW112" i="15"/>
  <c r="BZ112" i="15" s="1"/>
  <c r="CA112" i="15" s="1"/>
  <c r="CB112" i="15" s="1"/>
  <c r="BX112" i="15"/>
  <c r="BV113" i="15"/>
  <c r="BW113" i="15" s="1"/>
  <c r="BX113" i="15" s="1"/>
  <c r="BY113" i="15" s="1"/>
  <c r="BZ113" i="15" s="1"/>
  <c r="CA113" i="15" s="1"/>
  <c r="CB113" i="15" s="1"/>
  <c r="BV114" i="15"/>
  <c r="BW114" i="15" s="1"/>
  <c r="BX114" i="15" s="1"/>
  <c r="BY114" i="15" s="1"/>
  <c r="BZ114" i="15" s="1"/>
  <c r="CA114" i="15" s="1"/>
  <c r="CB114" i="15" s="1"/>
  <c r="BT115" i="15"/>
  <c r="BW118" i="15"/>
  <c r="BJ165" i="13" l="1"/>
  <c r="BJ166" i="13"/>
  <c r="BJ167" i="13"/>
  <c r="BH167" i="13" s="1"/>
  <c r="W4" i="14"/>
  <c r="V4" i="14"/>
  <c r="BS93" i="15"/>
  <c r="BS94" i="15" s="1"/>
  <c r="BD101" i="15"/>
  <c r="BD102" i="15" s="1"/>
  <c r="BE99" i="15"/>
  <c r="BM61" i="15"/>
  <c r="BL63" i="15"/>
  <c r="BL64" i="15" s="1"/>
  <c r="AA28" i="15"/>
  <c r="BE93" i="15"/>
  <c r="BR93" i="15" s="1"/>
  <c r="BR94" i="15" s="1"/>
  <c r="BI72" i="15"/>
  <c r="BI75" i="15" s="1"/>
  <c r="BJ71" i="15"/>
  <c r="BK71" i="15" s="1"/>
  <c r="BL71" i="15" s="1"/>
  <c r="BM71" i="15" s="1"/>
  <c r="BK63" i="15"/>
  <c r="BK64" i="15" s="1"/>
  <c r="BY109" i="15"/>
  <c r="BZ109" i="15" s="1"/>
  <c r="CA109" i="15" s="1"/>
  <c r="CB109" i="15" s="1"/>
  <c r="BL98" i="15"/>
  <c r="BJ81" i="15"/>
  <c r="BJ82" i="15" s="1"/>
  <c r="BE73" i="15"/>
  <c r="BF71" i="15"/>
  <c r="BF73" i="15" s="1"/>
  <c r="BK62" i="15"/>
  <c r="BL62" i="15" s="1"/>
  <c r="BM62" i="15" s="1"/>
  <c r="R28" i="15"/>
  <c r="J28" i="15"/>
  <c r="BX106" i="15"/>
  <c r="BW115" i="15"/>
  <c r="BW116" i="15" s="1"/>
  <c r="BV116" i="15" s="1"/>
  <c r="BI37" i="15"/>
  <c r="BI38" i="15"/>
  <c r="BI39" i="15"/>
  <c r="BK52" i="15"/>
  <c r="AT26" i="15"/>
  <c r="AS47" i="15"/>
  <c r="BV115" i="15"/>
  <c r="BP93" i="15"/>
  <c r="BP94" i="15" s="1"/>
  <c r="BE83" i="15"/>
  <c r="BE84" i="15" s="1"/>
  <c r="BJ72" i="15"/>
  <c r="BJ75" i="15" s="1"/>
  <c r="BK70" i="15"/>
  <c r="AL28" i="15"/>
  <c r="AD28" i="15"/>
  <c r="BD83" i="15"/>
  <c r="AT28" i="15"/>
  <c r="AT34" i="15"/>
  <c r="F28" i="15"/>
  <c r="F34" i="15"/>
  <c r="AK28" i="15"/>
  <c r="AK33" i="15"/>
  <c r="W33" i="15"/>
  <c r="W28" i="15"/>
  <c r="O33" i="15"/>
  <c r="O28" i="15"/>
  <c r="BZ111" i="15"/>
  <c r="CA111" i="15" s="1"/>
  <c r="CB111" i="15" s="1"/>
  <c r="BK91" i="15"/>
  <c r="BK93" i="15" s="1"/>
  <c r="BM89" i="15"/>
  <c r="BM91" i="15" s="1"/>
  <c r="BM93" i="15" s="1"/>
  <c r="BM94" i="15" s="1"/>
  <c r="BM80" i="15"/>
  <c r="BM81" i="15" s="1"/>
  <c r="BM82" i="15" s="1"/>
  <c r="AR28" i="15"/>
  <c r="AJ28" i="15"/>
  <c r="V28" i="15"/>
  <c r="N28" i="15"/>
  <c r="AZ34" i="15"/>
  <c r="BI35" i="15"/>
  <c r="BI36" i="15" s="1"/>
  <c r="BE7" i="15"/>
  <c r="BF4" i="15"/>
  <c r="AS34" i="15"/>
  <c r="AC34" i="15"/>
  <c r="G26" i="15"/>
  <c r="BI99" i="15"/>
  <c r="AA47" i="15"/>
  <c r="AZ32" i="15"/>
  <c r="BB32" i="15" s="1"/>
  <c r="BE13" i="15"/>
  <c r="BF13" i="15" s="1"/>
  <c r="BF15" i="15" s="1"/>
  <c r="BI81" i="15"/>
  <c r="BI82" i="15" s="1"/>
  <c r="AX34" i="15"/>
  <c r="Z34" i="15"/>
  <c r="S28" i="15"/>
  <c r="K28" i="15"/>
  <c r="BH166" i="13" l="1"/>
  <c r="BK81" i="15"/>
  <c r="BK82" i="15" s="1"/>
  <c r="BD84" i="15"/>
  <c r="BJ85" i="15"/>
  <c r="BJ86" i="15" s="1"/>
  <c r="BJ84" i="15"/>
  <c r="BP84" i="15" s="1"/>
  <c r="BP85" i="15" s="1"/>
  <c r="BI85" i="15"/>
  <c r="BI86" i="15" s="1"/>
  <c r="BI84" i="15"/>
  <c r="BO84" i="15" s="1"/>
  <c r="BO85" i="15" s="1"/>
  <c r="BL81" i="15"/>
  <c r="BL82" i="15" s="1"/>
  <c r="BM98" i="15"/>
  <c r="BB52" i="15"/>
  <c r="AZ33" i="15"/>
  <c r="BB33" i="15" s="1"/>
  <c r="BI42" i="15"/>
  <c r="BI43" i="15" s="1"/>
  <c r="BI40" i="15"/>
  <c r="BI41" i="15" s="1"/>
  <c r="BE16" i="15"/>
  <c r="BF7" i="15"/>
  <c r="BM84" i="15"/>
  <c r="BS84" i="15" s="1"/>
  <c r="BS85" i="15" s="1"/>
  <c r="BM85" i="15"/>
  <c r="BM86" i="15" s="1"/>
  <c r="BY106" i="15"/>
  <c r="BX115" i="15"/>
  <c r="BK72" i="15"/>
  <c r="BK75" i="15" s="1"/>
  <c r="BL70" i="15"/>
  <c r="BE15" i="15"/>
  <c r="BM63" i="15"/>
  <c r="BM64" i="15" s="1"/>
  <c r="BK94" i="15"/>
  <c r="BQ93" i="15"/>
  <c r="BQ94" i="15" s="1"/>
  <c r="BL52" i="15"/>
  <c r="BE101" i="15"/>
  <c r="BE102" i="15" s="1"/>
  <c r="BF99" i="15"/>
  <c r="BF101" i="15" s="1"/>
  <c r="BF102" i="15" s="1"/>
  <c r="BL94" i="15"/>
  <c r="BI100" i="15"/>
  <c r="BI102" i="15" s="1"/>
  <c r="BJ99" i="15"/>
  <c r="BL84" i="15" l="1"/>
  <c r="BR84" i="15" s="1"/>
  <c r="BR85" i="15" s="1"/>
  <c r="BL85" i="15"/>
  <c r="BL86" i="15" s="1"/>
  <c r="BE18" i="15"/>
  <c r="BF16" i="15"/>
  <c r="BE17" i="15"/>
  <c r="BI103" i="15"/>
  <c r="BO102" i="15"/>
  <c r="BO103" i="15" s="1"/>
  <c r="BM52" i="15"/>
  <c r="BJ100" i="15"/>
  <c r="BJ102" i="15" s="1"/>
  <c r="BK99" i="15"/>
  <c r="BZ106" i="15"/>
  <c r="BY115" i="15"/>
  <c r="BB55" i="15"/>
  <c r="BB61" i="15"/>
  <c r="BC52" i="15"/>
  <c r="BQ84" i="15"/>
  <c r="BQ85" i="15" s="1"/>
  <c r="BL72" i="15"/>
  <c r="BL75" i="15" s="1"/>
  <c r="BM70" i="15"/>
  <c r="BM72" i="15" s="1"/>
  <c r="BM75" i="15" s="1"/>
  <c r="BK84" i="15"/>
  <c r="BK85" i="15"/>
  <c r="BK86" i="15" s="1"/>
  <c r="BE24" i="15" l="1"/>
  <c r="BF24" i="15" s="1"/>
  <c r="BE25" i="15"/>
  <c r="BF25" i="15" s="1"/>
  <c r="BE26" i="15"/>
  <c r="BF26" i="15" s="1"/>
  <c r="BE22" i="15"/>
  <c r="BF22" i="15" s="1"/>
  <c r="BE23" i="15"/>
  <c r="BF23" i="15" s="1"/>
  <c r="BF17" i="15"/>
  <c r="BL99" i="15"/>
  <c r="BK100" i="15"/>
  <c r="BK102" i="15" s="1"/>
  <c r="BC55" i="15"/>
  <c r="BC61" i="15"/>
  <c r="BD52" i="15"/>
  <c r="BF18" i="15"/>
  <c r="BE19" i="15"/>
  <c r="BJ103" i="15"/>
  <c r="BP102" i="15"/>
  <c r="BP103" i="15" s="1"/>
  <c r="BB64" i="15"/>
  <c r="BB70" i="15"/>
  <c r="BI65" i="15"/>
  <c r="BI66" i="15" s="1"/>
  <c r="BZ115" i="15"/>
  <c r="CA106" i="15"/>
  <c r="BB54" i="15"/>
  <c r="BI53" i="15" s="1"/>
  <c r="BI54" i="15" s="1"/>
  <c r="BI55" i="15" s="1"/>
  <c r="BO55" i="15" s="1"/>
  <c r="BO56" i="15" s="1"/>
  <c r="BB63" i="15" l="1"/>
  <c r="BO64" i="15"/>
  <c r="BO65" i="15" s="1"/>
  <c r="BM99" i="15"/>
  <c r="BM100" i="15" s="1"/>
  <c r="BM102" i="15" s="1"/>
  <c r="BL100" i="15"/>
  <c r="BL102" i="15" s="1"/>
  <c r="CA115" i="15"/>
  <c r="CB106" i="15"/>
  <c r="CB115" i="15" s="1"/>
  <c r="BF19" i="15"/>
  <c r="BH17" i="15"/>
  <c r="BC64" i="15"/>
  <c r="BC70" i="15"/>
  <c r="BJ65" i="15"/>
  <c r="BJ66" i="15" s="1"/>
  <c r="BD55" i="15"/>
  <c r="BD61" i="15"/>
  <c r="BE52" i="15"/>
  <c r="BB75" i="15"/>
  <c r="BI76" i="15"/>
  <c r="BI77" i="15" s="1"/>
  <c r="BC54" i="15"/>
  <c r="BJ53" i="15" s="1"/>
  <c r="BJ54" i="15" s="1"/>
  <c r="BJ55" i="15" s="1"/>
  <c r="BP55" i="15" s="1"/>
  <c r="BP56" i="15" s="1"/>
  <c r="BK103" i="15"/>
  <c r="BQ102" i="15"/>
  <c r="BQ103" i="15" s="1"/>
  <c r="BI56" i="15"/>
  <c r="BI57" i="15" s="1"/>
  <c r="BI107" i="15"/>
  <c r="BI106" i="15" l="1"/>
  <c r="BO75" i="15"/>
  <c r="BO76" i="15" s="1"/>
  <c r="BB74" i="15"/>
  <c r="BB107" i="15"/>
  <c r="BF52" i="15"/>
  <c r="BE55" i="15"/>
  <c r="BE61" i="15"/>
  <c r="BD54" i="15"/>
  <c r="BK53" i="15" s="1"/>
  <c r="BK54" i="15" s="1"/>
  <c r="BK55" i="15" s="1"/>
  <c r="BL103" i="15"/>
  <c r="BR102" i="15"/>
  <c r="BR103" i="15" s="1"/>
  <c r="BM103" i="15"/>
  <c r="BS102" i="15"/>
  <c r="BS103" i="15" s="1"/>
  <c r="BD70" i="15"/>
  <c r="BD64" i="15"/>
  <c r="BK65" i="15"/>
  <c r="BK66" i="15" s="1"/>
  <c r="BC75" i="15"/>
  <c r="BJ76" i="15"/>
  <c r="BJ77" i="15" s="1"/>
  <c r="BJ56" i="15"/>
  <c r="BJ57" i="15" s="1"/>
  <c r="BJ107" i="15"/>
  <c r="BC63" i="15"/>
  <c r="BP64" i="15"/>
  <c r="BP65" i="15" s="1"/>
  <c r="BE54" i="15" l="1"/>
  <c r="BL53" i="15" s="1"/>
  <c r="BL54" i="15" s="1"/>
  <c r="BL55" i="15" s="1"/>
  <c r="BR55" i="15"/>
  <c r="BR56" i="15" s="1"/>
  <c r="BJ106" i="15"/>
  <c r="BF55" i="15"/>
  <c r="BF61" i="15"/>
  <c r="BB106" i="15"/>
  <c r="BI114" i="15"/>
  <c r="BD75" i="15"/>
  <c r="BK76" i="15"/>
  <c r="BK77" i="15" s="1"/>
  <c r="BK56" i="15"/>
  <c r="BK57" i="15" s="1"/>
  <c r="BK107" i="15"/>
  <c r="BE70" i="15"/>
  <c r="BE64" i="15"/>
  <c r="BL65" i="15"/>
  <c r="BL66" i="15" s="1"/>
  <c r="BP75" i="15"/>
  <c r="BP76" i="15" s="1"/>
  <c r="BC74" i="15"/>
  <c r="BC107" i="15"/>
  <c r="BQ64" i="15"/>
  <c r="BQ65" i="15" s="1"/>
  <c r="BD63" i="15"/>
  <c r="BQ55" i="15"/>
  <c r="BQ56" i="15" s="1"/>
  <c r="BR64" i="15" l="1"/>
  <c r="BR65" i="15" s="1"/>
  <c r="BE63" i="15"/>
  <c r="BE75" i="15"/>
  <c r="BL76" i="15"/>
  <c r="BL77" i="15" s="1"/>
  <c r="BF54" i="15"/>
  <c r="BM53" i="15" s="1"/>
  <c r="BM54" i="15" s="1"/>
  <c r="BM55" i="15" s="1"/>
  <c r="BS55" i="15" s="1"/>
  <c r="BS56" i="15" s="1"/>
  <c r="BF64" i="15"/>
  <c r="BF70" i="15"/>
  <c r="BM65" i="15"/>
  <c r="BM66" i="15" s="1"/>
  <c r="BK106" i="15"/>
  <c r="BJ114" i="15"/>
  <c r="BC106" i="15"/>
  <c r="BD74" i="15"/>
  <c r="BQ75" i="15"/>
  <c r="BQ76" i="15" s="1"/>
  <c r="BD107" i="15"/>
  <c r="BE107" i="15"/>
  <c r="BL107" i="15"/>
  <c r="BL56" i="15"/>
  <c r="BL57" i="15" s="1"/>
  <c r="BS64" i="15" l="1"/>
  <c r="BS65" i="15" s="1"/>
  <c r="BF63" i="15"/>
  <c r="BM56" i="15"/>
  <c r="BM57" i="15" s="1"/>
  <c r="BM107" i="15"/>
  <c r="BL114" i="15"/>
  <c r="BE106" i="15"/>
  <c r="BR75" i="15"/>
  <c r="BR76" i="15" s="1"/>
  <c r="BE74" i="15"/>
  <c r="BK114" i="15"/>
  <c r="BD106" i="15"/>
  <c r="BL106" i="15"/>
  <c r="BF75" i="15"/>
  <c r="BF107" i="15" s="1"/>
  <c r="BM76" i="15"/>
  <c r="BM77" i="15" s="1"/>
  <c r="BF106" i="15" l="1"/>
  <c r="BM114" i="15"/>
  <c r="BM106" i="15"/>
  <c r="BS75" i="15"/>
  <c r="BS76" i="15" s="1"/>
  <c r="BF74" i="15"/>
  <c r="BB108" i="15" l="1"/>
  <c r="BI108" i="15"/>
  <c r="BI109" i="15" s="1"/>
  <c r="BC108" i="15"/>
  <c r="BK108" i="15" l="1"/>
  <c r="BK109" i="15" s="1"/>
  <c r="BC109" i="15"/>
  <c r="BD108" i="15"/>
  <c r="BO108" i="15"/>
  <c r="BO109" i="15" s="1"/>
  <c r="BB109" i="15"/>
  <c r="BJ108" i="15"/>
  <c r="BJ109" i="15" s="1"/>
  <c r="BQ108" i="15" l="1"/>
  <c r="BQ109" i="15" s="1"/>
  <c r="BD109" i="15"/>
  <c r="BL108" i="15"/>
  <c r="BL109" i="15" s="1"/>
  <c r="BP108" i="15"/>
  <c r="BP109" i="15" s="1"/>
  <c r="BE108" i="15" l="1"/>
  <c r="BF108" i="15"/>
  <c r="BM108" i="15"/>
  <c r="BM109" i="15" s="1"/>
  <c r="BS108" i="15" l="1"/>
  <c r="BS109" i="15" s="1"/>
  <c r="BF109" i="15"/>
  <c r="BR108" i="15"/>
  <c r="BR109" i="15" s="1"/>
  <c r="BE109" i="15"/>
  <c r="BP6" i="14" l="1"/>
  <c r="BR6" i="14"/>
  <c r="BS6" i="14" s="1"/>
  <c r="BT6" i="14" s="1"/>
  <c r="BU6" i="14" s="1"/>
  <c r="BV6" i="14" s="1"/>
  <c r="F11" i="14"/>
  <c r="F12" i="14"/>
  <c r="F13" i="14"/>
  <c r="F15" i="14"/>
  <c r="F16" i="14"/>
  <c r="G24" i="14"/>
  <c r="G23" i="14" s="1"/>
  <c r="H25" i="14"/>
  <c r="H195" i="14" s="1"/>
  <c r="H26" i="14"/>
  <c r="G28" i="14"/>
  <c r="G29" i="14"/>
  <c r="G196" i="14" s="1"/>
  <c r="H35" i="14"/>
  <c r="H36" i="14"/>
  <c r="I36" i="14" s="1"/>
  <c r="J36" i="14" s="1"/>
  <c r="K36" i="14" s="1"/>
  <c r="L36" i="14" s="1"/>
  <c r="M36" i="14" s="1"/>
  <c r="N36" i="14" s="1"/>
  <c r="O36" i="14" s="1"/>
  <c r="P36" i="14" s="1"/>
  <c r="Q36" i="14" s="1"/>
  <c r="R36" i="14" s="1"/>
  <c r="T36" i="14" s="1"/>
  <c r="U36" i="14" s="1"/>
  <c r="V36" i="14" s="1"/>
  <c r="W36" i="14" s="1"/>
  <c r="X36" i="14" s="1"/>
  <c r="H37" i="14"/>
  <c r="I37" i="14" s="1"/>
  <c r="J37" i="14" s="1"/>
  <c r="K37" i="14" s="1"/>
  <c r="L37" i="14" s="1"/>
  <c r="M37" i="14" s="1"/>
  <c r="N37" i="14" s="1"/>
  <c r="O37" i="14" s="1"/>
  <c r="P37" i="14" s="1"/>
  <c r="Q37" i="14" s="1"/>
  <c r="R37" i="14" s="1"/>
  <c r="T37" i="14" s="1"/>
  <c r="U37" i="14" s="1"/>
  <c r="V37" i="14" s="1"/>
  <c r="W37" i="14" s="1"/>
  <c r="X37" i="14" s="1"/>
  <c r="H38" i="14"/>
  <c r="I38" i="14" s="1"/>
  <c r="J38" i="14" s="1"/>
  <c r="K38" i="14" s="1"/>
  <c r="L38" i="14" s="1"/>
  <c r="M38" i="14" s="1"/>
  <c r="N38" i="14" s="1"/>
  <c r="O38" i="14" s="1"/>
  <c r="P38" i="14" s="1"/>
  <c r="Q38" i="14" s="1"/>
  <c r="R38" i="14" s="1"/>
  <c r="T38" i="14" s="1"/>
  <c r="U38" i="14" s="1"/>
  <c r="V38" i="14" s="1"/>
  <c r="W38" i="14" s="1"/>
  <c r="X38" i="14" s="1"/>
  <c r="H39" i="14"/>
  <c r="I39" i="14" s="1"/>
  <c r="J39" i="14" s="1"/>
  <c r="K39" i="14" s="1"/>
  <c r="L39" i="14" s="1"/>
  <c r="M39" i="14" s="1"/>
  <c r="N39" i="14" s="1"/>
  <c r="O39" i="14" s="1"/>
  <c r="P39" i="14" s="1"/>
  <c r="Q39" i="14" s="1"/>
  <c r="R39" i="14" s="1"/>
  <c r="T39" i="14" s="1"/>
  <c r="U39" i="14" s="1"/>
  <c r="V39" i="14" s="1"/>
  <c r="W39" i="14" s="1"/>
  <c r="X39" i="14" s="1"/>
  <c r="H40" i="14"/>
  <c r="I40" i="14" s="1"/>
  <c r="J40" i="14" s="1"/>
  <c r="K40" i="14" s="1"/>
  <c r="L40" i="14" s="1"/>
  <c r="M40" i="14" s="1"/>
  <c r="N40" i="14" s="1"/>
  <c r="O40" i="14" s="1"/>
  <c r="P40" i="14" s="1"/>
  <c r="Q40" i="14" s="1"/>
  <c r="R40" i="14" s="1"/>
  <c r="T40" i="14" s="1"/>
  <c r="U40" i="14" s="1"/>
  <c r="V40" i="14" s="1"/>
  <c r="W40" i="14" s="1"/>
  <c r="X40" i="14" s="1"/>
  <c r="H41" i="14"/>
  <c r="I41" i="14" s="1"/>
  <c r="J41" i="14" s="1"/>
  <c r="K41" i="14" s="1"/>
  <c r="L41" i="14" s="1"/>
  <c r="M41" i="14" s="1"/>
  <c r="N41" i="14" s="1"/>
  <c r="O41" i="14" s="1"/>
  <c r="P41" i="14" s="1"/>
  <c r="Q41" i="14" s="1"/>
  <c r="R41" i="14" s="1"/>
  <c r="T41" i="14" s="1"/>
  <c r="U41" i="14" s="1"/>
  <c r="V41" i="14" s="1"/>
  <c r="W41" i="14" s="1"/>
  <c r="X41" i="14" s="1"/>
  <c r="H42" i="14"/>
  <c r="I42" i="14" s="1"/>
  <c r="J42" i="14" s="1"/>
  <c r="K42" i="14" s="1"/>
  <c r="L42" i="14" s="1"/>
  <c r="M42" i="14" s="1"/>
  <c r="N42" i="14" s="1"/>
  <c r="O42" i="14" s="1"/>
  <c r="P42" i="14" s="1"/>
  <c r="Q42" i="14" s="1"/>
  <c r="R42" i="14" s="1"/>
  <c r="T42" i="14" s="1"/>
  <c r="U42" i="14" s="1"/>
  <c r="V42" i="14" s="1"/>
  <c r="W42" i="14" s="1"/>
  <c r="X42" i="14" s="1"/>
  <c r="H43" i="14"/>
  <c r="I43" i="14" s="1"/>
  <c r="J43" i="14" s="1"/>
  <c r="K43" i="14" s="1"/>
  <c r="L43" i="14" s="1"/>
  <c r="M43" i="14" s="1"/>
  <c r="N43" i="14" s="1"/>
  <c r="O43" i="14" s="1"/>
  <c r="P43" i="14" s="1"/>
  <c r="Q43" i="14" s="1"/>
  <c r="R43" i="14" s="1"/>
  <c r="T43" i="14" s="1"/>
  <c r="U43" i="14" s="1"/>
  <c r="V43" i="14" s="1"/>
  <c r="W43" i="14" s="1"/>
  <c r="X43" i="14" s="1"/>
  <c r="H44" i="14"/>
  <c r="I44" i="14" s="1"/>
  <c r="J44" i="14" s="1"/>
  <c r="K44" i="14" s="1"/>
  <c r="L44" i="14" s="1"/>
  <c r="M44" i="14" s="1"/>
  <c r="N44" i="14" s="1"/>
  <c r="O44" i="14" s="1"/>
  <c r="P44" i="14" s="1"/>
  <c r="Q44" i="14" s="1"/>
  <c r="R44" i="14" s="1"/>
  <c r="T44" i="14" s="1"/>
  <c r="U44" i="14" s="1"/>
  <c r="V44" i="14" s="1"/>
  <c r="W44" i="14" s="1"/>
  <c r="X44" i="14" s="1"/>
  <c r="C46" i="14"/>
  <c r="G46" i="14" s="1"/>
  <c r="H46" i="14" s="1"/>
  <c r="C47" i="14"/>
  <c r="G47" i="14" s="1"/>
  <c r="H47" i="14" s="1"/>
  <c r="I47" i="14" s="1"/>
  <c r="J47" i="14" s="1"/>
  <c r="K47" i="14" s="1"/>
  <c r="L47" i="14" s="1"/>
  <c r="M47" i="14" s="1"/>
  <c r="N47" i="14" s="1"/>
  <c r="O47" i="14" s="1"/>
  <c r="P47" i="14" s="1"/>
  <c r="Q47" i="14" s="1"/>
  <c r="R47" i="14" s="1"/>
  <c r="C48" i="14"/>
  <c r="G48" i="14" s="1"/>
  <c r="H48" i="14" s="1"/>
  <c r="C49" i="14"/>
  <c r="G49" i="14" s="1"/>
  <c r="C50" i="14"/>
  <c r="G50" i="14" s="1"/>
  <c r="H50" i="14" s="1"/>
  <c r="I50" i="14" s="1"/>
  <c r="J50" i="14" s="1"/>
  <c r="K50" i="14" s="1"/>
  <c r="L50" i="14" s="1"/>
  <c r="M50" i="14" s="1"/>
  <c r="N50" i="14" s="1"/>
  <c r="O50" i="14" s="1"/>
  <c r="P50" i="14" s="1"/>
  <c r="Q50" i="14" s="1"/>
  <c r="R50" i="14" s="1"/>
  <c r="C51" i="14"/>
  <c r="G51" i="14" s="1"/>
  <c r="H51" i="14" s="1"/>
  <c r="I51" i="14" s="1"/>
  <c r="J51" i="14" s="1"/>
  <c r="K51" i="14" s="1"/>
  <c r="L51" i="14" s="1"/>
  <c r="M51" i="14" s="1"/>
  <c r="N51" i="14" s="1"/>
  <c r="O51" i="14" s="1"/>
  <c r="P51" i="14" s="1"/>
  <c r="Q51" i="14" s="1"/>
  <c r="R51" i="14" s="1"/>
  <c r="C52" i="14"/>
  <c r="G52" i="14" s="1"/>
  <c r="H52" i="14" s="1"/>
  <c r="C53" i="14"/>
  <c r="G53" i="14" s="1"/>
  <c r="C54" i="14"/>
  <c r="G54" i="14" s="1"/>
  <c r="H54" i="14" s="1"/>
  <c r="I54" i="14" s="1"/>
  <c r="J54" i="14" s="1"/>
  <c r="K54" i="14" s="1"/>
  <c r="L54" i="14" s="1"/>
  <c r="M54" i="14" s="1"/>
  <c r="N54" i="14" s="1"/>
  <c r="O54" i="14" s="1"/>
  <c r="P54" i="14" s="1"/>
  <c r="Q54" i="14" s="1"/>
  <c r="R54" i="14" s="1"/>
  <c r="C55" i="14"/>
  <c r="C56" i="14"/>
  <c r="B33" i="14" s="1"/>
  <c r="G58" i="14"/>
  <c r="H58" i="14" s="1"/>
  <c r="G59" i="14"/>
  <c r="G60" i="14"/>
  <c r="H60" i="14" s="1"/>
  <c r="I60" i="14" s="1"/>
  <c r="J60" i="14" s="1"/>
  <c r="K60" i="14" s="1"/>
  <c r="L60" i="14" s="1"/>
  <c r="M60" i="14" s="1"/>
  <c r="N60" i="14" s="1"/>
  <c r="O60" i="14" s="1"/>
  <c r="P60" i="14" s="1"/>
  <c r="Q60" i="14" s="1"/>
  <c r="R60" i="14" s="1"/>
  <c r="G61" i="14"/>
  <c r="H61" i="14" s="1"/>
  <c r="I61" i="14" s="1"/>
  <c r="J61" i="14" s="1"/>
  <c r="K61" i="14" s="1"/>
  <c r="L61" i="14" s="1"/>
  <c r="M61" i="14" s="1"/>
  <c r="N61" i="14" s="1"/>
  <c r="O61" i="14" s="1"/>
  <c r="P61" i="14" s="1"/>
  <c r="Q61" i="14" s="1"/>
  <c r="R61" i="14" s="1"/>
  <c r="C62" i="14"/>
  <c r="G62" i="14" s="1"/>
  <c r="C63" i="14"/>
  <c r="G63" i="14" s="1"/>
  <c r="G64" i="14"/>
  <c r="H64" i="14" s="1"/>
  <c r="I64" i="14" s="1"/>
  <c r="J64" i="14" s="1"/>
  <c r="K64" i="14" s="1"/>
  <c r="L64" i="14" s="1"/>
  <c r="M64" i="14" s="1"/>
  <c r="N64" i="14" s="1"/>
  <c r="O64" i="14" s="1"/>
  <c r="P64" i="14" s="1"/>
  <c r="Q64" i="14" s="1"/>
  <c r="R64" i="14" s="1"/>
  <c r="C65" i="14"/>
  <c r="H65" i="14"/>
  <c r="I65" i="14" s="1"/>
  <c r="C67" i="14"/>
  <c r="H67" i="14"/>
  <c r="T68" i="14"/>
  <c r="C163" i="14"/>
  <c r="C164" i="14"/>
  <c r="C165" i="14"/>
  <c r="G175" i="14"/>
  <c r="G174" i="14" s="1"/>
  <c r="H175" i="14"/>
  <c r="H174" i="14" s="1"/>
  <c r="I175" i="14"/>
  <c r="I174" i="14" s="1"/>
  <c r="J175" i="14"/>
  <c r="J174" i="14" s="1"/>
  <c r="K175" i="14"/>
  <c r="K174" i="14" s="1"/>
  <c r="L175" i="14"/>
  <c r="L174" i="14" s="1"/>
  <c r="M175" i="14"/>
  <c r="M174" i="14" s="1"/>
  <c r="N175" i="14"/>
  <c r="N174" i="14" s="1"/>
  <c r="O175" i="14"/>
  <c r="O174" i="14" s="1"/>
  <c r="P175" i="14"/>
  <c r="P174" i="14" s="1"/>
  <c r="Q175" i="14"/>
  <c r="Q174" i="14" s="1"/>
  <c r="R175" i="14"/>
  <c r="R174" i="14" s="1"/>
  <c r="U179" i="14"/>
  <c r="U181" i="14"/>
  <c r="C187" i="14"/>
  <c r="G187" i="14" s="1"/>
  <c r="C188" i="14"/>
  <c r="G188" i="14" s="1"/>
  <c r="G194" i="14"/>
  <c r="H194" i="14"/>
  <c r="I194" i="14"/>
  <c r="J194" i="14"/>
  <c r="K194" i="14"/>
  <c r="L194" i="14"/>
  <c r="M194" i="14"/>
  <c r="N194" i="14"/>
  <c r="O194" i="14"/>
  <c r="P194" i="14"/>
  <c r="Q194" i="14"/>
  <c r="R194" i="14"/>
  <c r="G195" i="14"/>
  <c r="G197" i="14"/>
  <c r="D199" i="14"/>
  <c r="G55" i="14" l="1"/>
  <c r="H55" i="14" s="1"/>
  <c r="I55" i="14" s="1"/>
  <c r="J55" i="14" s="1"/>
  <c r="K55" i="14" s="1"/>
  <c r="L55" i="14" s="1"/>
  <c r="M55" i="14" s="1"/>
  <c r="N55" i="14" s="1"/>
  <c r="O55" i="14" s="1"/>
  <c r="P55" i="14" s="1"/>
  <c r="Q55" i="14" s="1"/>
  <c r="R55" i="14" s="1"/>
  <c r="B32" i="14"/>
  <c r="B34" i="14" s="1"/>
  <c r="G70" i="14"/>
  <c r="G71" i="14" s="1"/>
  <c r="G84" i="14"/>
  <c r="I67" i="14"/>
  <c r="I66" i="14" s="1"/>
  <c r="H66" i="14"/>
  <c r="C6" i="4"/>
  <c r="F14" i="14"/>
  <c r="F10" i="14"/>
  <c r="C5" i="4"/>
  <c r="G32" i="14"/>
  <c r="G83" i="14" s="1"/>
  <c r="I35" i="14"/>
  <c r="H34" i="14"/>
  <c r="G56" i="14"/>
  <c r="H56" i="14" s="1"/>
  <c r="I56" i="14" s="1"/>
  <c r="J56" i="14" s="1"/>
  <c r="K56" i="14" s="1"/>
  <c r="L56" i="14" s="1"/>
  <c r="M56" i="14" s="1"/>
  <c r="N56" i="14" s="1"/>
  <c r="O56" i="14" s="1"/>
  <c r="P56" i="14" s="1"/>
  <c r="Q56" i="14" s="1"/>
  <c r="R56" i="14" s="1"/>
  <c r="H24" i="14"/>
  <c r="H23" i="14" s="1"/>
  <c r="G30" i="14"/>
  <c r="H30" i="14" s="1"/>
  <c r="H53" i="14"/>
  <c r="I53" i="14" s="1"/>
  <c r="J53" i="14" s="1"/>
  <c r="K53" i="14" s="1"/>
  <c r="L53" i="14" s="1"/>
  <c r="M53" i="14" s="1"/>
  <c r="N53" i="14" s="1"/>
  <c r="O53" i="14" s="1"/>
  <c r="P53" i="14" s="1"/>
  <c r="Q53" i="14" s="1"/>
  <c r="R53" i="14" s="1"/>
  <c r="I48" i="14"/>
  <c r="J48" i="14" s="1"/>
  <c r="K48" i="14" s="1"/>
  <c r="L48" i="14" s="1"/>
  <c r="M48" i="14" s="1"/>
  <c r="N48" i="14" s="1"/>
  <c r="O48" i="14" s="1"/>
  <c r="P48" i="14" s="1"/>
  <c r="Q48" i="14" s="1"/>
  <c r="R48" i="14" s="1"/>
  <c r="I52" i="14"/>
  <c r="J52" i="14" s="1"/>
  <c r="K52" i="14" s="1"/>
  <c r="L52" i="14" s="1"/>
  <c r="M52" i="14" s="1"/>
  <c r="N52" i="14" s="1"/>
  <c r="O52" i="14" s="1"/>
  <c r="P52" i="14" s="1"/>
  <c r="Q52" i="14" s="1"/>
  <c r="R52" i="14" s="1"/>
  <c r="I58" i="14"/>
  <c r="H49" i="14"/>
  <c r="I49" i="14" s="1"/>
  <c r="J49" i="14" s="1"/>
  <c r="K49" i="14" s="1"/>
  <c r="L49" i="14" s="1"/>
  <c r="M49" i="14" s="1"/>
  <c r="N49" i="14" s="1"/>
  <c r="O49" i="14" s="1"/>
  <c r="P49" i="14" s="1"/>
  <c r="Q49" i="14" s="1"/>
  <c r="R49" i="14" s="1"/>
  <c r="H63" i="14"/>
  <c r="I63" i="14" s="1"/>
  <c r="J63" i="14" s="1"/>
  <c r="K63" i="14" s="1"/>
  <c r="L63" i="14" s="1"/>
  <c r="M63" i="14" s="1"/>
  <c r="N63" i="14" s="1"/>
  <c r="O63" i="14" s="1"/>
  <c r="P63" i="14" s="1"/>
  <c r="Q63" i="14" s="1"/>
  <c r="R63" i="14" s="1"/>
  <c r="J65" i="14"/>
  <c r="K65" i="14" s="1"/>
  <c r="L65" i="14" s="1"/>
  <c r="M65" i="14" s="1"/>
  <c r="N65" i="14" s="1"/>
  <c r="O65" i="14" s="1"/>
  <c r="P65" i="14" s="1"/>
  <c r="Q65" i="14" s="1"/>
  <c r="R65" i="14" s="1"/>
  <c r="E200" i="14"/>
  <c r="E201" i="14"/>
  <c r="G201" i="14" s="1"/>
  <c r="G198" i="14"/>
  <c r="E202" i="14"/>
  <c r="G202" i="14" s="1"/>
  <c r="H188" i="14"/>
  <c r="I188" i="14" s="1"/>
  <c r="J188" i="14" s="1"/>
  <c r="K188" i="14" s="1"/>
  <c r="L188" i="14" s="1"/>
  <c r="M188" i="14" s="1"/>
  <c r="N188" i="14" s="1"/>
  <c r="O188" i="14" s="1"/>
  <c r="P188" i="14" s="1"/>
  <c r="Q188" i="14" s="1"/>
  <c r="R188" i="14" s="1"/>
  <c r="I46" i="14"/>
  <c r="I25" i="14"/>
  <c r="H187" i="14"/>
  <c r="I187" i="14" s="1"/>
  <c r="J187" i="14" s="1"/>
  <c r="K187" i="14" s="1"/>
  <c r="L187" i="14" s="1"/>
  <c r="M187" i="14" s="1"/>
  <c r="N187" i="14" s="1"/>
  <c r="O187" i="14" s="1"/>
  <c r="P187" i="14" s="1"/>
  <c r="Q187" i="14" s="1"/>
  <c r="R187" i="14" s="1"/>
  <c r="H62" i="14"/>
  <c r="I62" i="14" s="1"/>
  <c r="J62" i="14" s="1"/>
  <c r="K62" i="14" s="1"/>
  <c r="L62" i="14" s="1"/>
  <c r="M62" i="14" s="1"/>
  <c r="N62" i="14" s="1"/>
  <c r="O62" i="14" s="1"/>
  <c r="P62" i="14" s="1"/>
  <c r="Q62" i="14" s="1"/>
  <c r="R62" i="14" s="1"/>
  <c r="T60" i="14"/>
  <c r="H59" i="14"/>
  <c r="I59" i="14" s="1"/>
  <c r="J59" i="14" s="1"/>
  <c r="K59" i="14" s="1"/>
  <c r="L59" i="14" s="1"/>
  <c r="M59" i="14" s="1"/>
  <c r="N59" i="14" s="1"/>
  <c r="O59" i="14" s="1"/>
  <c r="P59" i="14" s="1"/>
  <c r="Q59" i="14" s="1"/>
  <c r="R59" i="14" s="1"/>
  <c r="T54" i="14"/>
  <c r="T50" i="14"/>
  <c r="T64" i="14"/>
  <c r="T51" i="14"/>
  <c r="T47" i="14"/>
  <c r="I26" i="14"/>
  <c r="T61" i="14"/>
  <c r="G57" i="14"/>
  <c r="H29" i="14"/>
  <c r="H196" i="14" s="1"/>
  <c r="T55" i="14" l="1"/>
  <c r="H70" i="14"/>
  <c r="J67" i="14"/>
  <c r="J66" i="14" s="1"/>
  <c r="I34" i="14"/>
  <c r="F8" i="14"/>
  <c r="H31" i="14"/>
  <c r="H197" i="14" s="1"/>
  <c r="G45" i="14"/>
  <c r="G33" i="14" s="1"/>
  <c r="J35" i="14"/>
  <c r="T65" i="14"/>
  <c r="T59" i="14"/>
  <c r="T53" i="14"/>
  <c r="T62" i="14"/>
  <c r="H57" i="14"/>
  <c r="T52" i="14"/>
  <c r="D187" i="14"/>
  <c r="I30" i="14"/>
  <c r="J30" i="14" s="1"/>
  <c r="J25" i="14"/>
  <c r="I29" i="14"/>
  <c r="I196" i="14" s="1"/>
  <c r="I195" i="14"/>
  <c r="J46" i="14"/>
  <c r="I45" i="14"/>
  <c r="I24" i="14"/>
  <c r="J26" i="14"/>
  <c r="T56" i="14"/>
  <c r="J58" i="14"/>
  <c r="I57" i="14"/>
  <c r="T63" i="14"/>
  <c r="T48" i="14"/>
  <c r="D188" i="14"/>
  <c r="H45" i="14"/>
  <c r="E199" i="14"/>
  <c r="G200" i="14"/>
  <c r="T49" i="14"/>
  <c r="G74" i="14" l="1"/>
  <c r="G76" i="14" s="1"/>
  <c r="G85" i="14"/>
  <c r="K67" i="14"/>
  <c r="K66" i="14" s="1"/>
  <c r="J34" i="14"/>
  <c r="H28" i="14"/>
  <c r="I33" i="14"/>
  <c r="H33" i="14"/>
  <c r="K35" i="14"/>
  <c r="I23" i="14"/>
  <c r="J24" i="14"/>
  <c r="J23" i="14" s="1"/>
  <c r="J70" i="14" s="1"/>
  <c r="K26" i="14"/>
  <c r="K58" i="14"/>
  <c r="J57" i="14"/>
  <c r="K46" i="14"/>
  <c r="J45" i="14"/>
  <c r="K25" i="14"/>
  <c r="J29" i="14"/>
  <c r="J196" i="14" s="1"/>
  <c r="J195" i="14"/>
  <c r="K30" i="14"/>
  <c r="H32" i="14" l="1"/>
  <c r="H83" i="14" s="1"/>
  <c r="H84" i="14"/>
  <c r="I70" i="14"/>
  <c r="L67" i="14"/>
  <c r="L66" i="14" s="1"/>
  <c r="K34" i="14"/>
  <c r="J33" i="14"/>
  <c r="L35" i="14"/>
  <c r="H71" i="14"/>
  <c r="K24" i="14"/>
  <c r="K23" i="14" s="1"/>
  <c r="L26" i="14"/>
  <c r="L46" i="14"/>
  <c r="K45" i="14"/>
  <c r="J31" i="14"/>
  <c r="L58" i="14"/>
  <c r="K57" i="14"/>
  <c r="L30" i="14"/>
  <c r="L25" i="14"/>
  <c r="K29" i="14"/>
  <c r="K196" i="14" s="1"/>
  <c r="K195" i="14"/>
  <c r="I31" i="14"/>
  <c r="H85" i="14" l="1"/>
  <c r="H74" i="14"/>
  <c r="H76" i="14" s="1"/>
  <c r="M67" i="14"/>
  <c r="M66" i="14" s="1"/>
  <c r="K31" i="14"/>
  <c r="K28" i="14" s="1"/>
  <c r="K32" i="14" s="1"/>
  <c r="K83" i="14" s="1"/>
  <c r="K70" i="14"/>
  <c r="L34" i="14"/>
  <c r="M35" i="14"/>
  <c r="K33" i="14"/>
  <c r="M25" i="14"/>
  <c r="L29" i="14"/>
  <c r="L196" i="14" s="1"/>
  <c r="L195" i="14"/>
  <c r="L45" i="14"/>
  <c r="M46" i="14"/>
  <c r="M58" i="14"/>
  <c r="L57" i="14"/>
  <c r="I197" i="14"/>
  <c r="I28" i="14"/>
  <c r="M30" i="14"/>
  <c r="J197" i="14"/>
  <c r="J28" i="14"/>
  <c r="J84" i="14" s="1"/>
  <c r="L24" i="14"/>
  <c r="M26" i="14"/>
  <c r="I32" i="14" l="1"/>
  <c r="I85" i="14" s="1"/>
  <c r="I84" i="14"/>
  <c r="K85" i="14"/>
  <c r="N67" i="14"/>
  <c r="N66" i="14" s="1"/>
  <c r="K84" i="14"/>
  <c r="K197" i="14"/>
  <c r="M34" i="14"/>
  <c r="N35" i="14"/>
  <c r="K74" i="14"/>
  <c r="K76" i="14" s="1"/>
  <c r="J71" i="14"/>
  <c r="J32" i="14"/>
  <c r="J85" i="14" s="1"/>
  <c r="L33" i="14"/>
  <c r="K71" i="14"/>
  <c r="N25" i="14"/>
  <c r="M195" i="14"/>
  <c r="M29" i="14"/>
  <c r="M196" i="14" s="1"/>
  <c r="N30" i="14"/>
  <c r="M57" i="14"/>
  <c r="N58" i="14"/>
  <c r="N26" i="14"/>
  <c r="M24" i="14"/>
  <c r="M23" i="14" s="1"/>
  <c r="M70" i="14" s="1"/>
  <c r="L23" i="14"/>
  <c r="N46" i="14"/>
  <c r="M45" i="14"/>
  <c r="I83" i="14" l="1"/>
  <c r="I74" i="14"/>
  <c r="I76" i="14" s="1"/>
  <c r="L70" i="14"/>
  <c r="O67" i="14"/>
  <c r="O66" i="14" s="1"/>
  <c r="J74" i="14"/>
  <c r="J76" i="14" s="1"/>
  <c r="J83" i="14"/>
  <c r="N34" i="14"/>
  <c r="O35" i="14"/>
  <c r="M33" i="14"/>
  <c r="O30" i="14"/>
  <c r="N57" i="14"/>
  <c r="O58" i="14"/>
  <c r="O46" i="14"/>
  <c r="N45" i="14"/>
  <c r="I71" i="14"/>
  <c r="N24" i="14"/>
  <c r="N23" i="14" s="1"/>
  <c r="O26" i="14"/>
  <c r="N29" i="14"/>
  <c r="N196" i="14" s="1"/>
  <c r="N195" i="14"/>
  <c r="O25" i="14"/>
  <c r="L31" i="14"/>
  <c r="M31" i="14"/>
  <c r="P67" i="14" l="1"/>
  <c r="P66" i="14" s="1"/>
  <c r="N31" i="14"/>
  <c r="N197" i="14" s="1"/>
  <c r="N70" i="14"/>
  <c r="O34" i="14"/>
  <c r="P35" i="14"/>
  <c r="N33" i="14"/>
  <c r="O29" i="14"/>
  <c r="O196" i="14" s="1"/>
  <c r="P25" i="14"/>
  <c r="O195" i="14"/>
  <c r="P46" i="14"/>
  <c r="O45" i="14"/>
  <c r="P30" i="14"/>
  <c r="M28" i="14"/>
  <c r="M84" i="14" s="1"/>
  <c r="M197" i="14"/>
  <c r="L28" i="14"/>
  <c r="L197" i="14"/>
  <c r="O24" i="14"/>
  <c r="O23" i="14" s="1"/>
  <c r="O70" i="14" s="1"/>
  <c r="P26" i="14"/>
  <c r="P58" i="14"/>
  <c r="O57" i="14"/>
  <c r="Q67" i="14" l="1"/>
  <c r="Q66" i="14" s="1"/>
  <c r="L32" i="14"/>
  <c r="L85" i="14" s="1"/>
  <c r="L84" i="14"/>
  <c r="N28" i="14"/>
  <c r="P34" i="14"/>
  <c r="Q35" i="14"/>
  <c r="M71" i="14"/>
  <c r="M32" i="14"/>
  <c r="M85" i="14" s="1"/>
  <c r="N71" i="14"/>
  <c r="O33" i="14"/>
  <c r="Q30" i="14"/>
  <c r="O31" i="14"/>
  <c r="Q58" i="14"/>
  <c r="P57" i="14"/>
  <c r="P24" i="14"/>
  <c r="P23" i="14" s="1"/>
  <c r="P70" i="14" s="1"/>
  <c r="Q26" i="14"/>
  <c r="Q46" i="14"/>
  <c r="P45" i="14"/>
  <c r="P29" i="14"/>
  <c r="P196" i="14" s="1"/>
  <c r="P195" i="14"/>
  <c r="Q25" i="14"/>
  <c r="R67" i="14" l="1"/>
  <c r="R66" i="14" s="1"/>
  <c r="L83" i="14"/>
  <c r="L74" i="14"/>
  <c r="L76" i="14" s="1"/>
  <c r="N32" i="14"/>
  <c r="N84" i="14"/>
  <c r="M74" i="14"/>
  <c r="M76" i="14" s="1"/>
  <c r="M83" i="14"/>
  <c r="Q34" i="14"/>
  <c r="R35" i="14"/>
  <c r="P33" i="14"/>
  <c r="L71" i="14"/>
  <c r="R25" i="14"/>
  <c r="Q29" i="14"/>
  <c r="Q196" i="14" s="1"/>
  <c r="Q195" i="14"/>
  <c r="T67" i="14"/>
  <c r="O28" i="14"/>
  <c r="O197" i="14"/>
  <c r="Q24" i="14"/>
  <c r="Q23" i="14" s="1"/>
  <c r="R26" i="14"/>
  <c r="R30" i="14"/>
  <c r="P31" i="14"/>
  <c r="R58" i="14"/>
  <c r="Q57" i="14"/>
  <c r="R46" i="14"/>
  <c r="Q45" i="14"/>
  <c r="N83" i="14" l="1"/>
  <c r="N74" i="14"/>
  <c r="N76" i="14" s="1"/>
  <c r="N85" i="14"/>
  <c r="O32" i="14"/>
  <c r="O85" i="14" s="1"/>
  <c r="O84" i="14"/>
  <c r="Q31" i="14"/>
  <c r="Q197" i="14" s="1"/>
  <c r="Q70" i="14"/>
  <c r="U67" i="14"/>
  <c r="T66" i="14"/>
  <c r="R34" i="14"/>
  <c r="T35" i="14"/>
  <c r="U35" i="14" s="1"/>
  <c r="Q33" i="14"/>
  <c r="R57" i="14"/>
  <c r="T57" i="14" s="1"/>
  <c r="U57" i="14" s="1"/>
  <c r="V57" i="14" s="1"/>
  <c r="W57" i="14" s="1"/>
  <c r="X57" i="14" s="1"/>
  <c r="T58" i="14"/>
  <c r="R24" i="14"/>
  <c r="T26" i="14"/>
  <c r="R29" i="14"/>
  <c r="R196" i="14" s="1"/>
  <c r="R195" i="14"/>
  <c r="T25" i="14"/>
  <c r="R45" i="14"/>
  <c r="T46" i="14"/>
  <c r="P197" i="14"/>
  <c r="P28" i="14"/>
  <c r="P84" i="14" s="1"/>
  <c r="V35" i="14" l="1"/>
  <c r="U34" i="14"/>
  <c r="O74" i="14"/>
  <c r="O76" i="14" s="1"/>
  <c r="O83" i="14"/>
  <c r="Q28" i="14"/>
  <c r="U66" i="14"/>
  <c r="V67" i="14"/>
  <c r="T34" i="14"/>
  <c r="P71" i="14"/>
  <c r="P32" i="14"/>
  <c r="P85" i="14" s="1"/>
  <c r="R33" i="14"/>
  <c r="Q71" i="14"/>
  <c r="U25" i="14"/>
  <c r="T29" i="14"/>
  <c r="D3" i="1"/>
  <c r="U26" i="14"/>
  <c r="V26" i="14" s="1"/>
  <c r="W26" i="14" s="1"/>
  <c r="X26" i="14" s="1"/>
  <c r="R23" i="14"/>
  <c r="T24" i="14"/>
  <c r="T45" i="14"/>
  <c r="O71" i="14"/>
  <c r="V34" i="14" l="1"/>
  <c r="W35" i="14"/>
  <c r="Q32" i="14"/>
  <c r="Q84" i="14"/>
  <c r="R70" i="14"/>
  <c r="P74" i="14"/>
  <c r="P76" i="14" s="1"/>
  <c r="P83" i="14"/>
  <c r="W67" i="14"/>
  <c r="V66" i="14"/>
  <c r="U29" i="14"/>
  <c r="U45" i="14"/>
  <c r="U33" i="14" s="1"/>
  <c r="T33" i="14"/>
  <c r="Z45" i="14" s="1"/>
  <c r="V25" i="14"/>
  <c r="U24" i="14"/>
  <c r="T23" i="14"/>
  <c r="T70" i="14" s="1"/>
  <c r="R31" i="14"/>
  <c r="X35" i="14" l="1"/>
  <c r="X34" i="14" s="1"/>
  <c r="W34" i="14"/>
  <c r="Q83" i="14"/>
  <c r="Q74" i="14"/>
  <c r="Q76" i="14" s="1"/>
  <c r="Q85" i="14"/>
  <c r="X67" i="14"/>
  <c r="X66" i="14" s="1"/>
  <c r="W66" i="14"/>
  <c r="V29" i="14"/>
  <c r="V45" i="14"/>
  <c r="V33" i="14" s="1"/>
  <c r="W25" i="14"/>
  <c r="V24" i="14"/>
  <c r="U23" i="14"/>
  <c r="U70" i="14" s="1"/>
  <c r="R197" i="14"/>
  <c r="R28" i="14"/>
  <c r="R84" i="14" s="1"/>
  <c r="W29" i="14" l="1"/>
  <c r="W45" i="14"/>
  <c r="W33" i="14" s="1"/>
  <c r="T28" i="14"/>
  <c r="R32" i="14"/>
  <c r="R85" i="14" s="1"/>
  <c r="W24" i="14"/>
  <c r="X25" i="14"/>
  <c r="V23" i="14"/>
  <c r="V70" i="14" s="1"/>
  <c r="R74" i="14" l="1"/>
  <c r="R76" i="14" s="1"/>
  <c r="R83" i="14"/>
  <c r="T84" i="14"/>
  <c r="T71" i="14"/>
  <c r="T32" i="14"/>
  <c r="T83" i="14" s="1"/>
  <c r="U28" i="14"/>
  <c r="U84" i="14" s="1"/>
  <c r="X24" i="14"/>
  <c r="X45" i="14"/>
  <c r="X33" i="14" s="1"/>
  <c r="U71" i="14"/>
  <c r="X29" i="14"/>
  <c r="W23" i="14"/>
  <c r="W70" i="14" s="1"/>
  <c r="R71" i="14"/>
  <c r="U32" i="14" l="1"/>
  <c r="V28" i="14"/>
  <c r="V84" i="14" s="1"/>
  <c r="V71" i="14"/>
  <c r="X23" i="14"/>
  <c r="X70" i="14" s="1"/>
  <c r="U83" i="14" l="1"/>
  <c r="W28" i="14"/>
  <c r="W84" i="14" s="1"/>
  <c r="V32" i="14"/>
  <c r="W71" i="14"/>
  <c r="X71" i="14"/>
  <c r="BW115" i="11"/>
  <c r="O34" i="13"/>
  <c r="P34" i="13"/>
  <c r="Q34" i="13"/>
  <c r="N34" i="13"/>
  <c r="O33" i="13"/>
  <c r="P33" i="13"/>
  <c r="Q33" i="13"/>
  <c r="N33" i="13"/>
  <c r="Q32" i="13"/>
  <c r="O32" i="13"/>
  <c r="P32" i="13"/>
  <c r="N32" i="13"/>
  <c r="BT115" i="11"/>
  <c r="V83" i="14" l="1"/>
  <c r="W32" i="14"/>
  <c r="X28" i="14"/>
  <c r="BV114" i="11"/>
  <c r="BX114" i="11" s="1"/>
  <c r="BY114" i="11" s="1"/>
  <c r="BI81" i="11"/>
  <c r="BI82" i="11" s="1"/>
  <c r="BI84" i="11" s="1"/>
  <c r="BJ80" i="11"/>
  <c r="BK80" i="11" s="1"/>
  <c r="BL80" i="11" s="1"/>
  <c r="BM80" i="11" s="1"/>
  <c r="BJ52" i="11"/>
  <c r="BA45" i="11"/>
  <c r="BA42" i="11" s="1"/>
  <c r="B25" i="11"/>
  <c r="B21" i="11"/>
  <c r="B22" i="11" s="1"/>
  <c r="BW118" i="11"/>
  <c r="BW109" i="11"/>
  <c r="BX109" i="11" s="1"/>
  <c r="BV106" i="11"/>
  <c r="BW106" i="11" s="1"/>
  <c r="BX106" i="11" s="1"/>
  <c r="BV113" i="11"/>
  <c r="BW113" i="11" s="1"/>
  <c r="BX113" i="11" s="1"/>
  <c r="BY113" i="11" s="1"/>
  <c r="BZ113" i="11" s="1"/>
  <c r="CA113" i="11" s="1"/>
  <c r="CB113" i="11" s="1"/>
  <c r="BV112" i="11"/>
  <c r="BW112" i="11" s="1"/>
  <c r="BZ112" i="11" s="1"/>
  <c r="CA112" i="11" s="1"/>
  <c r="CB112" i="11" s="1"/>
  <c r="BV111" i="11"/>
  <c r="BW111" i="11" s="1"/>
  <c r="BZ111" i="11" s="1"/>
  <c r="CA111" i="11" s="1"/>
  <c r="CB111" i="11" s="1"/>
  <c r="BV109" i="11"/>
  <c r="BV108" i="11"/>
  <c r="BY108" i="11" s="1"/>
  <c r="BJ98" i="11"/>
  <c r="BJ89" i="11"/>
  <c r="BJ70" i="11"/>
  <c r="BK70" i="11" s="1"/>
  <c r="BJ61" i="11"/>
  <c r="BM49" i="11"/>
  <c r="BL49" i="11"/>
  <c r="BK49" i="11"/>
  <c r="BJ49" i="11"/>
  <c r="BF95" i="11"/>
  <c r="BE95" i="11"/>
  <c r="BD95" i="11"/>
  <c r="BC95" i="11"/>
  <c r="BF86" i="11"/>
  <c r="BE86" i="11"/>
  <c r="BD86" i="11"/>
  <c r="BC86" i="11"/>
  <c r="BF77" i="11"/>
  <c r="BE77" i="11"/>
  <c r="BD77" i="11"/>
  <c r="BC77" i="11"/>
  <c r="BF67" i="11"/>
  <c r="BE67" i="11"/>
  <c r="BD67" i="11"/>
  <c r="BC67" i="11"/>
  <c r="BF58" i="11"/>
  <c r="BE58" i="11"/>
  <c r="BD58" i="11"/>
  <c r="BC58" i="11"/>
  <c r="BD49" i="11"/>
  <c r="BE49" i="11"/>
  <c r="BF49" i="11"/>
  <c r="BC49" i="11"/>
  <c r="BC99" i="11"/>
  <c r="BC101" i="11" s="1"/>
  <c r="BC102" i="11" s="1"/>
  <c r="BE13" i="11"/>
  <c r="BF13" i="11" s="1"/>
  <c r="BE12" i="11"/>
  <c r="BF11" i="11"/>
  <c r="BF10" i="11"/>
  <c r="BC5" i="11"/>
  <c r="BE5" i="11" s="1"/>
  <c r="BF5" i="11" s="1"/>
  <c r="BC6" i="11"/>
  <c r="BE6" i="11" s="1"/>
  <c r="BF6" i="11" s="1"/>
  <c r="BC4" i="11"/>
  <c r="BE4" i="11" s="1"/>
  <c r="BF4" i="11" s="1"/>
  <c r="BB101" i="11"/>
  <c r="BB102" i="11" s="1"/>
  <c r="BB83" i="11"/>
  <c r="BB92" i="11"/>
  <c r="BC90" i="11"/>
  <c r="BC92" i="11" s="1"/>
  <c r="BF89" i="11"/>
  <c r="BE89" i="11"/>
  <c r="BD89" i="11"/>
  <c r="BC89" i="11"/>
  <c r="BB89" i="11"/>
  <c r="BC71" i="11"/>
  <c r="BC73" i="11" s="1"/>
  <c r="BB73" i="11"/>
  <c r="BC81" i="11"/>
  <c r="BD81" i="11" s="1"/>
  <c r="BE81" i="11" s="1"/>
  <c r="BF81" i="11" s="1"/>
  <c r="BF83" i="11" s="1"/>
  <c r="BF84" i="11" s="1"/>
  <c r="BC62" i="11"/>
  <c r="BD62" i="11" s="1"/>
  <c r="BE62" i="11" s="1"/>
  <c r="BF62" i="11" s="1"/>
  <c r="G35" i="11"/>
  <c r="H34" i="11"/>
  <c r="G34" i="11"/>
  <c r="G26" i="11"/>
  <c r="BC53" i="11"/>
  <c r="BD53" i="11" s="1"/>
  <c r="AV35" i="11"/>
  <c r="AW34" i="11"/>
  <c r="AV34" i="11"/>
  <c r="AT35" i="11"/>
  <c r="AU34" i="11"/>
  <c r="AT34" i="11"/>
  <c r="AB35" i="11"/>
  <c r="AC34" i="11"/>
  <c r="AB34" i="11"/>
  <c r="Y35" i="11"/>
  <c r="Z34" i="11"/>
  <c r="Y34" i="11"/>
  <c r="AV26" i="11"/>
  <c r="AT26" i="11"/>
  <c r="AB26" i="11"/>
  <c r="Y26" i="11"/>
  <c r="E26" i="11"/>
  <c r="F34" i="11"/>
  <c r="E35" i="11"/>
  <c r="E34" i="11"/>
  <c r="AA17" i="8"/>
  <c r="AR35" i="11"/>
  <c r="AQ35" i="11"/>
  <c r="AP35" i="11"/>
  <c r="AO35" i="11"/>
  <c r="AN35" i="11"/>
  <c r="AM35" i="11"/>
  <c r="AL35" i="11"/>
  <c r="AK35" i="11"/>
  <c r="AJ35" i="11"/>
  <c r="AI35" i="11"/>
  <c r="AH35" i="11"/>
  <c r="AG35" i="11"/>
  <c r="AF35" i="11"/>
  <c r="AE35" i="11"/>
  <c r="AD35" i="11"/>
  <c r="AR34" i="11"/>
  <c r="AQ34" i="11"/>
  <c r="AP34" i="11"/>
  <c r="AO34" i="11"/>
  <c r="AN34" i="11"/>
  <c r="AM34" i="11"/>
  <c r="AL34" i="11"/>
  <c r="AK34" i="11"/>
  <c r="AJ34" i="11"/>
  <c r="AI34" i="11"/>
  <c r="AH34" i="11"/>
  <c r="AG34" i="11"/>
  <c r="AF34" i="11"/>
  <c r="AE34" i="11"/>
  <c r="AD34" i="11"/>
  <c r="AR33" i="11"/>
  <c r="AQ33" i="11"/>
  <c r="AP33" i="11"/>
  <c r="AO33" i="11"/>
  <c r="AN33" i="11"/>
  <c r="AM33" i="11"/>
  <c r="AL33" i="11"/>
  <c r="AK33" i="11"/>
  <c r="AJ33" i="11"/>
  <c r="AI33" i="11"/>
  <c r="AH33" i="11"/>
  <c r="AG33" i="11"/>
  <c r="AF33" i="11"/>
  <c r="AE33" i="11"/>
  <c r="AD33" i="11"/>
  <c r="J33" i="11"/>
  <c r="K33" i="11"/>
  <c r="L33" i="11"/>
  <c r="M33" i="11"/>
  <c r="N33" i="11"/>
  <c r="O33" i="11"/>
  <c r="P33" i="11"/>
  <c r="Q33" i="11"/>
  <c r="R33" i="11"/>
  <c r="S33" i="11"/>
  <c r="T33" i="11"/>
  <c r="U33" i="11"/>
  <c r="V33" i="11"/>
  <c r="W33" i="11"/>
  <c r="J34" i="11"/>
  <c r="K34" i="11"/>
  <c r="L34" i="11"/>
  <c r="M34" i="11"/>
  <c r="N34" i="11"/>
  <c r="O34" i="11"/>
  <c r="P34" i="11"/>
  <c r="Q34" i="11"/>
  <c r="R34" i="11"/>
  <c r="S34" i="11"/>
  <c r="T34" i="11"/>
  <c r="U34" i="11"/>
  <c r="V34" i="11"/>
  <c r="W34" i="11"/>
  <c r="J35" i="11"/>
  <c r="K35" i="11"/>
  <c r="L35" i="11"/>
  <c r="M35" i="11"/>
  <c r="N35" i="11"/>
  <c r="O35" i="11"/>
  <c r="P35" i="11"/>
  <c r="Q35" i="11"/>
  <c r="R35" i="11"/>
  <c r="S35" i="11"/>
  <c r="T35" i="11"/>
  <c r="U35" i="11"/>
  <c r="V35" i="11"/>
  <c r="W35" i="11"/>
  <c r="I35" i="11"/>
  <c r="I34" i="11"/>
  <c r="I33" i="11"/>
  <c r="AR28" i="11"/>
  <c r="AQ28" i="11"/>
  <c r="AP28" i="11"/>
  <c r="AO28" i="11"/>
  <c r="AN28" i="11"/>
  <c r="AM28" i="11"/>
  <c r="AL28" i="11"/>
  <c r="AK28" i="11"/>
  <c r="AJ28" i="11"/>
  <c r="AI28" i="11"/>
  <c r="AH28" i="11"/>
  <c r="AG28" i="11"/>
  <c r="AF28" i="11"/>
  <c r="AE28" i="11"/>
  <c r="AD28" i="11"/>
  <c r="J28" i="11"/>
  <c r="K28" i="11"/>
  <c r="L28" i="11"/>
  <c r="M28" i="11"/>
  <c r="N28" i="11"/>
  <c r="O28" i="11"/>
  <c r="P28" i="11"/>
  <c r="Q28" i="11"/>
  <c r="R28" i="11"/>
  <c r="S28" i="11"/>
  <c r="T28" i="11"/>
  <c r="U28" i="11"/>
  <c r="V28" i="11"/>
  <c r="W28" i="11"/>
  <c r="I28" i="11"/>
  <c r="AR25" i="11"/>
  <c r="AR26" i="11" s="1"/>
  <c r="AQ25" i="11"/>
  <c r="AQ26" i="11" s="1"/>
  <c r="AP25" i="11"/>
  <c r="AP26" i="11" s="1"/>
  <c r="AO25" i="11"/>
  <c r="AO26" i="11" s="1"/>
  <c r="AN25" i="11"/>
  <c r="AN26" i="11" s="1"/>
  <c r="AM25" i="11"/>
  <c r="AM26" i="11" s="1"/>
  <c r="AL25" i="11"/>
  <c r="AL26" i="11" s="1"/>
  <c r="AK25" i="11"/>
  <c r="AK26" i="11" s="1"/>
  <c r="AJ25" i="11"/>
  <c r="AJ26" i="11" s="1"/>
  <c r="AI25" i="11"/>
  <c r="AI26" i="11" s="1"/>
  <c r="AH25" i="11"/>
  <c r="AH26" i="11" s="1"/>
  <c r="AG25" i="11"/>
  <c r="AG26" i="11" s="1"/>
  <c r="AF25" i="11"/>
  <c r="AF26" i="11" s="1"/>
  <c r="AE25" i="11"/>
  <c r="AE26" i="11" s="1"/>
  <c r="AD25" i="11"/>
  <c r="AD26" i="11" s="1"/>
  <c r="J25" i="11"/>
  <c r="J26" i="11" s="1"/>
  <c r="K25" i="11"/>
  <c r="K26" i="11" s="1"/>
  <c r="L25" i="11"/>
  <c r="L26" i="11" s="1"/>
  <c r="M25" i="11"/>
  <c r="M26" i="11" s="1"/>
  <c r="N25" i="11"/>
  <c r="N26" i="11" s="1"/>
  <c r="O25" i="11"/>
  <c r="O26" i="11" s="1"/>
  <c r="P25" i="11"/>
  <c r="P26" i="11" s="1"/>
  <c r="Q25" i="11"/>
  <c r="Q26" i="11" s="1"/>
  <c r="R25" i="11"/>
  <c r="R26" i="11" s="1"/>
  <c r="S25" i="11"/>
  <c r="S26" i="11" s="1"/>
  <c r="T25" i="11"/>
  <c r="T26" i="11" s="1"/>
  <c r="U25" i="11"/>
  <c r="U26" i="11" s="1"/>
  <c r="V25" i="11"/>
  <c r="V26" i="11" s="1"/>
  <c r="W25" i="11"/>
  <c r="W26" i="11" s="1"/>
  <c r="I25" i="11"/>
  <c r="I26" i="11" s="1"/>
  <c r="B26" i="11" s="1"/>
  <c r="X32" i="14" l="1"/>
  <c r="X84" i="14"/>
  <c r="W83" i="14"/>
  <c r="BV107" i="11"/>
  <c r="BW107" i="11" s="1"/>
  <c r="BX107" i="11" s="1"/>
  <c r="BY107" i="11" s="1"/>
  <c r="BZ107" i="11" s="1"/>
  <c r="CA107" i="11" s="1"/>
  <c r="CB107" i="11" s="1"/>
  <c r="BX112" i="11"/>
  <c r="BY111" i="11"/>
  <c r="BB52" i="11"/>
  <c r="BB61" i="11" s="1"/>
  <c r="BW114" i="11"/>
  <c r="BY106" i="11"/>
  <c r="BZ106" i="11" s="1"/>
  <c r="CA106" i="11" s="1"/>
  <c r="CB106" i="11" s="1"/>
  <c r="BY112" i="11"/>
  <c r="BM81" i="11"/>
  <c r="BM82" i="11" s="1"/>
  <c r="BM84" i="11" s="1"/>
  <c r="BS84" i="11" s="1"/>
  <c r="BX111" i="11"/>
  <c r="BX108" i="11"/>
  <c r="BK52" i="11"/>
  <c r="BW108" i="11"/>
  <c r="BZ108" i="11" s="1"/>
  <c r="CA108" i="11" s="1"/>
  <c r="CB108" i="11" s="1"/>
  <c r="BY109" i="11"/>
  <c r="BZ109" i="11" s="1"/>
  <c r="CA109" i="11" s="1"/>
  <c r="CB109" i="11" s="1"/>
  <c r="BI85" i="11"/>
  <c r="BI86" i="11" s="1"/>
  <c r="BI71" i="11"/>
  <c r="BI72" i="11" s="1"/>
  <c r="BI75" i="11" s="1"/>
  <c r="BI99" i="11"/>
  <c r="BJ99" i="11" s="1"/>
  <c r="BK99" i="11" s="1"/>
  <c r="BL99" i="11" s="1"/>
  <c r="BM99" i="11" s="1"/>
  <c r="BI90" i="11"/>
  <c r="BJ90" i="11" s="1"/>
  <c r="BK90" i="11" s="1"/>
  <c r="BL90" i="11" s="1"/>
  <c r="BM90" i="11" s="1"/>
  <c r="BK98" i="11"/>
  <c r="BK89" i="11"/>
  <c r="BL70" i="11"/>
  <c r="BI62" i="11"/>
  <c r="BJ62" i="11" s="1"/>
  <c r="BK62" i="11" s="1"/>
  <c r="BL62" i="11" s="1"/>
  <c r="BM62" i="11" s="1"/>
  <c r="BK61" i="11"/>
  <c r="BD99" i="11"/>
  <c r="BD101" i="11" s="1"/>
  <c r="BD102" i="11" s="1"/>
  <c r="BE14" i="11"/>
  <c r="BF14" i="11" s="1"/>
  <c r="BF12" i="11"/>
  <c r="BE7" i="11"/>
  <c r="BC83" i="11"/>
  <c r="BC84" i="11" s="1"/>
  <c r="BB84" i="11"/>
  <c r="BO84" i="11" s="1"/>
  <c r="BD83" i="11"/>
  <c r="BD84" i="11" s="1"/>
  <c r="BE83" i="11"/>
  <c r="BE84" i="11" s="1"/>
  <c r="BB93" i="11"/>
  <c r="BD90" i="11"/>
  <c r="BE90" i="11" s="1"/>
  <c r="BE92" i="11" s="1"/>
  <c r="BE93" i="11" s="1"/>
  <c r="BC93" i="11"/>
  <c r="BD71" i="11"/>
  <c r="BD73" i="11" s="1"/>
  <c r="BE53" i="11"/>
  <c r="BF53" i="11" s="1"/>
  <c r="A22" i="11"/>
  <c r="B23" i="11"/>
  <c r="B20" i="11"/>
  <c r="X83" i="14" l="1"/>
  <c r="BV115" i="11"/>
  <c r="BJ81" i="11"/>
  <c r="BJ82" i="11" s="1"/>
  <c r="BK81" i="11"/>
  <c r="BK82" i="11" s="1"/>
  <c r="BK84" i="11" s="1"/>
  <c r="BQ84" i="11" s="1"/>
  <c r="BM85" i="11"/>
  <c r="BM86" i="11" s="1"/>
  <c r="BX115" i="11"/>
  <c r="BL81" i="11"/>
  <c r="BL82" i="11" s="1"/>
  <c r="BL84" i="11" s="1"/>
  <c r="BR84" i="11" s="1"/>
  <c r="BL52" i="11"/>
  <c r="BJ84" i="11"/>
  <c r="BP84" i="11" s="1"/>
  <c r="BJ85" i="11"/>
  <c r="BJ86" i="11" s="1"/>
  <c r="BK85" i="11"/>
  <c r="BK86" i="11" s="1"/>
  <c r="BZ114" i="11"/>
  <c r="BY115" i="11"/>
  <c r="BJ71" i="11"/>
  <c r="BI91" i="11"/>
  <c r="BI93" i="11" s="1"/>
  <c r="BO85" i="11"/>
  <c r="BJ100" i="11"/>
  <c r="BJ102" i="11" s="1"/>
  <c r="BJ103" i="11" s="1"/>
  <c r="BJ91" i="11"/>
  <c r="BJ93" i="11" s="1"/>
  <c r="BJ94" i="11" s="1"/>
  <c r="BI100" i="11"/>
  <c r="BK100" i="11"/>
  <c r="BK102" i="11" s="1"/>
  <c r="BK103" i="11" s="1"/>
  <c r="BL98" i="11"/>
  <c r="BL89" i="11"/>
  <c r="BK91" i="11"/>
  <c r="BK93" i="11" s="1"/>
  <c r="BM70" i="11"/>
  <c r="BI63" i="11"/>
  <c r="BI64" i="11" s="1"/>
  <c r="BI65" i="11" s="1"/>
  <c r="BL61" i="11"/>
  <c r="BE99" i="11"/>
  <c r="BF99" i="11" s="1"/>
  <c r="BF101" i="11" s="1"/>
  <c r="BF102" i="11" s="1"/>
  <c r="BE16" i="11"/>
  <c r="BE17" i="11" s="1"/>
  <c r="BD92" i="11"/>
  <c r="BD93" i="11" s="1"/>
  <c r="BF90" i="11"/>
  <c r="BF92" i="11" s="1"/>
  <c r="BF93" i="11" s="1"/>
  <c r="BE71" i="11"/>
  <c r="BC52" i="11"/>
  <c r="BC61" i="11" s="1"/>
  <c r="BB55" i="11"/>
  <c r="BL85" i="11" l="1"/>
  <c r="BL86" i="11" s="1"/>
  <c r="BM52" i="11"/>
  <c r="BP102" i="11"/>
  <c r="BP103" i="11" s="1"/>
  <c r="BQ93" i="11"/>
  <c r="BQ94" i="11" s="1"/>
  <c r="BI94" i="11"/>
  <c r="BO93" i="11"/>
  <c r="BO94" i="11" s="1"/>
  <c r="D21" i="1"/>
  <c r="CA114" i="11"/>
  <c r="BZ115" i="11"/>
  <c r="BK71" i="11"/>
  <c r="BJ72" i="11"/>
  <c r="BJ75" i="11" s="1"/>
  <c r="BP85" i="11"/>
  <c r="BI102" i="11"/>
  <c r="BQ102" i="11"/>
  <c r="BQ103" i="11" s="1"/>
  <c r="BB54" i="11"/>
  <c r="BI53" i="11" s="1"/>
  <c r="BI54" i="11" s="1"/>
  <c r="BI55" i="11" s="1"/>
  <c r="BI56" i="11" s="1"/>
  <c r="BI57" i="11" s="1"/>
  <c r="BK94" i="11"/>
  <c r="BP93" i="11"/>
  <c r="BP94" i="11" s="1"/>
  <c r="BL100" i="11"/>
  <c r="BL102" i="11" s="1"/>
  <c r="BM98" i="11"/>
  <c r="BM100" i="11" s="1"/>
  <c r="BM102" i="11" s="1"/>
  <c r="BM103" i="11" s="1"/>
  <c r="BL91" i="11"/>
  <c r="BL93" i="11" s="1"/>
  <c r="BM89" i="11"/>
  <c r="BM91" i="11" s="1"/>
  <c r="BM93" i="11" s="1"/>
  <c r="BM94" i="11" s="1"/>
  <c r="BI66" i="11"/>
  <c r="BJ63" i="11"/>
  <c r="BJ64" i="11" s="1"/>
  <c r="BJ65" i="11" s="1"/>
  <c r="BJ66" i="11" s="1"/>
  <c r="BM61" i="11"/>
  <c r="BE101" i="11"/>
  <c r="BE102" i="11" s="1"/>
  <c r="BE18" i="11"/>
  <c r="BF18" i="11" s="1"/>
  <c r="BE26" i="11"/>
  <c r="BE25" i="11"/>
  <c r="BE24" i="11"/>
  <c r="BE23" i="11"/>
  <c r="BF17" i="11"/>
  <c r="BE22" i="11"/>
  <c r="BB70" i="11"/>
  <c r="BI76" i="11" s="1"/>
  <c r="BB64" i="11"/>
  <c r="BO64" i="11" s="1"/>
  <c r="BO65" i="11" s="1"/>
  <c r="BC70" i="11"/>
  <c r="BC64" i="11"/>
  <c r="BE73" i="11"/>
  <c r="BF71" i="11"/>
  <c r="BF73" i="11" s="1"/>
  <c r="BD52" i="11"/>
  <c r="BD61" i="11" s="1"/>
  <c r="BC55" i="11"/>
  <c r="BI107" i="11" l="1"/>
  <c r="BI106" i="11" s="1"/>
  <c r="BO55" i="11"/>
  <c r="BO56" i="11" s="1"/>
  <c r="BS93" i="11"/>
  <c r="BS94" i="11" s="1"/>
  <c r="BR102" i="11"/>
  <c r="BR103" i="11" s="1"/>
  <c r="CB114" i="11"/>
  <c r="CB115" i="11" s="1"/>
  <c r="CA115" i="11"/>
  <c r="BK72" i="11"/>
  <c r="BK75" i="11" s="1"/>
  <c r="BL71" i="11"/>
  <c r="BS102" i="11"/>
  <c r="BS103" i="11" s="1"/>
  <c r="BQ85" i="11"/>
  <c r="BP64" i="11"/>
  <c r="BP65" i="11" s="1"/>
  <c r="BL94" i="11"/>
  <c r="BR93" i="11"/>
  <c r="BR94" i="11" s="1"/>
  <c r="BC54" i="11"/>
  <c r="BJ53" i="11" s="1"/>
  <c r="BJ54" i="11" s="1"/>
  <c r="BJ55" i="11" s="1"/>
  <c r="BP55" i="11" s="1"/>
  <c r="BP56" i="11" s="1"/>
  <c r="BI103" i="11"/>
  <c r="BO102" i="11"/>
  <c r="BO103" i="11" s="1"/>
  <c r="BL103" i="11"/>
  <c r="BI77" i="11"/>
  <c r="BC75" i="11"/>
  <c r="BJ76" i="11"/>
  <c r="BJ77" i="11" s="1"/>
  <c r="BK63" i="11"/>
  <c r="BK64" i="11" s="1"/>
  <c r="BF19" i="11"/>
  <c r="BC63" i="11"/>
  <c r="BB63" i="11"/>
  <c r="BE19" i="11"/>
  <c r="BD70" i="11"/>
  <c r="BD64" i="11"/>
  <c r="BB75" i="11"/>
  <c r="BE52" i="11"/>
  <c r="BD55" i="11"/>
  <c r="BJ107" i="11" l="1"/>
  <c r="BJ106" i="11" s="1"/>
  <c r="BJ56" i="11"/>
  <c r="BJ57" i="11" s="1"/>
  <c r="BQ64" i="11"/>
  <c r="BQ65" i="11" s="1"/>
  <c r="BK76" i="11"/>
  <c r="BK77" i="11" s="1"/>
  <c r="BL72" i="11"/>
  <c r="BL75" i="11" s="1"/>
  <c r="BM71" i="11"/>
  <c r="BM72" i="11" s="1"/>
  <c r="BM75" i="11" s="1"/>
  <c r="BC74" i="11"/>
  <c r="BP75" i="11"/>
  <c r="BP76" i="11" s="1"/>
  <c r="BE61" i="11"/>
  <c r="BB74" i="11"/>
  <c r="BO75" i="11"/>
  <c r="BO76" i="11" s="1"/>
  <c r="BS85" i="11"/>
  <c r="BD54" i="11"/>
  <c r="BK53" i="11" s="1"/>
  <c r="BK54" i="11" s="1"/>
  <c r="BK55" i="11" s="1"/>
  <c r="BK65" i="11"/>
  <c r="BK66" i="11" s="1"/>
  <c r="BR85" i="11"/>
  <c r="BC107" i="11"/>
  <c r="BD75" i="11"/>
  <c r="BM63" i="11"/>
  <c r="BM64" i="11" s="1"/>
  <c r="BL63" i="11"/>
  <c r="BL64" i="11" s="1"/>
  <c r="BD63" i="11"/>
  <c r="BB107" i="11"/>
  <c r="BE55" i="11"/>
  <c r="BF52" i="11"/>
  <c r="BK107" i="11" l="1"/>
  <c r="BK106" i="11" s="1"/>
  <c r="BK56" i="11"/>
  <c r="BK57" i="11" s="1"/>
  <c r="BB106" i="11"/>
  <c r="BI114" i="11"/>
  <c r="BC106" i="11"/>
  <c r="BJ114" i="11"/>
  <c r="BQ55" i="11"/>
  <c r="BQ56" i="11" s="1"/>
  <c r="BD74" i="11"/>
  <c r="BQ75" i="11"/>
  <c r="BQ76" i="11" s="1"/>
  <c r="BF61" i="11"/>
  <c r="BM65" i="11" s="1"/>
  <c r="BM66" i="11" s="1"/>
  <c r="BE54" i="11"/>
  <c r="BL53" i="11" s="1"/>
  <c r="BL54" i="11" s="1"/>
  <c r="BL55" i="11" s="1"/>
  <c r="BD107" i="11"/>
  <c r="BL65" i="11"/>
  <c r="BL66" i="11" s="1"/>
  <c r="BF55" i="11"/>
  <c r="BE70" i="11"/>
  <c r="BL76" i="11" s="1"/>
  <c r="BL77" i="11" s="1"/>
  <c r="BE64" i="11"/>
  <c r="BR64" i="11" s="1"/>
  <c r="BR65" i="11" s="1"/>
  <c r="BL107" i="11" l="1"/>
  <c r="BL106" i="11" s="1"/>
  <c r="BL56" i="11"/>
  <c r="BL57" i="11" s="1"/>
  <c r="BR55" i="11"/>
  <c r="BR56" i="11" s="1"/>
  <c r="BD106" i="11"/>
  <c r="BK114" i="11"/>
  <c r="BE75" i="11"/>
  <c r="BE63" i="11"/>
  <c r="BF54" i="11"/>
  <c r="BM53" i="11" s="1"/>
  <c r="BM54" i="11" s="1"/>
  <c r="BM55" i="11" s="1"/>
  <c r="BF70" i="11"/>
  <c r="BM76" i="11" s="1"/>
  <c r="BM77" i="11" s="1"/>
  <c r="BF64" i="11"/>
  <c r="BM107" i="11" l="1"/>
  <c r="BM106" i="11" s="1"/>
  <c r="BM56" i="11"/>
  <c r="BM57" i="11" s="1"/>
  <c r="BS55" i="11"/>
  <c r="BS56" i="11" s="1"/>
  <c r="BE74" i="11"/>
  <c r="BR75" i="11"/>
  <c r="BR76" i="11" s="1"/>
  <c r="BE107" i="11"/>
  <c r="BF63" i="11"/>
  <c r="BS64" i="11"/>
  <c r="BS65" i="11" s="1"/>
  <c r="BF75" i="11"/>
  <c r="BF107" i="11" s="1"/>
  <c r="BE106" i="11" l="1"/>
  <c r="BL114" i="11"/>
  <c r="BF106" i="11"/>
  <c r="BM114" i="11"/>
  <c r="BF74" i="11"/>
  <c r="BS75" i="11"/>
  <c r="BS76" i="11" s="1"/>
  <c r="AD6" i="8"/>
  <c r="AE5" i="8"/>
  <c r="AD43" i="8"/>
  <c r="AD44" i="8" s="1"/>
  <c r="AD42" i="8"/>
  <c r="AD41" i="8"/>
  <c r="AE46" i="8"/>
  <c r="AE47" i="8" s="1"/>
  <c r="AE48" i="8" s="1"/>
  <c r="AE49" i="8" s="1"/>
  <c r="AJ5" i="8"/>
  <c r="AE19" i="8"/>
  <c r="AF19" i="8" s="1"/>
  <c r="AG19" i="8" s="1"/>
  <c r="AH19" i="8" s="1"/>
  <c r="AH6" i="8"/>
  <c r="AG2" i="8"/>
  <c r="AH5" i="8"/>
  <c r="AH4" i="8"/>
  <c r="AF2" i="8"/>
  <c r="H35" i="8"/>
  <c r="F34" i="8"/>
  <c r="AE38" i="8"/>
  <c r="AE37" i="8"/>
  <c r="AC39" i="8"/>
  <c r="R3" i="8"/>
  <c r="S3" i="8"/>
  <c r="AJ32" i="8"/>
  <c r="AE24" i="8"/>
  <c r="AE25" i="8"/>
  <c r="K33" i="8"/>
  <c r="AJ33" i="8" s="1"/>
  <c r="L51" i="8"/>
  <c r="S50" i="8"/>
  <c r="R50" i="8"/>
  <c r="T49" i="8"/>
  <c r="Q49" i="8"/>
  <c r="L48" i="8"/>
  <c r="L47" i="8"/>
  <c r="U46" i="8"/>
  <c r="P46" i="8"/>
  <c r="V45" i="8"/>
  <c r="L45" i="8" s="1"/>
  <c r="O44" i="8"/>
  <c r="L44" i="8" s="1"/>
  <c r="W43" i="8"/>
  <c r="L43" i="8" s="1"/>
  <c r="W42" i="8"/>
  <c r="L42" i="8" s="1"/>
  <c r="N41" i="8"/>
  <c r="L41" i="8" s="1"/>
  <c r="N40" i="8"/>
  <c r="L40" i="8" s="1"/>
  <c r="L33" i="8"/>
  <c r="AG33" i="8" s="1"/>
  <c r="AG29" i="8"/>
  <c r="O26" i="8"/>
  <c r="L26" i="8" s="1"/>
  <c r="V27" i="8"/>
  <c r="L27" i="8" s="1"/>
  <c r="AG27" i="8" s="1"/>
  <c r="W25" i="8"/>
  <c r="L25" i="8" s="1"/>
  <c r="AJ25" i="8" s="1"/>
  <c r="W24" i="8"/>
  <c r="L24" i="8" s="1"/>
  <c r="AJ24" i="8" s="1"/>
  <c r="N23" i="8"/>
  <c r="L23" i="8" s="1"/>
  <c r="N22" i="8"/>
  <c r="L22" i="8" s="1"/>
  <c r="U28" i="8"/>
  <c r="P28" i="8"/>
  <c r="T31" i="8"/>
  <c r="Q31" i="8"/>
  <c r="S32" i="8"/>
  <c r="R32" i="8"/>
  <c r="Z16" i="8"/>
  <c r="R17" i="8"/>
  <c r="S17" i="8"/>
  <c r="T17" i="8"/>
  <c r="U17" i="8"/>
  <c r="V17" i="8"/>
  <c r="W17" i="8"/>
  <c r="N17" i="8"/>
  <c r="O17" i="8"/>
  <c r="P17" i="8"/>
  <c r="Q17" i="8"/>
  <c r="B39" i="6"/>
  <c r="B40" i="6" s="1"/>
  <c r="B41" i="6" s="1"/>
  <c r="B42" i="6" s="1"/>
  <c r="B43" i="6" s="1"/>
  <c r="B44" i="6" s="1"/>
  <c r="B45" i="6" s="1"/>
  <c r="B46" i="6" s="1"/>
  <c r="B47" i="6" s="1"/>
  <c r="C39" i="6"/>
  <c r="C41" i="6"/>
  <c r="C42" i="6"/>
  <c r="C43" i="6"/>
  <c r="C44" i="6"/>
  <c r="C45" i="6"/>
  <c r="C46" i="6"/>
  <c r="C47" i="6"/>
  <c r="AH3" i="8" l="1"/>
  <c r="AJ29" i="8"/>
  <c r="L50" i="8"/>
  <c r="K28" i="8"/>
  <c r="K27" i="8"/>
  <c r="AG26" i="8"/>
  <c r="AG25" i="8"/>
  <c r="AG24" i="8"/>
  <c r="AG22" i="8"/>
  <c r="AG23" i="8"/>
  <c r="K22" i="8"/>
  <c r="K23" i="8"/>
  <c r="K26" i="8"/>
  <c r="Z17" i="8"/>
  <c r="L28" i="8"/>
  <c r="AG28" i="8" s="1"/>
  <c r="L49" i="8"/>
  <c r="L46" i="8"/>
  <c r="L32" i="8"/>
  <c r="AG32" i="8" s="1"/>
  <c r="L31" i="8"/>
  <c r="F11" i="5"/>
  <c r="G11" i="5"/>
  <c r="AJ28" i="8" l="1"/>
  <c r="AE26" i="8"/>
  <c r="AJ26" i="8"/>
  <c r="AE23" i="8"/>
  <c r="AJ23" i="8"/>
  <c r="AE22" i="8"/>
  <c r="AJ22" i="8"/>
  <c r="AG31" i="8"/>
  <c r="AG34" i="8" s="1"/>
  <c r="AG36" i="8" s="1"/>
  <c r="AJ31" i="8"/>
  <c r="AE27" i="8"/>
  <c r="AJ27" i="8"/>
  <c r="E11" i="5"/>
  <c r="D11" i="5"/>
  <c r="C11" i="5"/>
  <c r="AG41" i="8" l="1"/>
  <c r="AG37" i="8"/>
  <c r="AJ34" i="8"/>
  <c r="AJ36" i="8" s="1"/>
  <c r="AJ37" i="8" s="1"/>
  <c r="AE34" i="8"/>
  <c r="AE36" i="8" s="1"/>
  <c r="J15" i="6"/>
  <c r="J16" i="6"/>
  <c r="J17" i="6"/>
  <c r="J18" i="6"/>
  <c r="J19" i="6"/>
  <c r="J20" i="6"/>
  <c r="J21" i="6"/>
  <c r="J22" i="6"/>
  <c r="J23" i="6"/>
  <c r="J14" i="6"/>
  <c r="H15" i="6"/>
  <c r="H17" i="6"/>
  <c r="H18" i="6"/>
  <c r="H19" i="6"/>
  <c r="H20" i="6"/>
  <c r="H21" i="6"/>
  <c r="H22" i="6"/>
  <c r="H23" i="6"/>
  <c r="D32" i="6"/>
  <c r="G15" i="6"/>
  <c r="G16" i="6" s="1"/>
  <c r="G17" i="6" s="1"/>
  <c r="G18" i="6" s="1"/>
  <c r="G19" i="6" s="1"/>
  <c r="G20" i="6" s="1"/>
  <c r="G21" i="6" s="1"/>
  <c r="G22" i="6" s="1"/>
  <c r="G23" i="6" s="1"/>
  <c r="G24" i="6" s="1"/>
  <c r="C15" i="6"/>
  <c r="C17" i="6"/>
  <c r="C18" i="6"/>
  <c r="C19" i="6"/>
  <c r="C20" i="6"/>
  <c r="C21" i="6"/>
  <c r="C22" i="6"/>
  <c r="C23" i="6"/>
  <c r="B15" i="6"/>
  <c r="B16" i="6"/>
  <c r="B17" i="6"/>
  <c r="B18" i="6"/>
  <c r="B19" i="6"/>
  <c r="B20" i="6"/>
  <c r="B21" i="6"/>
  <c r="B22" i="6"/>
  <c r="B23" i="6"/>
  <c r="B14" i="6"/>
  <c r="B13" i="6"/>
  <c r="AG38" i="8" l="1"/>
  <c r="AN38" i="8" s="1"/>
  <c r="AN37" i="8"/>
  <c r="AJ38" i="8"/>
  <c r="C23" i="4"/>
  <c r="C9" i="5" s="1"/>
  <c r="B49" i="5"/>
  <c r="B45" i="5"/>
  <c r="B23" i="5"/>
  <c r="C23" i="5" s="1"/>
  <c r="G6" i="4"/>
  <c r="G7" i="4"/>
  <c r="G8" i="4"/>
  <c r="G9" i="4"/>
  <c r="G10" i="4"/>
  <c r="G11" i="4"/>
  <c r="G5" i="4"/>
  <c r="B34" i="5"/>
  <c r="C34" i="5" s="1"/>
  <c r="B30" i="5"/>
  <c r="C40" i="6" l="1"/>
  <c r="C16" i="6"/>
  <c r="H16" i="6"/>
  <c r="C38" i="6"/>
  <c r="C14" i="6"/>
  <c r="H14" i="6"/>
  <c r="G12" i="4"/>
  <c r="C12" i="5" s="1"/>
  <c r="T72" i="14" s="1"/>
  <c r="D23" i="5"/>
  <c r="B36" i="5"/>
  <c r="D34" i="5"/>
  <c r="T73" i="14" l="1"/>
  <c r="T74" i="14"/>
  <c r="T76" i="14" s="1"/>
  <c r="T86" i="14" s="1"/>
  <c r="E23" i="5"/>
  <c r="F23" i="5" s="1"/>
  <c r="E34" i="5"/>
  <c r="T85" i="14" l="1"/>
  <c r="T75" i="14"/>
  <c r="G23" i="5"/>
  <c r="F34" i="5"/>
  <c r="G34" i="5" l="1"/>
  <c r="D10" i="3" l="1"/>
  <c r="D9" i="3"/>
  <c r="F17" i="4"/>
  <c r="F31" i="4"/>
  <c r="C10" i="5" s="1"/>
  <c r="D10" i="5" s="1"/>
  <c r="E10" i="5" s="1"/>
  <c r="F10" i="5" s="1"/>
  <c r="G10" i="5" s="1"/>
  <c r="C12" i="4"/>
  <c r="D11" i="3" l="1"/>
  <c r="C32" i="6"/>
  <c r="C4" i="3"/>
  <c r="B24" i="5"/>
  <c r="C25" i="5"/>
  <c r="C49" i="5" s="1"/>
  <c r="D12" i="5"/>
  <c r="U72" i="14" s="1"/>
  <c r="U74" i="14" s="1"/>
  <c r="U76" i="14" s="1"/>
  <c r="U86" i="14" s="1"/>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U75" i="14" l="1"/>
  <c r="U85" i="14"/>
  <c r="C5" i="5"/>
  <c r="C20" i="5" s="1"/>
  <c r="D6" i="6" s="1"/>
  <c r="E9" i="3"/>
  <c r="G9" i="5"/>
  <c r="H2" i="1"/>
  <c r="B28" i="4"/>
  <c r="C33" i="6"/>
  <c r="C34" i="6" s="1"/>
  <c r="F32" i="6"/>
  <c r="W12" i="1"/>
  <c r="W11" i="1"/>
  <c r="W10" i="1"/>
  <c r="W7" i="1"/>
  <c r="W6" i="1"/>
  <c r="W5" i="1"/>
  <c r="W3" i="1"/>
  <c r="B26" i="5"/>
  <c r="B48" i="5" s="1"/>
  <c r="B50" i="5" s="1"/>
  <c r="C24" i="5"/>
  <c r="E12" i="5"/>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F12" i="5" l="1"/>
  <c r="W72" i="14" s="1"/>
  <c r="W74" i="14" s="1"/>
  <c r="W76" i="14" s="1"/>
  <c r="W86" i="14" s="1"/>
  <c r="V72" i="14"/>
  <c r="V74" i="14" s="1"/>
  <c r="V76" i="14" s="1"/>
  <c r="V86" i="14" s="1"/>
  <c r="D5" i="5"/>
  <c r="D20" i="5" s="1"/>
  <c r="E6" i="6" s="1"/>
  <c r="E10" i="3"/>
  <c r="C43"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I108" i="11" s="1"/>
  <c r="BI109" i="11" s="1"/>
  <c r="B32" i="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G12" i="5" l="1"/>
  <c r="X72" i="14" s="1"/>
  <c r="X74" i="14" s="1"/>
  <c r="X76" i="14" s="1"/>
  <c r="X86" i="14" s="1"/>
  <c r="W75" i="14"/>
  <c r="W85" i="14"/>
  <c r="F25" i="5"/>
  <c r="F49" i="5" s="1"/>
  <c r="V75" i="14"/>
  <c r="V85" i="14"/>
  <c r="D6" i="5"/>
  <c r="BC108" i="11"/>
  <c r="C6" i="5"/>
  <c r="BB108" i="11"/>
  <c r="BO108" i="11" s="1"/>
  <c r="BO109" i="11" s="1"/>
  <c r="D43" i="5"/>
  <c r="E5" i="5"/>
  <c r="E20" i="5" s="1"/>
  <c r="F6" i="6" s="1"/>
  <c r="E11" i="3"/>
  <c r="D8" i="3"/>
  <c r="D12" i="3" s="1"/>
  <c r="D14" i="3" s="1"/>
  <c r="C7" i="6" s="1"/>
  <c r="M16" i="1"/>
  <c r="N2" i="1"/>
  <c r="E26" i="6"/>
  <c r="E27" i="6" s="1"/>
  <c r="C7" i="5"/>
  <c r="U13" i="1"/>
  <c r="D32" i="1"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E31" i="1"/>
  <c r="U27" i="1"/>
  <c r="D33" i="1" s="1"/>
  <c r="BK108" i="11" s="1"/>
  <c r="BK109" i="11" s="1"/>
  <c r="T27" i="1"/>
  <c r="C33" i="1" s="1"/>
  <c r="BJ108" i="11" s="1"/>
  <c r="BJ109" i="11" s="1"/>
  <c r="G25" i="5" l="1"/>
  <c r="X85" i="14"/>
  <c r="X75" i="14"/>
  <c r="BP108" i="11"/>
  <c r="BP109" i="11" s="1"/>
  <c r="C8" i="5"/>
  <c r="C13" i="5" s="1"/>
  <c r="C55" i="5" s="1"/>
  <c r="C56" i="5" s="1"/>
  <c r="C57" i="5" s="1"/>
  <c r="BB109" i="11"/>
  <c r="E6" i="5"/>
  <c r="BD108" i="11"/>
  <c r="BQ108" i="11" s="1"/>
  <c r="BQ109" i="11" s="1"/>
  <c r="E43" i="5"/>
  <c r="F5" i="5"/>
  <c r="F20" i="5" s="1"/>
  <c r="G6" i="6" s="1"/>
  <c r="E12" i="3"/>
  <c r="G24" i="5"/>
  <c r="G26" i="5" s="1"/>
  <c r="F26" i="5"/>
  <c r="D16" i="3"/>
  <c r="N16" i="1"/>
  <c r="O2" i="1"/>
  <c r="O16" i="1" s="1"/>
  <c r="F22" i="6"/>
  <c r="D46" i="6" s="1"/>
  <c r="E46" i="6" s="1"/>
  <c r="F23" i="6"/>
  <c r="D47" i="6" s="1"/>
  <c r="E47" i="6" s="1"/>
  <c r="F18" i="6"/>
  <c r="D42" i="6" s="1"/>
  <c r="E42" i="6" s="1"/>
  <c r="F19" i="6"/>
  <c r="D43" i="6" s="1"/>
  <c r="E43" i="6" s="1"/>
  <c r="F15" i="6"/>
  <c r="D39" i="6" s="1"/>
  <c r="E39" i="6" s="1"/>
  <c r="F17" i="6"/>
  <c r="D41" i="6" s="1"/>
  <c r="E41" i="6" s="1"/>
  <c r="F14" i="6"/>
  <c r="D38" i="6" s="1"/>
  <c r="E38" i="6" s="1"/>
  <c r="F16" i="6"/>
  <c r="D40" i="6" s="1"/>
  <c r="E40" i="6" s="1"/>
  <c r="F20" i="6"/>
  <c r="D44" i="6" s="1"/>
  <c r="E44" i="6" s="1"/>
  <c r="F21" i="6"/>
  <c r="D45" i="6" s="1"/>
  <c r="E45" i="6" s="1"/>
  <c r="V13" i="1"/>
  <c r="V27" i="1"/>
  <c r="E33" i="1" s="1"/>
  <c r="W27" i="1"/>
  <c r="W13" i="1"/>
  <c r="E26" i="5"/>
  <c r="E48" i="5" s="1"/>
  <c r="E50" i="5" s="1"/>
  <c r="G49" i="5"/>
  <c r="C34" i="1"/>
  <c r="D7" i="5"/>
  <c r="D8" i="5" s="1"/>
  <c r="D34" i="1"/>
  <c r="E7" i="5"/>
  <c r="F31" i="1"/>
  <c r="E13" i="3" s="1"/>
  <c r="E8" i="5" l="1"/>
  <c r="E13" i="5" s="1"/>
  <c r="E55" i="5" s="1"/>
  <c r="E56" i="5" s="1"/>
  <c r="E57" i="5" s="1"/>
  <c r="BD109" i="11"/>
  <c r="F7" i="5"/>
  <c r="BL108" i="11"/>
  <c r="BL109" i="11" s="1"/>
  <c r="BC109" i="11"/>
  <c r="E48" i="6"/>
  <c r="E28" i="6" s="1"/>
  <c r="F43" i="5"/>
  <c r="J8" i="3"/>
  <c r="B31" i="5" s="1"/>
  <c r="B32" i="5" s="1"/>
  <c r="B38" i="5" s="1"/>
  <c r="B22" i="5" s="1"/>
  <c r="B44" i="5" s="1"/>
  <c r="B46" i="5" s="1"/>
  <c r="B52" i="5" s="1"/>
  <c r="F33" i="1"/>
  <c r="F32" i="1"/>
  <c r="E32" i="1"/>
  <c r="D13" i="5"/>
  <c r="D55" i="5" s="1"/>
  <c r="D56" i="5" s="1"/>
  <c r="D57" i="5" s="1"/>
  <c r="E33" i="6"/>
  <c r="F33" i="6" s="1"/>
  <c r="D33" i="6"/>
  <c r="F24" i="6"/>
  <c r="B33" i="6" s="1"/>
  <c r="B34" i="6" s="1"/>
  <c r="G48" i="5"/>
  <c r="G50" i="5" s="1"/>
  <c r="F48" i="5"/>
  <c r="F50" i="5" s="1"/>
  <c r="G5" i="5"/>
  <c r="G20" i="5" s="1"/>
  <c r="H6" i="6" s="1"/>
  <c r="G6" i="5" l="1"/>
  <c r="BF108" i="11"/>
  <c r="G7" i="5"/>
  <c r="BM108" i="11"/>
  <c r="BM109" i="11" s="1"/>
  <c r="F6" i="5"/>
  <c r="F8" i="5" s="1"/>
  <c r="F13" i="5" s="1"/>
  <c r="F55" i="5" s="1"/>
  <c r="F56" i="5" s="1"/>
  <c r="F57" i="5" s="1"/>
  <c r="BE108" i="11"/>
  <c r="BR108" i="11" s="1"/>
  <c r="BR109" i="11" s="1"/>
  <c r="F34" i="1"/>
  <c r="E34" i="1"/>
  <c r="B27" i="5"/>
  <c r="B39" i="5" s="1"/>
  <c r="I9" i="3"/>
  <c r="F9" i="3"/>
  <c r="G9" i="3" s="1"/>
  <c r="C14" i="5" s="1"/>
  <c r="I15" i="6"/>
  <c r="I16" i="6"/>
  <c r="I21" i="6"/>
  <c r="I19" i="6"/>
  <c r="I20" i="6"/>
  <c r="I22" i="6"/>
  <c r="I23" i="6"/>
  <c r="I14" i="6"/>
  <c r="I18" i="6"/>
  <c r="I17" i="6"/>
  <c r="G43" i="5"/>
  <c r="C15" i="5" l="1"/>
  <c r="C16" i="5" s="1"/>
  <c r="C29" i="5" s="1"/>
  <c r="C30" i="5" s="1"/>
  <c r="T77" i="14"/>
  <c r="T78" i="14" s="1"/>
  <c r="T79" i="14" s="1"/>
  <c r="T80" i="14" s="1"/>
  <c r="T81" i="14" s="1"/>
  <c r="BS108" i="11"/>
  <c r="BS109" i="11" s="1"/>
  <c r="BF109" i="11"/>
  <c r="G8" i="5"/>
  <c r="G13" i="5" s="1"/>
  <c r="G55" i="5" s="1"/>
  <c r="G56" i="5" s="1"/>
  <c r="G57" i="5" s="1"/>
  <c r="BE109" i="11"/>
  <c r="H9" i="3"/>
  <c r="J9" i="3" s="1"/>
  <c r="I10" i="3" s="1"/>
  <c r="E34" i="6"/>
  <c r="F34" i="6" s="1"/>
  <c r="D34" i="6"/>
  <c r="C17" i="5" l="1"/>
  <c r="C35" i="5" s="1"/>
  <c r="C36" i="5" s="1"/>
  <c r="C45" i="5"/>
  <c r="F10" i="3"/>
  <c r="G10" i="3" s="1"/>
  <c r="D14" i="5" s="1"/>
  <c r="C31" i="5"/>
  <c r="C32" i="5" s="1"/>
  <c r="C38" i="5" l="1"/>
  <c r="C22" i="5" s="1"/>
  <c r="C44" i="5" s="1"/>
  <c r="C46" i="5" s="1"/>
  <c r="C52" i="5" s="1"/>
  <c r="C58" i="5" s="1"/>
  <c r="D15" i="5"/>
  <c r="D16" i="5" s="1"/>
  <c r="D29" i="5" s="1"/>
  <c r="D45" i="5" s="1"/>
  <c r="U77" i="14"/>
  <c r="U78" i="14" s="1"/>
  <c r="U79" i="14" s="1"/>
  <c r="U80" i="14" s="1"/>
  <c r="U81" i="14" s="1"/>
  <c r="H10" i="3"/>
  <c r="J10" i="3" s="1"/>
  <c r="D31" i="5" s="1"/>
  <c r="D17" i="5" l="1"/>
  <c r="D35" i="5" s="1"/>
  <c r="D36" i="5" s="1"/>
  <c r="C27" i="5"/>
  <c r="C39" i="5" s="1"/>
  <c r="D30" i="5"/>
  <c r="D32" i="5" s="1"/>
  <c r="I11" i="3"/>
  <c r="F11" i="3"/>
  <c r="G11" i="3" s="1"/>
  <c r="E14" i="5" s="1"/>
  <c r="C59" i="5"/>
  <c r="D7" i="6" s="1"/>
  <c r="D38" i="5" l="1"/>
  <c r="D22" i="5" s="1"/>
  <c r="D27" i="5" s="1"/>
  <c r="D39" i="5" s="1"/>
  <c r="E15" i="5"/>
  <c r="E16" i="5" s="1"/>
  <c r="E29" i="5" s="1"/>
  <c r="E30" i="5" s="1"/>
  <c r="V77" i="14"/>
  <c r="V78" i="14" s="1"/>
  <c r="V79" i="14" s="1"/>
  <c r="V80" i="14" s="1"/>
  <c r="V81" i="14" s="1"/>
  <c r="H11" i="3"/>
  <c r="J11" i="3" s="1"/>
  <c r="I12" i="3" s="1"/>
  <c r="D44" i="5" l="1"/>
  <c r="D46" i="5" s="1"/>
  <c r="D52" i="5" s="1"/>
  <c r="D58" i="5" s="1"/>
  <c r="D59" i="5" s="1"/>
  <c r="E7" i="6" s="1"/>
  <c r="E17" i="5"/>
  <c r="E35" i="5" s="1"/>
  <c r="E36" i="5" s="1"/>
  <c r="E45" i="5"/>
  <c r="F12" i="3"/>
  <c r="G12" i="3" s="1"/>
  <c r="F14" i="5" s="1"/>
  <c r="E31" i="5"/>
  <c r="E32" i="5" s="1"/>
  <c r="E38" i="5" l="1"/>
  <c r="E22" i="5" s="1"/>
  <c r="E27" i="5" s="1"/>
  <c r="E39" i="5" s="1"/>
  <c r="F15" i="5"/>
  <c r="F16" i="5" s="1"/>
  <c r="F17" i="5" s="1"/>
  <c r="F35" i="5" s="1"/>
  <c r="F36" i="5" s="1"/>
  <c r="W77" i="14"/>
  <c r="W78" i="14" s="1"/>
  <c r="W79" i="14" s="1"/>
  <c r="W80" i="14" s="1"/>
  <c r="W81" i="14" s="1"/>
  <c r="H12" i="3"/>
  <c r="J12" i="3" s="1"/>
  <c r="F13" i="3" s="1"/>
  <c r="G13" i="3" s="1"/>
  <c r="G14" i="5" s="1"/>
  <c r="E44" i="5" l="1"/>
  <c r="E46" i="5" s="1"/>
  <c r="E52" i="5" s="1"/>
  <c r="E58" i="5" s="1"/>
  <c r="E59" i="5" s="1"/>
  <c r="F7" i="6" s="1"/>
  <c r="F29" i="5"/>
  <c r="F45" i="5" s="1"/>
  <c r="G15" i="5"/>
  <c r="G16" i="5" s="1"/>
  <c r="G17" i="5" s="1"/>
  <c r="G35" i="5" s="1"/>
  <c r="G36" i="5" s="1"/>
  <c r="X77" i="14"/>
  <c r="X78" i="14" s="1"/>
  <c r="X79" i="14" s="1"/>
  <c r="X80" i="14" s="1"/>
  <c r="X81" i="14" s="1"/>
  <c r="F31" i="5"/>
  <c r="I13" i="3"/>
  <c r="H13" i="3" s="1"/>
  <c r="J13" i="3" s="1"/>
  <c r="G31" i="5" s="1"/>
  <c r="G29" i="5" l="1"/>
  <c r="G30" i="5" s="1"/>
  <c r="G32" i="5" s="1"/>
  <c r="G38" i="5" s="1"/>
  <c r="G22" i="5" s="1"/>
  <c r="F30" i="5"/>
  <c r="F32" i="5" s="1"/>
  <c r="F38" i="5" s="1"/>
  <c r="F22" i="5" s="1"/>
  <c r="F44" i="5" s="1"/>
  <c r="F46" i="5" s="1"/>
  <c r="F52" i="5" s="1"/>
  <c r="F58" i="5" s="1"/>
  <c r="F59" i="5" s="1"/>
  <c r="G7" i="6" s="1"/>
  <c r="G45" i="5" l="1"/>
  <c r="F27" i="5"/>
  <c r="F39" i="5" s="1"/>
  <c r="G27" i="5"/>
  <c r="G39" i="5" s="1"/>
  <c r="G44" i="5"/>
  <c r="G46" i="5" l="1"/>
  <c r="G52" i="5" s="1"/>
  <c r="G58" i="5" s="1"/>
  <c r="G59" i="5" s="1"/>
  <c r="H7" i="6" s="1"/>
  <c r="D10" i="6" s="1"/>
  <c r="C8" i="6" l="1"/>
  <c r="E8" i="6"/>
  <c r="D8" i="6"/>
  <c r="F8" i="6"/>
  <c r="G8" i="6"/>
  <c r="H8" i="6"/>
  <c r="D9" i="6"/>
  <c r="H10" i="6" l="1"/>
  <c r="BF7" i="11" l="1"/>
  <c r="BF22" i="11" l="1"/>
  <c r="BF16" i="11"/>
  <c r="BF25" i="11"/>
  <c r="BF23" i="11"/>
  <c r="BF24" i="11"/>
  <c r="BF2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C4" authorId="0" shapeId="0" xr:uid="{40712115-8BC7-4A25-92C4-F87761424A15}">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4" authorId="0" shapeId="0" xr:uid="{6E85AB45-192F-48F0-836A-911F0B1DB4CA}">
      <text>
        <r>
          <rPr>
            <b/>
            <sz val="9"/>
            <color indexed="81"/>
            <rFont val="Tahoma"/>
            <family val="2"/>
          </rPr>
          <t>DARIO MAURICIO REYES GIRALDO:</t>
        </r>
        <r>
          <rPr>
            <sz val="9"/>
            <color indexed="81"/>
            <rFont val="Tahoma"/>
            <family val="2"/>
          </rPr>
          <t xml:space="preserve">
Digita el precio UNITARIO, sin IVA, de cada pdto/servicio.</t>
        </r>
      </text>
    </comment>
    <comment ref="G4" authorId="0" shapeId="0" xr:uid="{48C64E35-292E-46DD-8ACE-25FD96042F1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D7B2EE58-A20B-428C-A8B0-ED9D38B0BC5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9300D6A3-EF1A-4237-9F21-965F509E9BE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4DA84458-13DC-41AC-9705-CDCD3BB911A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xr:uid="{4F10B7F5-5385-4848-85FE-E4AB8D01877E}">
      <text>
        <r>
          <rPr>
            <b/>
            <sz val="9"/>
            <color indexed="81"/>
            <rFont val="Tahoma"/>
            <family val="2"/>
          </rPr>
          <t>DARIO MAURICIO REYES GIRALDO:</t>
        </r>
        <r>
          <rPr>
            <sz val="9"/>
            <color indexed="81"/>
            <rFont val="Tahoma"/>
            <family val="2"/>
          </rPr>
          <t xml:space="preserve">
Digita el nombre de cada línea de producto o servicio a vender</t>
        </r>
      </text>
    </comment>
    <comment ref="C5" authorId="0" shapeId="0" xr:uid="{DEEC80F0-46A5-43A9-A2AF-3F3A5BC4C31F}">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5" authorId="0" shapeId="0" xr:uid="{DDF30DA4-99BD-403C-9049-3E04CA66B1C2}">
      <text>
        <r>
          <rPr>
            <b/>
            <sz val="9"/>
            <color indexed="81"/>
            <rFont val="Tahoma"/>
            <family val="2"/>
          </rPr>
          <t>DARIO MAURICIO REYES GIRALDO:</t>
        </r>
        <r>
          <rPr>
            <sz val="9"/>
            <color indexed="81"/>
            <rFont val="Tahoma"/>
            <family val="2"/>
          </rPr>
          <t xml:space="preserve">
Digita el precio UNITARIO, sin IVA, de cada pdto/servicio.</t>
        </r>
      </text>
    </comment>
    <comment ref="G5" authorId="0" shapeId="0" xr:uid="{265FFC97-74A3-4CAF-A28E-019E7D1A83C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3973DAC7-2AB6-4172-ACE9-ABAB99BBBAE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56314332-059D-4F90-A34D-6EC676BE98B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F2CF2E62-D40C-4BC0-BE7F-04713D5C87F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5" authorId="0" shapeId="0" xr:uid="{9ECBE8D3-2FF2-47D8-895C-485E0AE38E5D}">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<sst xmlns="http://schemas.openxmlformats.org/spreadsheetml/2006/main" count="1829" uniqueCount="834">
  <si>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</si>
  <si>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</si>
  <si>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</si>
  <si>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</si>
  <si>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</si>
  <si>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</si>
  <si>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</si>
  <si>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</si>
  <si>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</si>
  <si>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</si>
  <si>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</si>
  <si>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</si>
  <si>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</si>
  <si>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</si>
  <si>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</si>
  <si>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</si>
  <si>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</si>
  <si>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</si>
  <si>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Inscripciones a Ligas y Torneo eSports</t>
  </si>
  <si>
    <t>AÑO</t>
  </si>
  <si>
    <t>Tickes de ingreso</t>
  </si>
  <si>
    <t>INFLACIÓN</t>
  </si>
  <si>
    <t>Otros ingresos (alimientos y bebidas)</t>
  </si>
  <si>
    <t>IPP</t>
  </si>
  <si>
    <t>Venta de espacios publicitarios</t>
  </si>
  <si>
    <t>Perifericos y Merchandising</t>
  </si>
  <si>
    <t>TASA IMPTO RENTA</t>
  </si>
  <si>
    <t>Cursos y Formación</t>
  </si>
  <si>
    <t>TOTAL</t>
  </si>
  <si>
    <t>COSTOS DE CADA PRODUCTO O SERVICIO</t>
  </si>
  <si>
    <t>NOMBRE DEL PRODUCTO SERVICIO</t>
  </si>
  <si>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</si>
  <si>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</si>
  <si>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</si>
  <si>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</si>
  <si>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</si>
  <si>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</si>
  <si>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</si>
  <si>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</si>
  <si>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</si>
  <si>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</si>
  <si>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</si>
  <si>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</si>
  <si>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</si>
  <si>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</si>
  <si>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</si>
  <si>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</si>
  <si>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</si>
  <si>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</si>
  <si>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</si>
  <si>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</si>
  <si>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</si>
  <si>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</si>
  <si>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</si>
  <si>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</si>
  <si>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</si>
  <si>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</si>
  <si>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</si>
  <si>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</si>
  <si>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</si>
  <si>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</si>
  <si>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</si>
  <si>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</si>
  <si>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</si>
  <si>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</si>
  <si>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</si>
  <si>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</si>
  <si>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</si>
  <si>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</si>
  <si>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</si>
  <si>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</si>
  <si>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</si>
  <si>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</si>
  <si>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</si>
  <si>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</si>
  <si>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</si>
  <si>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</si>
  <si>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</si>
  <si>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</si>
  <si>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</si>
  <si>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</si>
  <si>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</si>
  <si>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</si>
  <si>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</si>
  <si>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</si>
  <si>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</si>
  <si>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</si>
  <si>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</si>
  <si>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</si>
  <si>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</si>
  <si>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</si>
  <si>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</si>
  <si>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</si>
  <si>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</si>
  <si>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</si>
  <si>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</si>
  <si>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</si>
  <si>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</si>
  <si>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</si>
  <si>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</si>
  <si>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</si>
  <si>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</si>
  <si>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</si>
  <si>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</si>
  <si>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</si>
  <si>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</si>
  <si>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</si>
  <si>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</si>
  <si>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</si>
  <si>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</si>
  <si>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</si>
  <si>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</si>
  <si>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</si>
  <si>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</si>
  <si>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</si>
  <si>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</si>
  <si>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</si>
  <si>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</si>
  <si>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</si>
  <si>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</si>
  <si>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</si>
  <si>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</si>
  <si>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</si>
  <si>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</si>
  <si>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</si>
  <si>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</si>
  <si>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</si>
  <si>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</si>
  <si>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</si>
  <si>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</si>
  <si>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</si>
  <si>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</si>
  <si>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</si>
  <si>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</si>
  <si>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</si>
  <si>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 xml:space="preserve">Tasa mínima de rentabilidad esperada por los emprendedores (TMR):  </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</si>
  <si>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</si>
  <si>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</si>
  <si>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</si>
  <si>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</si>
  <si>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</si>
  <si>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</si>
  <si>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</si>
  <si>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</si>
  <si>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</si>
  <si>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</si>
  <si>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</si>
  <si>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</si>
  <si>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</si>
  <si>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</si>
  <si>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</si>
  <si>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</si>
  <si>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</si>
  <si>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</si>
  <si>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</si>
  <si>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</si>
  <si>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</si>
  <si>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</si>
  <si>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TORNEOS</t>
  </si>
  <si>
    <t>ESTRUCTURA DE INGRESOS Y COSTOS CLUBS eSports</t>
  </si>
  <si>
    <t>1er</t>
  </si>
  <si>
    <t>2do</t>
  </si>
  <si>
    <t>LIGA 1ER SEMESTRE</t>
  </si>
  <si>
    <t>3er</t>
  </si>
  <si>
    <t>4to</t>
  </si>
  <si>
    <t>LIGA 2DO SEMESTRE</t>
  </si>
  <si>
    <t>5to</t>
  </si>
  <si>
    <t>6to</t>
  </si>
  <si>
    <t>ENE</t>
  </si>
  <si>
    <t>FEB</t>
  </si>
  <si>
    <t>MAR</t>
  </si>
  <si>
    <t>ABR</t>
  </si>
  <si>
    <t>MAY</t>
  </si>
  <si>
    <t>JUN</t>
  </si>
  <si>
    <t>JUL</t>
  </si>
  <si>
    <t>AGO</t>
  </si>
  <si>
    <t>SEP</t>
  </si>
  <si>
    <t>OCT</t>
  </si>
  <si>
    <t>NOV</t>
  </si>
  <si>
    <t>DIC</t>
  </si>
  <si>
    <t>SALARIO</t>
  </si>
  <si>
    <t>SALRIO + CARGA PRESTACIONAL</t>
  </si>
  <si>
    <t>PERSONAS</t>
  </si>
  <si>
    <t>MES</t>
  </si>
  <si>
    <t>1er mes</t>
  </si>
  <si>
    <t>2do mes</t>
  </si>
  <si>
    <t>3er mes</t>
  </si>
  <si>
    <t>4to mes</t>
  </si>
  <si>
    <t>5to mes</t>
  </si>
  <si>
    <t>6to mes</t>
  </si>
  <si>
    <t>7mo mes</t>
  </si>
  <si>
    <t>8vo mes</t>
  </si>
  <si>
    <t>9no mes</t>
  </si>
  <si>
    <t>10mo mes</t>
  </si>
  <si>
    <t>11mo mes</t>
  </si>
  <si>
    <t>12mo mes</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</si>
  <si>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</si>
  <si>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</si>
  <si>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</si>
  <si>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</si>
  <si>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</si>
  <si>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</si>
  <si>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</si>
  <si>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</si>
  <si>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</si>
  <si>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</si>
  <si>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</si>
  <si>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</si>
  <si>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</si>
  <si>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</si>
  <si>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</si>
  <si>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</si>
  <si>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</si>
  <si>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</si>
  <si>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</si>
  <si>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</si>
  <si>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</si>
  <si>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</si>
  <si>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</si>
  <si>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</si>
  <si>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</si>
  <si>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</si>
  <si>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</si>
  <si>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</si>
  <si>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</si>
  <si>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</si>
  <si>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</si>
  <si>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</si>
  <si>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</si>
  <si>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</si>
  <si>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</si>
  <si>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</si>
  <si>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</si>
  <si>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</si>
  <si>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</si>
  <si>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</si>
  <si>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</si>
  <si>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</si>
  <si>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</si>
  <si>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</si>
  <si>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</si>
  <si>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</si>
  <si>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</si>
  <si>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</si>
  <si>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F1</t>
  </si>
  <si>
    <t>F2</t>
  </si>
  <si>
    <t>F3</t>
  </si>
  <si>
    <t>F4</t>
  </si>
  <si>
    <t>F5</t>
  </si>
  <si>
    <t>F6</t>
  </si>
  <si>
    <t>F7</t>
  </si>
  <si>
    <t>F8</t>
  </si>
  <si>
    <t>F9</t>
  </si>
  <si>
    <t>F10</t>
  </si>
  <si>
    <t>F11</t>
  </si>
  <si>
    <t>F12</t>
  </si>
  <si>
    <t>F13</t>
  </si>
  <si>
    <t>F14</t>
  </si>
  <si>
    <t>F15</t>
  </si>
  <si>
    <t>GASTOS</t>
  </si>
  <si>
    <t>VALOR MES</t>
  </si>
  <si>
    <t>Arriendo</t>
  </si>
  <si>
    <t>Servicios</t>
  </si>
  <si>
    <t>Inscripciones</t>
  </si>
  <si>
    <t>Patrocinio</t>
  </si>
  <si>
    <t>Canon</t>
  </si>
  <si>
    <t>Equipos</t>
  </si>
  <si>
    <t>Jugadores</t>
  </si>
  <si>
    <t>PATROCINIO</t>
  </si>
  <si>
    <t>MARCAS</t>
  </si>
  <si>
    <t>Encuentros</t>
  </si>
  <si>
    <t>Encuentros Viernes</t>
  </si>
  <si>
    <t>Encuentros Sádabo</t>
  </si>
  <si>
    <t>Encuentros Domingo</t>
  </si>
  <si>
    <t>Jugadores Viernes</t>
  </si>
  <si>
    <t>Jugadores Sábado</t>
  </si>
  <si>
    <t>Jugadores Domingo</t>
  </si>
  <si>
    <t>EQUIPOS DE COMPUTO</t>
  </si>
  <si>
    <t>Viernes</t>
  </si>
  <si>
    <t>3:30 - 5:30</t>
  </si>
  <si>
    <t>6:00 - 8:00</t>
  </si>
  <si>
    <t>Sábado</t>
  </si>
  <si>
    <t>9:30 - 11:30</t>
  </si>
  <si>
    <t>1:00 - 3:00</t>
  </si>
  <si>
    <t>4:00 - 6:00</t>
  </si>
  <si>
    <t>7:00 - 9:00</t>
  </si>
  <si>
    <t>Domingo</t>
  </si>
  <si>
    <t>1:30 - 3:30</t>
  </si>
  <si>
    <t>AÑO 1</t>
  </si>
  <si>
    <t>INSCRIPCIONES</t>
  </si>
  <si>
    <t>Comisiones (%)</t>
  </si>
  <si>
    <t>TARIFA</t>
  </si>
  <si>
    <t>Comisiones ($)</t>
  </si>
  <si>
    <t>TOTAL MES</t>
  </si>
  <si>
    <t>TOTAL AÑO</t>
  </si>
  <si>
    <t>Costo Unitario Año</t>
  </si>
  <si>
    <t>TICKETS</t>
  </si>
  <si>
    <t>Personas</t>
  </si>
  <si>
    <t>Salrio</t>
  </si>
  <si>
    <t>OTROS INGRESOS (ALIMIENTOS Y BEBIDAS)</t>
  </si>
  <si>
    <t>CONSUMO PROMEDIO</t>
  </si>
  <si>
    <t>MARGEN</t>
  </si>
  <si>
    <t>INGRESO UNITARIO</t>
  </si>
  <si>
    <t>ESPACIOS PUBLICITARIOS</t>
  </si>
  <si>
    <t>TARIFA X MARCA</t>
  </si>
  <si>
    <t>PERIFERICOS, MERCHANDISING</t>
  </si>
  <si>
    <t>VENTA PROMEDIO MES</t>
  </si>
  <si>
    <t>CURSOS Y FORMACIÓN</t>
  </si>
  <si>
    <t>SERVICIOS PROMEDIO MES</t>
  </si>
  <si>
    <t>G. Comercial Canal 1</t>
  </si>
  <si>
    <t>Ventas</t>
  </si>
  <si>
    <t>G. Comercial Canal 2</t>
  </si>
  <si>
    <t>Abogado</t>
  </si>
  <si>
    <t>Adm</t>
  </si>
  <si>
    <t>Profesional TI</t>
  </si>
  <si>
    <t>Servicios Generales</t>
  </si>
  <si>
    <t>Publicista</t>
  </si>
  <si>
    <t>Prod</t>
  </si>
  <si>
    <t>Marketing Digital</t>
  </si>
  <si>
    <t>Formador y Medios Audiovisuales</t>
  </si>
  <si>
    <t>Marketing</t>
  </si>
  <si>
    <t>Caster</t>
  </si>
  <si>
    <t>3er Puesto</t>
  </si>
  <si>
    <t>2do Puesto</t>
  </si>
  <si>
    <t>1Er Puesto</t>
  </si>
  <si>
    <t>4to Puesto</t>
  </si>
  <si>
    <t>GRUPOS</t>
  </si>
  <si>
    <t>OCTAVOS</t>
  </si>
  <si>
    <t>CUARTOS</t>
  </si>
  <si>
    <t>SEMIFINAL</t>
  </si>
  <si>
    <t>FINAL</t>
  </si>
  <si>
    <t>GRUPO A</t>
  </si>
  <si>
    <t>GRUPO B</t>
  </si>
  <si>
    <t>PARTIDOS</t>
  </si>
  <si>
    <t>Asistentes</t>
  </si>
  <si>
    <t>TORNEO</t>
  </si>
  <si>
    <t>TICKES</t>
  </si>
  <si>
    <t>CONSUMO</t>
  </si>
  <si>
    <t>1er quincena del mes</t>
  </si>
  <si>
    <t>Fase de Grupos - A1</t>
  </si>
  <si>
    <t>1er Sábado</t>
  </si>
  <si>
    <t>Fase de Grupos - A2</t>
  </si>
  <si>
    <t>Fase de Grupos - B1</t>
  </si>
  <si>
    <t>Fase de Grupos - B2</t>
  </si>
  <si>
    <t>Octavos A</t>
  </si>
  <si>
    <t>1er Domingo</t>
  </si>
  <si>
    <t>Octavos B</t>
  </si>
  <si>
    <t>Cuartos A - B</t>
  </si>
  <si>
    <t>N/A</t>
  </si>
  <si>
    <t>Semifinal</t>
  </si>
  <si>
    <t>2do Sábado</t>
  </si>
  <si>
    <t>Final</t>
  </si>
  <si>
    <t>Evento Exibición</t>
  </si>
  <si>
    <t>TOTAL TORNEOS</t>
  </si>
  <si>
    <t>2da quincena del mes</t>
  </si>
  <si>
    <t>Asuntos Legales</t>
  </si>
  <si>
    <t>HSEQ</t>
  </si>
  <si>
    <t>Publicidad</t>
  </si>
  <si>
    <t>Gestión Comercial</t>
  </si>
  <si>
    <t>RRHH</t>
  </si>
  <si>
    <t>Soporte Tecnológico</t>
  </si>
  <si>
    <t>Operaciones</t>
  </si>
  <si>
    <t>Dirección Administrativa</t>
  </si>
  <si>
    <t>DIRECCIÓN EJECUTIVA Y FINANCIERA</t>
  </si>
  <si>
    <t>Dirección
Marketing y Gestión comercial</t>
  </si>
  <si>
    <t>Dirección
Asuntos legales y HSEQ</t>
  </si>
  <si>
    <t>Nombre del Producto o Servicio</t>
  </si>
  <si>
    <t>Cantidades</t>
  </si>
  <si>
    <t>Precio de Venta Unitario sin IVA</t>
  </si>
  <si>
    <t>Ingresos Totales</t>
  </si>
  <si>
    <t>$264,000,000</t>
  </si>
  <si>
    <t>$52,800,000</t>
  </si>
  <si>
    <t>$27,720,000</t>
  </si>
  <si>
    <t>$20,000,000</t>
  </si>
  <si>
    <t>$240,000,000</t>
  </si>
  <si>
    <t>$3,000,000</t>
  </si>
  <si>
    <t>$36,000,000</t>
  </si>
  <si>
    <t>$10,000,000</t>
  </si>
  <si>
    <t>$120,000,000</t>
  </si>
  <si>
    <t>Total</t>
  </si>
  <si>
    <t>$740,520,000</t>
  </si>
  <si>
    <t>Margen de otros ingresos
(alimentos y bebidas)</t>
  </si>
  <si>
    <t>Venta de espacios publicitarios x mes</t>
  </si>
  <si>
    <t>Periféricos y Merchandising x mes</t>
  </si>
  <si>
    <t>Cursos y Formación x mes</t>
  </si>
  <si>
    <t>COSTO UNITARIO DEL PDTO O SERVICIO</t>
  </si>
  <si>
    <t>Categoría</t>
  </si>
  <si>
    <t>Valor</t>
  </si>
  <si>
    <t>Terrenos</t>
  </si>
  <si>
    <t>$44,000,000</t>
  </si>
  <si>
    <t>Propiedad, Planta y Equipo</t>
  </si>
  <si>
    <t>Muebles y Enseres</t>
  </si>
  <si>
    <t>$33,000,000</t>
  </si>
  <si>
    <t>Equipo de Oficina</t>
  </si>
  <si>
    <t>$35,000,000</t>
  </si>
  <si>
    <t>Total Inversiones</t>
  </si>
  <si>
    <t>$122,000,000</t>
  </si>
  <si>
    <t>(N.ADM) Gerente Operaciones</t>
  </si>
  <si>
    <t>(N. P) Coordinador / Caster</t>
  </si>
  <si>
    <t>Ventas ecommerce</t>
  </si>
  <si>
    <t>Consumo (Alimentos Bebidas)</t>
  </si>
  <si>
    <t>Boletería</t>
  </si>
  <si>
    <t>Inscripciones Liga 1er slip</t>
  </si>
  <si>
    <t>Inscripciones Torneo</t>
  </si>
  <si>
    <t>Venta espacios publicitarios</t>
  </si>
  <si>
    <t>Patrocinios y espacios publicitarios</t>
  </si>
  <si>
    <t>TARIFAS</t>
  </si>
  <si>
    <t>Marketing &amp; Publicidad</t>
  </si>
  <si>
    <t>Hoting y plataforma Web Formación eSports</t>
  </si>
  <si>
    <t>pólizas de seguro</t>
  </si>
  <si>
    <t>Servicios de seguridad</t>
  </si>
  <si>
    <t>Servicios de aseo</t>
  </si>
  <si>
    <t>Papelería</t>
  </si>
  <si>
    <t>Telefonía Celular</t>
  </si>
  <si>
    <t>Servicios Públicos</t>
  </si>
  <si>
    <t>Costos fijos</t>
  </si>
  <si>
    <t>.</t>
  </si>
  <si>
    <t>(N. V) Jugadores</t>
  </si>
  <si>
    <t>PRODUCCIÓN</t>
  </si>
  <si>
    <t>Soporte TI</t>
  </si>
  <si>
    <t>Comercial</t>
  </si>
  <si>
    <t>Recursos Humanos</t>
  </si>
  <si>
    <t>ADM</t>
  </si>
  <si>
    <t>Calidad y HSEQ</t>
  </si>
  <si>
    <t>Dirección Ejecutiva y Financiera</t>
  </si>
  <si>
    <t>Salarios</t>
  </si>
  <si>
    <t>Nomina</t>
  </si>
  <si>
    <t>Premiación (%)</t>
  </si>
  <si>
    <t>Costos de ventas</t>
  </si>
  <si>
    <t>Otros ingresos</t>
  </si>
  <si>
    <t>Patrocinio por marca</t>
  </si>
  <si>
    <t>Marcas patrocinadoras</t>
  </si>
  <si>
    <t>Ingreso por patrocinios</t>
  </si>
  <si>
    <t>Arreglos locativos</t>
  </si>
  <si>
    <t>MARCHA</t>
  </si>
  <si>
    <t>Televisor</t>
  </si>
  <si>
    <t>M&amp;E</t>
  </si>
  <si>
    <t>Mobiliario</t>
  </si>
  <si>
    <t>Silla Gamer</t>
  </si>
  <si>
    <t>PPyE</t>
  </si>
  <si>
    <t>Monitor</t>
  </si>
  <si>
    <t>PC Gamer</t>
  </si>
  <si>
    <t>Valor Unitario</t>
  </si>
  <si>
    <t>Mes 60</t>
  </si>
  <si>
    <t>Mes 59</t>
  </si>
  <si>
    <t>Mes 58</t>
  </si>
  <si>
    <t>Mes 57</t>
  </si>
  <si>
    <t>Mes 56</t>
  </si>
  <si>
    <t>Mes 55</t>
  </si>
  <si>
    <t>Mes 54</t>
  </si>
  <si>
    <t>Mes 53</t>
  </si>
  <si>
    <t>Mes 52</t>
  </si>
  <si>
    <t>Mes 51</t>
  </si>
  <si>
    <t>Mes 50</t>
  </si>
  <si>
    <t>Mes 49</t>
  </si>
  <si>
    <t>Mes 48</t>
  </si>
  <si>
    <t>Mes 47</t>
  </si>
  <si>
    <t>Mes 46</t>
  </si>
  <si>
    <t>Mes 45</t>
  </si>
  <si>
    <t>Mes 44</t>
  </si>
  <si>
    <t>Mes 43</t>
  </si>
  <si>
    <t>Mes 42</t>
  </si>
  <si>
    <t>Mes 41</t>
  </si>
  <si>
    <t>Mes 40</t>
  </si>
  <si>
    <t>Mes 39</t>
  </si>
  <si>
    <t>Mes 38</t>
  </si>
  <si>
    <t>Mes 37</t>
  </si>
  <si>
    <t>Mes 36</t>
  </si>
  <si>
    <t>Mes 35</t>
  </si>
  <si>
    <t>Mes 34</t>
  </si>
  <si>
    <t>Mes 33</t>
  </si>
  <si>
    <t>Mes 32</t>
  </si>
  <si>
    <t>Mes 31</t>
  </si>
  <si>
    <t>Mes 30</t>
  </si>
  <si>
    <t>Mes 29</t>
  </si>
  <si>
    <t>Mes 28</t>
  </si>
  <si>
    <t>Mes 27</t>
  </si>
  <si>
    <t>Mes 26</t>
  </si>
  <si>
    <t>Mes 25</t>
  </si>
  <si>
    <t>Mes 24</t>
  </si>
  <si>
    <t>Mes 23</t>
  </si>
  <si>
    <t>Mes 22</t>
  </si>
  <si>
    <t>Mes 21</t>
  </si>
  <si>
    <t>Mes 20</t>
  </si>
  <si>
    <t>Mes 19</t>
  </si>
  <si>
    <t>AÑO 6</t>
  </si>
  <si>
    <t>Mes 12</t>
  </si>
  <si>
    <t>Mes 11</t>
  </si>
  <si>
    <t>Mes 10</t>
  </si>
  <si>
    <t>Mes 9</t>
  </si>
  <si>
    <t>Mes 8</t>
  </si>
  <si>
    <t>Mes 7</t>
  </si>
  <si>
    <t>Mes 6</t>
  </si>
  <si>
    <t>Mes 5</t>
  </si>
  <si>
    <t>Mes 4</t>
  </si>
  <si>
    <t>Mes 3</t>
  </si>
  <si>
    <t>Mes 2</t>
  </si>
  <si>
    <t>Mes 1</t>
  </si>
  <si>
    <t>Mes 0</t>
  </si>
  <si>
    <t>Tarifa Ligas</t>
  </si>
  <si>
    <t>Tarifa Torneos</t>
  </si>
  <si>
    <t>Ingreso 1er Torneo</t>
  </si>
  <si>
    <t>Premiación 1er Torneo</t>
  </si>
  <si>
    <t>4to TORNEO</t>
  </si>
  <si>
    <t>EQUIPOS DE COMPUTO LIGA</t>
  </si>
  <si>
    <t>3er TORNEO</t>
  </si>
  <si>
    <t>2do TORNEO</t>
  </si>
  <si>
    <t>1er TORNEO</t>
  </si>
  <si>
    <t>Ingresos 1er Slip</t>
  </si>
  <si>
    <t>Premiación 1er Slip</t>
  </si>
  <si>
    <t>PC</t>
  </si>
  <si>
    <t>CRECIMIENTOS</t>
  </si>
  <si>
    <t>Utilidad Bruta</t>
  </si>
  <si>
    <t>Propiedad Planta y Equipo</t>
  </si>
  <si>
    <t>Puesta en marcha</t>
  </si>
  <si>
    <t>Equipo de oficina</t>
  </si>
  <si>
    <t>Equipo de transporte</t>
  </si>
  <si>
    <t>Franquicias</t>
  </si>
  <si>
    <t>Patentes /inv en intangibles</t>
  </si>
  <si>
    <t>(10+10)</t>
  </si>
  <si>
    <t>Total Unidades</t>
  </si>
  <si>
    <t>Depreciaciones</t>
  </si>
  <si>
    <t>UTILIDAD OPERATIVA (EBIT)</t>
  </si>
  <si>
    <t>EBITDA</t>
  </si>
  <si>
    <t>Margen Bruto</t>
  </si>
  <si>
    <t>Margen operativo</t>
  </si>
  <si>
    <t>Margen Neto</t>
  </si>
  <si>
    <t>Contribución Marginal</t>
  </si>
  <si>
    <t>Servicio al cliente</t>
  </si>
  <si>
    <t>Otros Gastos</t>
  </si>
  <si>
    <t>Margen (%)</t>
  </si>
  <si>
    <t>Margen operativo (EBIT)</t>
  </si>
  <si>
    <r>
      <t xml:space="preserve">COSTO UNITARIO DEL PDTO O </t>
    </r>
    <r>
      <rPr>
        <b/>
        <u/>
        <sz val="12"/>
        <color theme="1"/>
        <rFont val="Times New Roman"/>
        <family val="1"/>
      </rPr>
      <t>SERVICIO</t>
    </r>
  </si>
  <si>
    <t>Patrocinios a jugadores y Premiaciones</t>
  </si>
  <si>
    <t>PÓLIZAS</t>
  </si>
  <si>
    <t>OUTSOURCING</t>
  </si>
  <si>
    <t>Dirección Asuntos legales y HSEQ</t>
  </si>
  <si>
    <t>Gestión Publicitaria</t>
  </si>
  <si>
    <t>Empleado Directo</t>
  </si>
  <si>
    <t>Caster &amp; Formador</t>
  </si>
  <si>
    <t>Caster &amp; Producción Medios Audiovisuales</t>
  </si>
  <si>
    <t>INGRESOS ANUALES</t>
  </si>
  <si>
    <t>TOTAL EMPLEADOS DIRECTOS</t>
  </si>
  <si>
    <t>Cordinación de Calidad y HSEQ</t>
  </si>
  <si>
    <t>AÑOS DE OPERACIÓN</t>
  </si>
  <si>
    <t>Descripción de la categoría</t>
  </si>
  <si>
    <t>Juegos más importantes del género</t>
  </si>
  <si>
    <t>League of Legends, Dota 2</t>
  </si>
  <si>
    <t>Counter-Strike: Global Offensive, Call of Duty</t>
  </si>
  <si>
    <t>FIFA, NBA 2K</t>
  </si>
  <si>
    <t>Gran Turismo, Forza Motorsport</t>
  </si>
  <si>
    <t>StarCraft II, Age of Empires</t>
  </si>
  <si>
    <t>Categoría de la competición</t>
  </si>
  <si>
    <t>Mortal Kombat, Street Fighter, Tekken, KOF</t>
  </si>
  <si>
    <r>
      <t xml:space="preserve">First-Person Shooter (FPS)
</t>
    </r>
    <r>
      <rPr>
        <sz val="11"/>
        <color theme="1"/>
        <rFont val="Times New Roman"/>
        <family val="1"/>
      </rPr>
      <t>Juegos de disparos en primera persona donde los jugadores combaten en distintos escenarios.</t>
    </r>
  </si>
  <si>
    <r>
      <t xml:space="preserve">Multiplayer Online Battle Arena (MOBA)
</t>
    </r>
    <r>
      <rPr>
        <sz val="11"/>
        <color theme="1"/>
        <rFont val="Times New Roman"/>
        <family val="1"/>
      </rPr>
      <t>Juegos de estrategia por equipos de 5 jugadores. Cada equipo compite en un campo de batalla para destruir la base del equipo contrario.</t>
    </r>
  </si>
  <si>
    <r>
      <t xml:space="preserve">Hero Shooter
</t>
    </r>
    <r>
      <rPr>
        <sz val="11"/>
        <color theme="1"/>
        <rFont val="Times New Roman"/>
        <family val="1"/>
      </rPr>
      <t>Subgénero de los FPS que se centra en personajes (héroes) con habilidades únicas y roles específicos dentro del equipo.</t>
    </r>
  </si>
  <si>
    <r>
      <t xml:space="preserve">Peleas
</t>
    </r>
    <r>
      <rPr>
        <sz val="11"/>
        <color theme="1"/>
        <rFont val="Times New Roman"/>
        <family val="1"/>
      </rPr>
      <t>Juegos de combate directos donde los jugadores se enfrentan uno a uno o en equipos.</t>
    </r>
  </si>
  <si>
    <t>Overwatch 2, Valorant, Marvel Rivals.</t>
  </si>
  <si>
    <r>
      <t xml:space="preserve">Juegos Deportivos
</t>
    </r>
    <r>
      <rPr>
        <sz val="11"/>
        <color theme="1"/>
        <rFont val="Times New Roman"/>
        <family val="1"/>
      </rPr>
      <t>Simulaciones de deportes reales donde los jugadores compiten en partidos o torneos deportivos.</t>
    </r>
  </si>
  <si>
    <r>
      <t xml:space="preserve">Simulación (Carreras)
</t>
    </r>
    <r>
      <rPr>
        <sz val="11"/>
        <color theme="1"/>
        <rFont val="Times New Roman"/>
        <family val="1"/>
      </rPr>
      <t>Juegos que simulan carreras de vehículos en diversos circuitos.</t>
    </r>
  </si>
  <si>
    <r>
      <t xml:space="preserve">Estrategia en Tiempo Real (RTS)
</t>
    </r>
    <r>
      <rPr>
        <sz val="11"/>
        <color theme="1"/>
        <rFont val="Times New Roman"/>
        <family val="1"/>
      </rPr>
      <t>Juegos de estrategia donde los jugadores manejan recursos y tropas en tiempo real para vencer al oponente.</t>
    </r>
  </si>
  <si>
    <t>Característica</t>
  </si>
  <si>
    <t>Descripción</t>
  </si>
  <si>
    <t>Número de Equipos</t>
  </si>
  <si>
    <t>Entre 8 y 16 equipos</t>
  </si>
  <si>
    <t>Jugadores por Equipo</t>
  </si>
  <si>
    <t>5 jugadores</t>
  </si>
  <si>
    <t>Estructura de los Brackets</t>
  </si>
  <si>
    <t>Eliminación directa o doble eliminación, con encuentros de "mejor de tres" (Bo3) o "mejor de cinco" (Bo5)</t>
  </si>
  <si>
    <t>Cantidad de Encuentros</t>
  </si>
  <si>
    <t>Objetivo de la Competición</t>
  </si>
  <si>
    <t>Reglas Generales</t>
  </si>
  <si>
    <t>Selección de héroes mediante sistema de "ban/pick", reglas de conducta, uso de exploits, configuración de servidores</t>
  </si>
  <si>
    <t>Premiación</t>
  </si>
  <si>
    <t>Premios en efectivo para el equipo ganador</t>
  </si>
  <si>
    <t>Fases del Torneo</t>
  </si>
  <si>
    <r>
      <rPr>
        <b/>
        <sz val="11"/>
        <color theme="1"/>
        <rFont val="Calibri"/>
        <family val="2"/>
        <scheme val="minor"/>
      </rPr>
      <t>Play-In</t>
    </r>
    <r>
      <rPr>
        <sz val="11"/>
        <color theme="1"/>
        <rFont val="Calibri"/>
        <family val="2"/>
        <scheme val="minor"/>
      </rPr>
      <t xml:space="preserve"> (Clasificaciones) modalidad virtual y/o Presencial
</t>
    </r>
    <r>
      <rPr>
        <b/>
        <sz val="11"/>
        <color theme="1"/>
        <rFont val="Calibri"/>
        <family val="2"/>
        <scheme val="minor"/>
      </rPr>
      <t>Play-Offs</t>
    </r>
    <r>
      <rPr>
        <sz val="11"/>
        <color theme="1"/>
        <rFont val="Calibri"/>
        <family val="2"/>
        <scheme val="minor"/>
      </rPr>
      <t xml:space="preserve"> (Semifinales y Final) Modalidad presencial</t>
    </r>
  </si>
  <si>
    <t>Transmición de los encuentros</t>
  </si>
  <si>
    <t>Youtube / Twitch</t>
  </si>
  <si>
    <t>Entre 3 y 5 encuentros, dependiendo del rendimiento y la estructura del torneo.</t>
  </si>
  <si>
    <t>Destruir la base principal del equipo contrario (Ancient en Dota 2, Nexus en League of Legends).</t>
  </si>
  <si>
    <t>Juegos en Competición MOBA</t>
  </si>
  <si>
    <t>Por supuesto. Una tabla comparativa es una excelente manera de presentar las diferencias entre los formatos de torneos y ligas de manera clara y concisa. Aquí tienes una propuesta de tabla que podrías incluir en tu tesis:</t>
  </si>
  <si>
    <t>Duración</t>
  </si>
  <si>
    <t>Corta (días o semanas)</t>
  </si>
  <si>
    <t>Estructura</t>
  </si>
  <si>
    <t>Eliminación directa, doble eliminación o grupos con playoffs</t>
  </si>
  <si>
    <t>Todos contra todos con posible fase de playoffs</t>
  </si>
  <si>
    <t>Frecuencia de partidos</t>
  </si>
  <si>
    <t>Regular (ej. semanal o quincenal)</t>
  </si>
  <si>
    <t>Número de participantes</t>
  </si>
  <si>
    <t>Tipo de participantes</t>
  </si>
  <si>
    <t>Premios</t>
  </si>
  <si>
    <t>Concentrados al final del torneo</t>
  </si>
  <si>
    <t>Distribuidos a lo largo de la temporada</t>
  </si>
  <si>
    <t>Narrativa</t>
  </si>
  <si>
    <t>Enfocada en el evento puntual</t>
  </si>
  <si>
    <t>Desarrollada a lo largo de la temporada</t>
  </si>
  <si>
    <t>Compromiso de los jugadores</t>
  </si>
  <si>
    <t>Corto plazo, intensivo</t>
  </si>
  <si>
    <t>Largo plazo, constante</t>
  </si>
  <si>
    <t>Patrocinios</t>
  </si>
  <si>
    <t>Centrados en el evento</t>
  </si>
  <si>
    <t>A largo plazo, para toda la temporada</t>
  </si>
  <si>
    <t>Producción de contenido</t>
  </si>
  <si>
    <t>Concentrada durante el torneo</t>
  </si>
  <si>
    <t>Continua a lo largo de la temporada</t>
  </si>
  <si>
    <t>Desarrollo de comunidad</t>
  </si>
  <si>
    <t>Rápido pero efímero</t>
  </si>
  <si>
    <t>Gradual pero más duradero</t>
  </si>
  <si>
    <t>Flexibilidad de formato</t>
  </si>
  <si>
    <t>Alta</t>
  </si>
  <si>
    <t>Baja</t>
  </si>
  <si>
    <t>Costo de organización</t>
  </si>
  <si>
    <t>Generalmente menor</t>
  </si>
  <si>
    <t>Generalmente mayor</t>
  </si>
  <si>
    <t>Larga (meses o una temporada anual)</t>
  </si>
  <si>
    <t>Intensiva durante el evento (Uno o varios días)</t>
  </si>
  <si>
    <t>Variable, según respuesta a la combocatoria</t>
  </si>
  <si>
    <t>Fijo, equipos definidos</t>
  </si>
  <si>
    <t>Abierto a amateur y entusiastas</t>
  </si>
  <si>
    <t>Principalmente equipos semiprofesionales o profesionales</t>
  </si>
  <si>
    <t>Impacto mediático (atención y cobertura de los eventos)</t>
  </si>
  <si>
    <t>Intenso, pero efímero</t>
  </si>
  <si>
    <t>Formato Torneos</t>
  </si>
  <si>
    <t>Formato Ligas</t>
  </si>
  <si>
    <t>Puesto</t>
  </si>
  <si>
    <t>Descripción del Cargo</t>
  </si>
  <si>
    <t>Nivel Educativo y/o Experiencia Necesaria</t>
  </si>
  <si>
    <t>Encargada de la toma de decisiones estratégicas, gestión financiera y supervisión general de operaciones.</t>
  </si>
  <si>
    <t>Título universitario en Administración de Empresas, Finanzas o similar; experiencia mínima de 5 años en puestos de alta dirección.</t>
  </si>
  <si>
    <t>Dirección de Asuntos Legales y HSEQ</t>
  </si>
  <si>
    <t>Responsable de cumplimiento normativo y políticas de salud, seguridad, medio ambiente y calidad.</t>
  </si>
  <si>
    <t>Título en Derecho, Ingeniería Industrial o similar; experiencia mínima de 3 años en gestión de HSEQ y asuntos legales.</t>
  </si>
  <si>
    <t>Coordinación de Calidad y HSEQ</t>
  </si>
  <si>
    <t>Apoya la implementación y supervisión de políticas de calidad, seguridad y medio ambiente.</t>
  </si>
  <si>
    <t>Título en Ingeniería Industrial, Gestión de Calidad o similar; experiencia mínima de 2 años en HSEQ.</t>
  </si>
  <si>
    <t>Diseña y ejecuta estrategias de marketing para promocionar eventos y torneos.</t>
  </si>
  <si>
    <t>Título en Marketing, Publicidad o similar; experiencia mínima de 3 años en marketing digital y promocional.</t>
  </si>
  <si>
    <t>Crea y gestiona campañas publicitarias para maximizar la visibilidad de los eventos.</t>
  </si>
  <si>
    <t>Título en Publicidad, Comunicaciones o similar; experiencia mínima de 2 años en gestión publicitaria.</t>
  </si>
  <si>
    <t>Desarrolla relaciones comerciales y alianzas estratégicas con patrocinadores y socios.</t>
  </si>
  <si>
    <t>Título en Administración de Empresas, Negocios Internacionales o similar; experiencia mínima de 3 años en gestión comercial y relaciones públicas.</t>
  </si>
  <si>
    <t>Gestiona el reclutamiento, la capacitación y el bienestar del personal.</t>
  </si>
  <si>
    <t>Título en Recursos Humanos, Psicología Organizacional o similar; experiencia mínima de 2 años en gestión de RRHH.</t>
  </si>
  <si>
    <t>Proporciona soporte técnico y mantiene la infraestructura tecnológica necesaria.</t>
  </si>
  <si>
    <t>Título en Ingeniería de Sistemas, Tecnologías de la Información o similar; experiencia mínima de 2 años en soporte técnico y gestión de infraestructura TI.</t>
  </si>
  <si>
    <t>Caster &amp; Formación</t>
  </si>
  <si>
    <t>Narración y análisis de eventos en vivo, formación de nuevos talentos en casting y análisis.</t>
  </si>
  <si>
    <t>Experiencia mínima de 2 años como caster en eSports; formación en Comunicación, Periodismo o similar es preferible.</t>
  </si>
  <si>
    <t>Caster &amp; Producción de Medios Audiovisuales</t>
  </si>
  <si>
    <t>Producción de contenido audiovisual, incluyendo transmisiones en vivo y material promocional.</t>
  </si>
  <si>
    <t>Título en Comunicación Audiovisual, Producción de Medios o similar; experiencia mínima de 2 años en producción de medios y transmisión en vivo.</t>
  </si>
  <si>
    <t>Patrocinador</t>
  </si>
  <si>
    <t>Aporte Anual (COP)</t>
  </si>
  <si>
    <t>Inversión Mensual (COP)</t>
  </si>
  <si>
    <t>Patrocinador 1</t>
  </si>
  <si>
    <t>Patrocinador 2</t>
  </si>
  <si>
    <t>Patrocinador 3</t>
  </si>
  <si>
    <t>Patrocinador 4</t>
  </si>
  <si>
    <t>Patrocinador 5</t>
  </si>
  <si>
    <t>Patrocinador 6</t>
  </si>
  <si>
    <t>Patrocinador 7</t>
  </si>
  <si>
    <t>Patrocinador 8</t>
  </si>
  <si>
    <t>Total Ingresos</t>
  </si>
  <si>
    <t>Torneo Price Pool</t>
  </si>
  <si>
    <t>Mes</t>
  </si>
  <si>
    <t>Torneos por mes</t>
  </si>
  <si>
    <t>Aspecto</t>
  </si>
  <si>
    <t>Producto</t>
  </si>
  <si>
    <t>Precio</t>
  </si>
  <si>
    <t>Plaza</t>
  </si>
  <si>
    <t>Promoción</t>
  </si>
  <si>
    <t>Sostenibilidad</t>
  </si>
  <si>
    <r>
      <t xml:space="preserve">- </t>
    </r>
    <r>
      <rPr>
        <b/>
        <sz val="11"/>
        <color theme="1"/>
        <rFont val="Times New Roman"/>
        <family val="1"/>
      </rPr>
      <t>Torneos y Ligas:</t>
    </r>
    <r>
      <rPr>
        <sz val="11"/>
        <color theme="1"/>
        <rFont val="Times New Roman"/>
        <family val="1"/>
      </rPr>
      <t xml:space="preserve"> Organización de torneos y ligas que contarán con competiciones de los principales juegos por modalidad de eSports: MOBA (League of Legends, Dota 2), FPS (Counter-Strike: Global Offensive, Call of Duty), Hero Shooter (Overwatch 2, Valorant, Marvel Rivals), Combate (Mortal Kombat, Street Fighter, Tekken, KOF), Simulación Deportiva (FIFA, NBA 2K), Simulación de Carreras (Gran Turismo, Forza Motorsport), y RTS (StarCraft II, Age of Empires).</t>
    </r>
  </si>
  <si>
    <r>
      <t xml:space="preserve">- </t>
    </r>
    <r>
      <rPr>
        <b/>
        <sz val="11"/>
        <color theme="1"/>
        <rFont val="Times New Roman"/>
        <family val="1"/>
      </rPr>
      <t>Patrocinio:</t>
    </r>
    <r>
      <rPr>
        <sz val="11"/>
        <color theme="1"/>
        <rFont val="Times New Roman"/>
        <family val="1"/>
      </rPr>
      <t xml:space="preserve"> Ocho patrocinadores principales que financian torneos y ligas, asegurando recursos suficientes. &lt;br&gt; - </t>
    </r>
    <r>
      <rPr>
        <b/>
        <sz val="11"/>
        <color theme="1"/>
        <rFont val="Times New Roman"/>
        <family val="1"/>
      </rPr>
      <t>Estrategia de Precios en Torneos:</t>
    </r>
    <r>
      <rPr>
        <sz val="11"/>
        <color theme="1"/>
        <rFont val="Times New Roman"/>
        <family val="1"/>
      </rPr>
      <t xml:space="preserve"> Sin tarifa de afiliación para facilitar la participación de un mayor número de jugadores. &lt;br&gt; - </t>
    </r>
    <r>
      <rPr>
        <b/>
        <sz val="11"/>
        <color theme="1"/>
        <rFont val="Times New Roman"/>
        <family val="1"/>
      </rPr>
      <t>Merchandising:</t>
    </r>
    <r>
      <rPr>
        <sz val="11"/>
        <color theme="1"/>
        <rFont val="Times New Roman"/>
        <family val="1"/>
      </rPr>
      <t xml:space="preserve"> Venta de productos co-branded, generando ingresos adicionales y promoción de marca.</t>
    </r>
  </si>
  <si>
    <r>
      <t xml:space="preserve">- </t>
    </r>
    <r>
      <rPr>
        <b/>
        <sz val="11"/>
        <color theme="1"/>
        <rFont val="Times New Roman"/>
        <family val="1"/>
      </rPr>
      <t>Gaming Arena de ProExpert:</t>
    </r>
    <r>
      <rPr>
        <sz val="11"/>
        <color theme="1"/>
        <rFont val="Times New Roman"/>
        <family val="1"/>
      </rPr>
      <t xml:space="preserve"> Adecuación del Gaming Arena de ProExpert donde se realizarán los encuentros presenciales y las premiaciones. &lt;br&gt; - </t>
    </r>
    <r>
      <rPr>
        <b/>
        <sz val="11"/>
        <color theme="1"/>
        <rFont val="Times New Roman"/>
        <family val="1"/>
      </rPr>
      <t>Presencia Online:</t>
    </r>
    <r>
      <rPr>
        <sz val="11"/>
        <color theme="1"/>
        <rFont val="Times New Roman"/>
        <family val="1"/>
      </rPr>
      <t xml:space="preserve"> Presencia en redes sociales y canales de streaming propios para transmitir los eventos y alcanzar una audiencia global.</t>
    </r>
  </si>
  <si>
    <r>
      <t xml:space="preserve">- </t>
    </r>
    <r>
      <rPr>
        <b/>
        <sz val="11"/>
        <color theme="1"/>
        <rFont val="Times New Roman"/>
        <family val="1"/>
      </rPr>
      <t>Marketing Digital:</t>
    </r>
    <r>
      <rPr>
        <sz val="11"/>
        <color theme="1"/>
        <rFont val="Times New Roman"/>
        <family val="1"/>
      </rPr>
      <t xml:space="preserve"> Campañas en redes sociales, marketing de contenido y publicidad en línea. &lt;br&gt; - </t>
    </r>
    <r>
      <rPr>
        <b/>
        <sz val="11"/>
        <color theme="1"/>
        <rFont val="Times New Roman"/>
        <family val="1"/>
      </rPr>
      <t>Activaciones de Marca:</t>
    </r>
    <r>
      <rPr>
        <sz val="11"/>
        <color theme="1"/>
        <rFont val="Times New Roman"/>
        <family val="1"/>
      </rPr>
      <t xml:space="preserve"> Stands interactivos y promociones especiales en eventos presenciales. &lt;br&gt; - </t>
    </r>
    <r>
      <rPr>
        <b/>
        <sz val="11"/>
        <color theme="1"/>
        <rFont val="Times New Roman"/>
        <family val="1"/>
      </rPr>
      <t>Co-branding:</t>
    </r>
    <r>
      <rPr>
        <sz val="11"/>
        <color theme="1"/>
        <rFont val="Times New Roman"/>
        <family val="1"/>
      </rPr>
      <t xml:space="preserve"> Desarrollo de campañas y productos de merchandising co-branded. &lt;br&gt; - </t>
    </r>
    <r>
      <rPr>
        <b/>
        <sz val="11"/>
        <color theme="1"/>
        <rFont val="Times New Roman"/>
        <family val="1"/>
      </rPr>
      <t>Relaciones Públicas:</t>
    </r>
    <r>
      <rPr>
        <sz val="11"/>
        <color theme="1"/>
        <rFont val="Times New Roman"/>
        <family val="1"/>
      </rPr>
      <t xml:space="preserve"> Entrevistas, reportajes y colaboraciones con influencers y medios de comunicación. &lt;br&gt; - </t>
    </r>
    <r>
      <rPr>
        <b/>
        <sz val="11"/>
        <color theme="1"/>
        <rFont val="Times New Roman"/>
        <family val="1"/>
      </rPr>
      <t>Programas de Lealtad:</t>
    </r>
    <r>
      <rPr>
        <sz val="11"/>
        <color theme="1"/>
        <rFont val="Times New Roman"/>
        <family val="1"/>
      </rPr>
      <t xml:space="preserve"> Programas de fidelización y recompensas para mantener el engagement de los fans.</t>
    </r>
  </si>
  <si>
    <r>
      <t xml:space="preserve">- </t>
    </r>
    <r>
      <rPr>
        <b/>
        <sz val="11"/>
        <color theme="1"/>
        <rFont val="Times New Roman"/>
        <family val="1"/>
      </rPr>
      <t>Inclusión y Diversidad:</t>
    </r>
    <r>
      <rPr>
        <sz val="11"/>
        <color theme="1"/>
        <rFont val="Times New Roman"/>
        <family val="1"/>
      </rPr>
      <t xml:space="preserve"> Políticas de inclusión y cero tolerancia al acoso, promoviendo un entorno seguro y respetuoso. &lt;br&gt; - </t>
    </r>
    <r>
      <rPr>
        <b/>
        <sz val="11"/>
        <color theme="1"/>
        <rFont val="Times New Roman"/>
        <family val="1"/>
      </rPr>
      <t>Desarrollo de Talento:</t>
    </r>
    <r>
      <rPr>
        <sz val="11"/>
        <color theme="1"/>
        <rFont val="Times New Roman"/>
        <family val="1"/>
      </rPr>
      <t xml:space="preserve"> Inversiones en formación y apoyo a jugadores, entrenadores y personal técnico. &lt;br&gt; - </t>
    </r>
    <r>
      <rPr>
        <b/>
        <sz val="11"/>
        <color theme="1"/>
        <rFont val="Times New Roman"/>
        <family val="1"/>
      </rPr>
      <t>Impacto Social:</t>
    </r>
    <r>
      <rPr>
        <sz val="11"/>
        <color theme="1"/>
        <rFont val="Times New Roman"/>
        <family val="1"/>
      </rPr>
      <t xml:space="preserve"> Participación en iniciativas comunitarias y proyectos sociales que promuevan el acceso a la tecnología. &lt;br&gt; - </t>
    </r>
    <r>
      <rPr>
        <b/>
        <sz val="11"/>
        <color theme="1"/>
        <rFont val="Times New Roman"/>
        <family val="1"/>
      </rPr>
      <t>Sostenibilidad Ambiental:</t>
    </r>
    <r>
      <rPr>
        <sz val="11"/>
        <color theme="1"/>
        <rFont val="Times New Roman"/>
        <family val="1"/>
      </rPr>
      <t xml:space="preserve"> Implementación de prácticas sostenibles en la organización de eventos, como el uso de materiales reciclables. &lt;br&gt; - </t>
    </r>
    <r>
      <rPr>
        <b/>
        <sz val="11"/>
        <color theme="1"/>
        <rFont val="Times New Roman"/>
        <family val="1"/>
      </rPr>
      <t>Transparencia y Ética:</t>
    </r>
    <r>
      <rPr>
        <sz val="11"/>
        <color theme="1"/>
        <rFont val="Times New Roman"/>
        <family val="1"/>
      </rPr>
      <t xml:space="preserve"> Compromiso con la transparencia y la ética en todas las operaciones y relaciones comerciales.</t>
    </r>
  </si>
  <si>
    <t>STRATEGIA</t>
  </si>
  <si>
    <t>TÁCTICA</t>
  </si>
  <si>
    <t>INVERSIÓN</t>
  </si>
  <si>
    <t>PLAZA</t>
  </si>
  <si>
    <t>Adecuación del Gaming Arena de ProExpert</t>
  </si>
  <si>
    <t>PROMOCIÓN</t>
  </si>
  <si>
    <t>Campañas de marketing digital y promoción de torneos en redes sociales (Pauta)</t>
  </si>
  <si>
    <t>$24.000.000 anuales ($2.000.000 mensuales)</t>
  </si>
  <si>
    <t>PRODUCTO</t>
  </si>
  <si>
    <t>Organización de torneos y ligas de eSports con competiciones de los principales juegos por modalidad</t>
  </si>
  <si>
    <t>Incluido en las inversiones generales</t>
  </si>
  <si>
    <t>PRECIO</t>
  </si>
  <si>
    <t>Estrategia de precios sin tarifa de afiliación para facilitar la participación de jugadores</t>
  </si>
  <si>
    <t>Sin costo adicional</t>
  </si>
  <si>
    <t>SOSTENIBILIDAD</t>
  </si>
  <si>
    <t>Implementación de políticas de inclusión y diversidad, desarrollo de talento, impacto social y sostenibilidad ambiental</t>
  </si>
  <si>
    <t>Integrado en políticas operativas</t>
  </si>
  <si>
    <t>45.000.000
(Incluida en inversión inicial)</t>
  </si>
  <si>
    <t>Categoría de Competición</t>
  </si>
  <si>
    <t>Juegos en Competición</t>
  </si>
  <si>
    <t>Multiplayer Online Battle Arena (MOBA)</t>
  </si>
  <si>
    <t>Juegos de estrategia por equipos de 5 jugadores. Cada equipo compite en un campo de batalla para destruir la base del equipo contrario.</t>
  </si>
  <si>
    <t>Dota 2</t>
  </si>
  <si>
    <t xml:space="preserve">League of Legends </t>
  </si>
  <si>
    <t>Categorías Disponibles por Edad</t>
  </si>
  <si>
    <t>Adultos</t>
  </si>
  <si>
    <t>Categorías Disponibles por Genero</t>
  </si>
  <si>
    <t>Masculina</t>
  </si>
  <si>
    <t>Femenina</t>
  </si>
  <si>
    <t>Mixta</t>
  </si>
  <si>
    <t>Inscripción</t>
  </si>
  <si>
    <t>Online</t>
  </si>
  <si>
    <t>Intermedio</t>
  </si>
  <si>
    <t>Avanzado</t>
  </si>
  <si>
    <t>Categorías por Modalidad</t>
  </si>
  <si>
    <t>Nivel de habilidad</t>
  </si>
  <si>
    <t>Proceso: Registro en línea a través de formulario oficial</t>
  </si>
  <si>
    <t>Plazo: Hasta 8 días antes del inicio del torneo</t>
  </si>
  <si>
    <t>Price Pool (Inscripciones)
50% para el primer lugar, 25% para el segundo y 25% para el organizador del evento.</t>
  </si>
  <si>
    <t>Principiante (Primera inscripción)</t>
  </si>
  <si>
    <t>Los premios se pagarán mediante transferencia bancaria dentro de los 8 días posteriores al torneo</t>
  </si>
  <si>
    <t>Política de pagos</t>
  </si>
  <si>
    <t>Formato del Torneo</t>
  </si>
  <si>
    <t>Presencial (Gaming Arena Bogotá)</t>
  </si>
  <si>
    <t>8 equipos, divididos en dos grupos (Grupo A y Grupo B) de 4 equipos cada uno. La competición se desarrollará en una fase de grupos, seguida de las semifinales, el partido por el tercer puesto y la final</t>
  </si>
  <si>
    <t>Cronograma de competición</t>
  </si>
  <si>
    <t>Caracteristicas competición Formato Torneos</t>
  </si>
  <si>
    <t>Duración del Torneo</t>
  </si>
  <si>
    <t>Valor de inscripción por persona</t>
  </si>
  <si>
    <t>Jóvenes de 15 a 17 años con acompañamiento de adulto responsable (Solamente para torneo jornada diurno)</t>
  </si>
  <si>
    <t>01 | Viernes 1 | 6:00 - 7:30 PM | Grupo A - Partido 1
02 | Viernes 1 | 7:45 - 9:15 PM | Grupo A - Partido 2
03 | Viernes 1 | 9:30 - 11:00 PM | Grupo A - Partido 3
04 | Viernes 1 | 11:15 - 12:45 AM | Grupo A - Partido 4
05 | Sábado 1 | 6:00 - 7:30 PM | Grupo B - Partido 1
06 | Sábado 1 | 7:45 - 9:15 PM | Grupo B - Partido 2
07 | Sábado 1 | 9:30 - 11:00 PM | Grupo B - Partido 3
08 | Sábado 1 | 11:15 - 12:45 AM | Grupo B - Partido 4
09 | Sábado 1 | 1:00 - 2:30 AM | Grupo A - Partido 5
10 | Domingo 1 | 1:30 - 3:00 PM | Grupo A - Partido 6
11 | Domingo 1 | 3:15 - 4:45 PM | Grupo B - Partido 5
12 | Viernes 2 | 8:00 - 9:30 PM | Grupo B - Partido 6
13 | Viernes 2 | 9:45 - 11:15 PM | Semifinal 1
14 | Viernes 2 | 11:30 - 1:00 AM | Semifinal 2
15 | Sábado 2 | 8:00 - 9:30 PM | Partido 3er puesto
16 | Sábado 2 | 10:00 - 11:30 PM | Final</t>
  </si>
  <si>
    <t>Premios disponibles</t>
  </si>
  <si>
    <t>Requisitos Técnicos</t>
  </si>
  <si>
    <t>Reglas de Juego</t>
  </si>
  <si>
    <t>Se utilizará la versión más reciente del juego</t>
  </si>
  <si>
    <t>1er puesto 60%
2do puesto 30%
3er puesto 10%</t>
  </si>
  <si>
    <t>Los equipos deben traer sus propios periféricos (teclado, mouse, auriculares)
La organización proporcionará los PC, monitores y adecuaciones para la competición, asi como arbitro y caster</t>
  </si>
  <si>
    <t xml:space="preserve">  </t>
  </si>
  <si>
    <t>Ida</t>
  </si>
  <si>
    <t>Vu</t>
  </si>
  <si>
    <t>01 | Viernes 1 | 6:00 - 7:30 PM | Grupo A - Partido 1</t>
  </si>
  <si>
    <t>02 | Viernes 1 | 7:45 - 9:15 PM | Grupo A - Partido 2</t>
  </si>
  <si>
    <t>03 | Viernes 1 | 9:30 - 11:00 PM | Grupo A - Partido 3</t>
  </si>
  <si>
    <t>04 | Viernes 1 | 11:15 - 12:45 AM | Grupo A - Partido 4</t>
  </si>
  <si>
    <t>05 | Sábado 1 | 6:00 - 7:30 PM | Grupo B - Partido 1</t>
  </si>
  <si>
    <t>06 | Sábado 1 | 7:45 - 9:15 PM | Grupo B - Partido 2</t>
  </si>
  <si>
    <t>07 | Sábado 1 | 9:30 - 11:00 PM | Grupo B - Partido 3</t>
  </si>
  <si>
    <t>08 | Sábado 1 | 11:15 - 12:45 AM | Grupo B - Partido 4</t>
  </si>
  <si>
    <t>09 | Sábado 1 | 1:00 - 2:30 AM | Grupo A - Partido 5</t>
  </si>
  <si>
    <t>10 | Domingo 1 | 1:30 - 3:00 PM | Grupo A - Partido 6</t>
  </si>
  <si>
    <t>11 | Domingo 1 | 3:15 - 4:45 PM | Grupo B - Partido 5</t>
  </si>
  <si>
    <t>12 | Viernes 2 | 8:00 - 9:30 PM | Grupo B - Partido 6</t>
  </si>
  <si>
    <t>13 | Viernes 2 | 9:45 - 11:15 PM | Semifinal 1</t>
  </si>
  <si>
    <t>14 | Viernes 2 | 11:30 - 1:00 AM | Semifinal 2</t>
  </si>
  <si>
    <t>15 | Sábado 2 | 8:00 - 9:30 PM | Partido 3er puesto</t>
  </si>
  <si>
    <t>16 | Sábado 2 | 10:00 - 11:30 PM | Final</t>
  </si>
  <si>
    <t>PyI</t>
  </si>
  <si>
    <t>PF</t>
  </si>
  <si>
    <t>Lu</t>
  </si>
  <si>
    <t>Ma</t>
  </si>
  <si>
    <t>Mi</t>
  </si>
  <si>
    <t>Ju</t>
  </si>
  <si>
    <t>Caracteristicas competición Formato Ligas</t>
  </si>
  <si>
    <t>Mixta (Masculina / Femenina)</t>
  </si>
  <si>
    <t>Número de ligas por año: 2 ligas (una por semestre).
Duración de la liga: 22 semanas por liga (21 semanas de enfrentamientos + 1 semana de receso).
Días de ejecución (lunes, martes, miercoles y jueves)</t>
  </si>
  <si>
    <t>8 equipos, todos contra todos (Ida y vuelta), seguido de una fase Play-In y Play-Off.</t>
  </si>
  <si>
    <r>
      <rPr>
        <b/>
        <sz val="11"/>
        <color theme="1"/>
        <rFont val="Times New Roman"/>
        <family val="1"/>
      </rPr>
      <t>Calendario Anual</t>
    </r>
    <r>
      <rPr>
        <sz val="11"/>
        <color theme="1"/>
        <rFont val="Times New Roman"/>
        <family val="1"/>
      </rPr>
      <t xml:space="preserve">
Liga 1: Semanas 1-21 (Febrero a Junio):
Formato de Todos Contra Todos (Ida y Vuelta):
Cada equipo juega contra todos los otros equipos dos veces (ida y vuelta).
Total de partidos por equipo: 14 partidos (2 partidos contra cada uno de los otros 7 equipos).
Número de enfrentamientos por semana: 4 enfrentamientos (1 por día de lunes a jueves).
Semana 22 (Primera semana de Junio):
</t>
    </r>
    <r>
      <rPr>
        <b/>
        <sz val="11"/>
        <color theme="1"/>
        <rFont val="Times New Roman"/>
        <family val="1"/>
      </rPr>
      <t>Receso</t>
    </r>
    <r>
      <rPr>
        <sz val="11"/>
        <color theme="1"/>
        <rFont val="Times New Roman"/>
        <family val="1"/>
      </rPr>
      <t xml:space="preserve">
Semanas 23-24 (Segunda y tercera semana de Junio):
</t>
    </r>
    <r>
      <rPr>
        <b/>
        <sz val="11"/>
        <color theme="1"/>
        <rFont val="Times New Roman"/>
        <family val="1"/>
      </rPr>
      <t>Fase de Play-In:</t>
    </r>
    <r>
      <rPr>
        <sz val="11"/>
        <color theme="1"/>
        <rFont val="Times New Roman"/>
        <family val="1"/>
      </rPr>
      <t xml:space="preserve">
Equipos posicionados del 5° al 8° lugar compiten por los dos puestos restantes en los Play-Offs.
4 enfrentamientos (2 por semana, martes y jueves).
Semanas 25-28 (Junio a Julio):
</t>
    </r>
    <r>
      <rPr>
        <b/>
        <sz val="11"/>
        <color theme="1"/>
        <rFont val="Times New Roman"/>
        <family val="1"/>
      </rPr>
      <t>Fase de Play-Offs:</t>
    </r>
    <r>
      <rPr>
        <sz val="11"/>
        <color theme="1"/>
        <rFont val="Times New Roman"/>
        <family val="1"/>
      </rPr>
      <t xml:space="preserve">
Cuartos de final: 4 enfrentamientos (1 por día, lunes a jueves).
Semifinales: 2 enfrentamientos (Viernes y Sabado).
Final: 1 enfrentamiento (Domingo).
Liga 2: Tienen el mismo formato, pero con inicio en finales de Julio y finaliza en finales de Nov.</t>
    </r>
  </si>
  <si>
    <t>ProExpert realiza el proceso para los 8 equipos</t>
  </si>
  <si>
    <t>Trofeo de Liga</t>
  </si>
  <si>
    <t>Remuneración</t>
  </si>
  <si>
    <t>Los equipos gestionan sus propios patrocinios con marcas adicionales que se encuentren  interesadas en ser parte del ecosistema.</t>
  </si>
  <si>
    <t>No habrá descensos, pero estará sujeto a renovación de liga.</t>
  </si>
  <si>
    <t>Ejecución en 2 semanas (16 encuentros en total)
Días de ejecución (viernes, sabados y domingos)
Total encuentros: 352 en un calendario anual.</t>
  </si>
  <si>
    <t>Fasa ida y Vuelta</t>
  </si>
  <si>
    <r>
      <rPr>
        <b/>
        <sz val="11"/>
        <color theme="1"/>
        <rFont val="Calibri"/>
        <family val="2"/>
        <scheme val="minor"/>
      </rPr>
      <t>Fase de Play-Offs:</t>
    </r>
    <r>
      <rPr>
        <sz val="11"/>
        <color theme="1"/>
        <rFont val="Calibri"/>
        <family val="2"/>
        <scheme val="minor"/>
      </rPr>
      <t xml:space="preserve">
Cuartos de final: 4 partidos.
Semifinales: 2 partidos.
Final: 1 partido.
Total de partidos en Play-Offs: 7 partidos por liga</t>
    </r>
  </si>
  <si>
    <r>
      <rPr>
        <b/>
        <sz val="11"/>
        <color theme="1"/>
        <rFont val="Calibri"/>
        <family val="2"/>
        <scheme val="minor"/>
      </rPr>
      <t>Fase de Play-In:</t>
    </r>
    <r>
      <rPr>
        <sz val="11"/>
        <color theme="1"/>
        <rFont val="Calibri"/>
        <family val="2"/>
        <scheme val="minor"/>
      </rPr>
      <t xml:space="preserve">
Equipos del 5° al 8° lugar compiten por los dos puestos restantes en los Play-Offs.
Total de partidos en Play-In: 4 partidos por liga.</t>
    </r>
  </si>
  <si>
    <t>Liga 1</t>
  </si>
  <si>
    <t>Liga 2</t>
  </si>
  <si>
    <t>TOTAL LIGAS</t>
  </si>
  <si>
    <t>TOTAL COMPETICIONES AÑO</t>
  </si>
  <si>
    <t>Número de ligas por año: 2 ligas (una por semestre).
Duración de la liga: 22 semanas por liga (21 semanas de enfrentamientos + 1 semana de receso).
Días de ejecución (lunes, martes, miercoles y jueves)
Total encuentros: 134 en un calendario anual.</t>
  </si>
  <si>
    <t>Total encuentros</t>
  </si>
  <si>
    <t>134 en un calendario anual.</t>
  </si>
  <si>
    <t>352 en un calendario anual.</t>
  </si>
  <si>
    <t>Viabilidad en el Mercado de eSports en Colombia</t>
  </si>
  <si>
    <t>Se demostró que ProExpert tiene un alto potencial en el mercado de eSports en Colombia. El análisis de factores económicos, sociales y tecnológicos reveló un entorno favorable para el crecimiento de la empresa, destacando un aumento en la audiencia y la adopción de eSports en el país.</t>
  </si>
  <si>
    <t>Viabilidad Técnica</t>
  </si>
  <si>
    <t>ProExpert posee la infraestructura y capacidad operativa necesarias para organizar y ejecutar torneos y ligas de eSports. Se identificaron los recursos clave y se estableció un plan para garantizar competiciones de alta calidad y eficiencia operativa.</t>
  </si>
  <si>
    <t>Viabilidad Organizacional y Legal</t>
  </si>
  <si>
    <t>El análisis legal y organizacional de ProExpert confirma que la estructura de gestión y los requisitos reglamentarios están alineados con las normativas vigentes en Colombia. ProExpert está preparada para operar de manera efectiva y cumplir con todas las regulaciones aplicables.</t>
  </si>
  <si>
    <t>Viabilidad Financiera</t>
  </si>
  <si>
    <t>Los indicadores financieros muestran que ProExpert es viable, proyectando beneficios sostenibles y un retorno adecuado para los inversores. La empresa tiene un plan sólido de financiación y proyecciones financieras favorables para los próximos años.</t>
  </si>
  <si>
    <t>Viabilidad de Políticas de Inclusión y Capacitación</t>
  </si>
  <si>
    <t>ProExpert ha desarrollado programas de inclusión y capacitación que promueven la diversidad y la igualdad de oportunidades en los eSports, alineados con los Objetivos de Desarrollo Sostenible de la ONU. Estos programas son bien recibidos por la comunidad y se espera que tengan un impacto positivo en la reducción de desigualdades.</t>
  </si>
  <si>
    <t>OBJETIVO ESPECÍFICO</t>
  </si>
  <si>
    <t>CONCLUSIÓN</t>
  </si>
  <si>
    <t>Encuesta cuantitativa on-line realizada a partir de un panel propio.</t>
  </si>
  <si>
    <t>No aplicable debido al enfoque cualitativo.</t>
  </si>
  <si>
    <t>Bogotá (Colombia).</t>
  </si>
  <si>
    <t>Jugadores, conocedores de la industria de eSports.</t>
  </si>
  <si>
    <r>
      <rPr>
        <b/>
        <sz val="18"/>
        <color theme="1"/>
        <rFont val="Arial"/>
        <family val="2"/>
      </rPr>
      <t>±5.24%</t>
    </r>
    <r>
      <rPr>
        <sz val="18"/>
        <color theme="1"/>
        <rFont val="Arial"/>
        <family val="2"/>
      </rPr>
      <t xml:space="preserve"> con un nivel de confianza del </t>
    </r>
    <r>
      <rPr>
        <b/>
        <sz val="18"/>
        <color theme="1"/>
        <rFont val="Arial"/>
        <family val="2"/>
      </rPr>
      <t>95%</t>
    </r>
    <r>
      <rPr>
        <sz val="18"/>
        <color theme="1"/>
        <rFont val="Arial"/>
        <family val="2"/>
      </rPr>
      <t>.</t>
    </r>
  </si>
  <si>
    <t>Realizado entre 2023 y 2024.</t>
  </si>
  <si>
    <t>CUALITATIVO EXPLORATORIO</t>
  </si>
  <si>
    <t>CUANTITATIVO CONCLUYENTE</t>
  </si>
  <si>
    <t>ESTUDIO INV.</t>
  </si>
  <si>
    <r>
      <rPr>
        <b/>
        <sz val="18"/>
        <color theme="1"/>
        <rFont val="Arial"/>
        <family val="2"/>
      </rPr>
      <t>20 entrevistas</t>
    </r>
    <r>
      <rPr>
        <sz val="18"/>
        <color theme="1"/>
        <rFont val="Arial"/>
        <family val="2"/>
      </rPr>
      <t xml:space="preserve"> realizadas con filtro por su conocimiento del sector.</t>
    </r>
  </si>
  <si>
    <t>OBJETIVO</t>
  </si>
  <si>
    <t>TÉCNICA DE INVESTIGACIÓN</t>
  </si>
  <si>
    <t>ÁMBITO GEOGRÁFICO</t>
  </si>
  <si>
    <t>UNIVERSO</t>
  </si>
  <si>
    <t>MUESTRA</t>
  </si>
  <si>
    <t>ERROR MUESTRAL</t>
  </si>
  <si>
    <t>TRABAJO DE CAMPO</t>
  </si>
  <si>
    <r>
      <rPr>
        <b/>
        <sz val="18"/>
        <color theme="1"/>
        <rFont val="Arial"/>
        <family val="2"/>
      </rPr>
      <t xml:space="preserve">350 encuestas
</t>
    </r>
    <r>
      <rPr>
        <sz val="18"/>
        <color theme="1"/>
        <rFont val="Arial"/>
        <family val="2"/>
      </rPr>
      <t>(Aleatorio simple).</t>
    </r>
  </si>
  <si>
    <t>Realizado entre May y Jun 2024.</t>
  </si>
  <si>
    <t>Entrevistas personal
Entrevista telefónica</t>
  </si>
  <si>
    <r>
      <t xml:space="preserve">Analizar características y necesidades de los participantes:
</t>
    </r>
    <r>
      <rPr>
        <b/>
        <sz val="18"/>
        <color theme="1"/>
        <rFont val="Arial"/>
        <family val="2"/>
      </rPr>
      <t>Perfil Demográfico
Participación en eSports.
Inclusión y Equidad
Servicios y Experiencia
Propuesta de Valor</t>
    </r>
  </si>
  <si>
    <r>
      <t xml:space="preserve">Investigar el mercado de eSports, identificando </t>
    </r>
    <r>
      <rPr>
        <b/>
        <sz val="18"/>
        <color theme="1"/>
        <rFont val="Arial"/>
        <family val="2"/>
      </rPr>
      <t>preferencias, tendencias y dinámicas competitivas</t>
    </r>
    <r>
      <rPr>
        <sz val="18"/>
        <color theme="1"/>
        <rFont val="Arial"/>
        <family val="2"/>
      </rPr>
      <t>.</t>
    </r>
  </si>
  <si>
    <t>✔</t>
  </si>
  <si>
    <r>
      <rPr>
        <b/>
        <sz val="18"/>
        <color theme="1"/>
        <rFont val="Arial"/>
        <family val="2"/>
      </rPr>
      <t>Objetivo 1</t>
    </r>
    <r>
      <rPr>
        <b/>
        <sz val="11"/>
        <color theme="1"/>
        <rFont val="Calibri"/>
        <family val="2"/>
        <scheme val="minor"/>
      </rPr>
      <t xml:space="preserve">: </t>
    </r>
    <r>
      <rPr>
        <sz val="18"/>
        <color theme="1"/>
        <rFont val="Arial"/>
        <family val="2"/>
      </rPr>
      <t>Analizar el entorno del mercado de eSports en Colombia</t>
    </r>
  </si>
  <si>
    <r>
      <rPr>
        <b/>
        <sz val="18"/>
        <color theme="1"/>
        <rFont val="Arial"/>
        <family val="2"/>
      </rPr>
      <t>Objetivo 2</t>
    </r>
    <r>
      <rPr>
        <b/>
        <sz val="11"/>
        <color theme="1"/>
        <rFont val="Calibri"/>
        <family val="2"/>
        <scheme val="minor"/>
      </rPr>
      <t xml:space="preserve">: </t>
    </r>
    <r>
      <rPr>
        <sz val="18"/>
        <color theme="1"/>
        <rFont val="Arial"/>
        <family val="2"/>
      </rPr>
      <t>Evaluar las capacidades técnicas y operativas</t>
    </r>
  </si>
  <si>
    <r>
      <rPr>
        <b/>
        <sz val="18"/>
        <color theme="1"/>
        <rFont val="Arial"/>
        <family val="2"/>
      </rPr>
      <t>Objetivo 3:</t>
    </r>
    <r>
      <rPr>
        <sz val="18"/>
        <color theme="1"/>
        <rFont val="Arial"/>
        <family val="2"/>
      </rPr>
      <t xml:space="preserve"> Verificar la estructura organizacional y cumplimiento legal</t>
    </r>
  </si>
  <si>
    <r>
      <rPr>
        <b/>
        <sz val="18"/>
        <color theme="1"/>
        <rFont val="Arial"/>
        <family val="2"/>
      </rPr>
      <t>Objetivo 4:</t>
    </r>
    <r>
      <rPr>
        <sz val="18"/>
        <color theme="1"/>
        <rFont val="Arial"/>
        <family val="2"/>
      </rPr>
      <t xml:space="preserve"> Estudiar la sostenibilidad financiera</t>
    </r>
  </si>
  <si>
    <r>
      <rPr>
        <b/>
        <sz val="18"/>
        <color theme="1"/>
        <rFont val="Arial"/>
        <family val="2"/>
      </rPr>
      <t xml:space="preserve">Objetivo 5: </t>
    </r>
    <r>
      <rPr>
        <sz val="18"/>
        <color theme="1"/>
        <rFont val="Arial"/>
        <family val="2"/>
      </rPr>
      <t>Desarrollar políticas de inclusión y programas de capacitación</t>
    </r>
  </si>
  <si>
    <r>
      <rPr>
        <b/>
        <sz val="18"/>
        <color theme="0"/>
        <rFont val="Arial"/>
        <family val="2"/>
      </rPr>
      <t xml:space="preserve">Objetivo General: </t>
    </r>
    <r>
      <rPr>
        <sz val="18"/>
        <color theme="0"/>
        <rFont val="Arial"/>
        <family val="2"/>
      </rPr>
      <t>Demostrar la viabilidad de la propuesta empresarial</t>
    </r>
  </si>
  <si>
    <t>DESCRIPCIÓN</t>
  </si>
  <si>
    <t>ESTADO</t>
  </si>
  <si>
    <t>Se analizó el entorno del mercado de eSports en Colombia, identificando factores económicos, sociales y tecnológicos claves que impactan el éxito de ProExpert.</t>
  </si>
  <si>
    <t>Se evaluó la infraestructura y recursos disponibles, confirmando su adecuación para organizar torneos y ligas de eSports de manera efectiva.</t>
  </si>
  <si>
    <t>Se verificó la estructura organizacional y se confirmó el cumplimiento de las normativas vigentes en Colombia para operar como agencia de eSports.</t>
  </si>
  <si>
    <t>Se realizó un análisis de indicadores financieros clave, proyectando la rentabilidad y crecimiento sostenido de la empresa a mediano y largo plazo.</t>
  </si>
  <si>
    <t>Se desarrollaron e implementaron políticas concretas para promover la diversidad e igualdad de oportunidades en los eSports.</t>
  </si>
  <si>
    <t>Se estructuró un modelo de negocio sólido y sostenible para ProExpert como agencia de eSports en el contexto colombiano, demostrando su viabilidad a través del cumplimiento de los objetivos específicos.</t>
  </si>
  <si>
    <t>Jugadores interesados en los eSports.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</si>
</sst>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 #,##0;[Red]\-&quot;$&quot;\ #,##0"/>
    <numFmt numFmtId="43" formatCode="_-* #,##0.00_-;\-* #,##0.00_-;_-* &quot;-&quot;??_-;_-@_-"/>
    <numFmt numFmtId="164" formatCode="&quot;$&quot;#,##0.00;[Red]\-&quot;$&quot;#,##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 #,##0_);_(* \(#,##0\);_(* &quot;-&quot;??_);_(@_)"/>
    <numFmt numFmtId="174" formatCode="_(* #,##0.0_);_(* \(#,##0.0\);_(* &quot;-&quot;??_);_(@_)"/>
    <numFmt numFmtId="175" formatCode="_ * #,##0.00_ ;_ * \-#,##0.00_ ;_ * &quot;-&quot;??_ ;_ @_ "/>
    <numFmt numFmtId="176" formatCode="&quot;$&quot;#,##0.00"/>
    <numFmt numFmtId="177" formatCode="_-&quot;$&quot;* #,##0.0_-;\-&quot;$&quot;* #,##0.0_-;_-&quot;$&quot;* &quot;-&quot;??_-;_-@_-"/>
    <numFmt numFmtId="178" formatCode="&quot;$&quot;\ #,##0"/>
    <numFmt numFmtId="179" formatCode="0.0"/>
    <numFmt numFmtId="180" formatCode="&quot;$&quot;\ #,##0_);[Red]\(&quot;$&quot;\ #,##0\)"/>
    <numFmt numFmtId="181" formatCode="&quot;$&quot;#,##0"/>
    <numFmt numFmtId="182" formatCode="_-&quot;$&quot;* #,##0_-;\-&quot;$&quot;* #,##0_-;_-&quot;$&quot;* &quot;-&quot;??_-;_-@_-"/>
    <numFmt numFmtId="183" formatCode="#,##0_ ;[Red]\-#,##0\ "/>
  </numFmts>
  <fonts count="59">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0"/>
      <name val="Calibri"/>
      <family val="2"/>
      <scheme val="minor"/>
    </font>
    <font>
      <sz val="10"/>
      <name val="Arial"/>
      <family val="2"/>
    </font>
    <font>
      <b/>
      <sz val="12"/>
      <color theme="1"/>
      <name val="Calibri"/>
      <family val="2"/>
      <scheme val="minor"/>
    </font>
    <font>
      <b/>
      <sz val="12"/>
      <color rgb="FFFF0000"/>
      <name val="Calibri"/>
      <family val="2"/>
      <scheme val="minor"/>
    </font>
    <font>
      <u/>
      <sz val="11"/>
      <color theme="10"/>
      <name val="Calibri"/>
      <family val="2"/>
      <scheme val="minor"/>
    </font>
    <font>
      <u/>
      <sz val="16"/>
      <color rgb="FF0070C0"/>
      <name val="Arial"/>
      <family val="2"/>
    </font>
    <font>
      <b/>
      <sz val="16"/>
      <color theme="1"/>
      <name val="Calibri"/>
      <family val="2"/>
      <scheme val="minor"/>
    </font>
    <font>
      <sz val="14"/>
      <color theme="1"/>
      <name val="Calibri"/>
      <family val="2"/>
      <scheme val="minor"/>
    </font>
    <font>
      <b/>
      <sz val="11"/>
      <color theme="0"/>
      <name val="Calibri"/>
      <family val="2"/>
      <scheme val="minor"/>
    </font>
    <font>
      <sz val="12"/>
      <color rgb="FFFF0000"/>
      <name val="Calibri"/>
      <family val="2"/>
      <scheme val="minor"/>
    </font>
    <font>
      <b/>
      <sz val="12"/>
      <color rgb="FF0070C0"/>
      <name val="Calibri"/>
      <family val="2"/>
      <scheme val="minor"/>
    </font>
    <font>
      <sz val="12"/>
      <color rgb="FF0070C0"/>
      <name val="Calibri"/>
      <family val="2"/>
      <scheme val="minor"/>
    </font>
    <font>
      <sz val="8"/>
      <name val="Calibri"/>
      <family val="2"/>
      <scheme val="minor"/>
    </font>
    <font>
      <sz val="11"/>
      <name val="Calibri"/>
      <family val="2"/>
      <scheme val="minor"/>
    </font>
    <font>
      <b/>
      <sz val="10"/>
      <color theme="1"/>
      <name val="Calibri"/>
      <family val="2"/>
      <scheme val="minor"/>
    </font>
    <font>
      <b/>
      <sz val="11"/>
      <color theme="4"/>
      <name val="Calibri"/>
      <family val="2"/>
      <scheme val="minor"/>
    </font>
    <font>
      <sz val="11"/>
      <color theme="0" tint="-0.34998626667073579"/>
      <name val="Calibri"/>
      <family val="2"/>
      <scheme val="minor"/>
    </font>
    <font>
      <b/>
      <sz val="11"/>
      <name val="Calibri"/>
      <family val="2"/>
      <scheme val="minor"/>
    </font>
    <font>
      <sz val="8"/>
      <color theme="1"/>
      <name val="Calibri"/>
      <family val="2"/>
      <scheme val="minor"/>
    </font>
    <font>
      <sz val="11"/>
      <color theme="0" tint="-0.14999847407452621"/>
      <name val="Calibri"/>
      <family val="2"/>
      <scheme val="minor"/>
    </font>
    <font>
      <b/>
      <sz val="11"/>
      <color theme="0" tint="-0.14999847407452621"/>
      <name val="Calibri"/>
      <family val="2"/>
      <scheme val="minor"/>
    </font>
    <font>
      <b/>
      <sz val="12"/>
      <color theme="1"/>
      <name val="Times New Roman"/>
      <family val="1"/>
    </font>
    <font>
      <sz val="12"/>
      <color theme="1"/>
      <name val="Times New Roman"/>
      <family val="1"/>
    </font>
    <font>
      <b/>
      <sz val="12"/>
      <color theme="0"/>
      <name val="Times New Roman"/>
      <family val="1"/>
    </font>
    <font>
      <sz val="12"/>
      <name val="Times New Roman"/>
      <family val="1"/>
    </font>
    <font>
      <sz val="12"/>
      <color theme="0"/>
      <name val="Times New Roman"/>
      <family val="1"/>
    </font>
    <font>
      <sz val="9.6"/>
      <color rgb="FF0D0D0D"/>
      <name val="Segoe UI"/>
      <family val="2"/>
    </font>
    <font>
      <sz val="9.6"/>
      <color rgb="FF0D0D0D"/>
      <name val="Segoe UI"/>
      <family val="2"/>
    </font>
    <font>
      <b/>
      <sz val="9.6"/>
      <color rgb="FF0D0D0D"/>
      <name val="Segoe UI"/>
      <family val="2"/>
    </font>
    <font>
      <sz val="9"/>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b/>
      <sz val="9"/>
      <color theme="4"/>
      <name val="Calibri"/>
      <family val="2"/>
      <scheme val="minor"/>
    </font>
    <font>
      <b/>
      <sz val="9"/>
      <color theme="7"/>
      <name val="Calibri"/>
      <family val="2"/>
      <scheme val="minor"/>
    </font>
    <font>
      <b/>
      <sz val="9"/>
      <color rgb="FF7030A0"/>
      <name val="Calibri"/>
      <family val="2"/>
      <scheme val="minor"/>
    </font>
    <font>
      <sz val="8"/>
      <color theme="7"/>
      <name val="Calibri"/>
      <family val="2"/>
      <scheme val="minor"/>
    </font>
    <font>
      <b/>
      <u/>
      <sz val="12"/>
      <color theme="1"/>
      <name val="Times New Roman"/>
      <family val="1"/>
    </font>
    <font>
      <b/>
      <sz val="12"/>
      <color rgb="FFFF0000"/>
      <name val="Times New Roman"/>
      <family val="1"/>
    </font>
    <font>
      <b/>
      <sz val="12"/>
      <name val="Times New Roman"/>
      <family val="1"/>
    </font>
    <font>
      <b/>
      <sz val="12"/>
      <color rgb="FF7030A0"/>
      <name val="Times New Roman"/>
      <family val="1"/>
    </font>
    <font>
      <b/>
      <sz val="11"/>
      <color theme="1"/>
      <name val="Times New Roman"/>
      <family val="1"/>
    </font>
    <font>
      <sz val="11"/>
      <color theme="1"/>
      <name val="Times New Roman"/>
      <family val="1"/>
    </font>
    <font>
      <sz val="10"/>
      <color theme="1"/>
      <name val="Arial Unicode MS"/>
    </font>
    <font>
      <sz val="11"/>
      <color theme="0" tint="-0.249977111117893"/>
      <name val="Calibri"/>
      <family val="2"/>
      <scheme val="minor"/>
    </font>
    <font>
      <sz val="11"/>
      <color rgb="FF000000"/>
      <name val="Calibri"/>
      <family val="2"/>
      <scheme val="minor"/>
    </font>
    <font>
      <b/>
      <sz val="11"/>
      <color rgb="FFFF0000"/>
      <name val="Calibri"/>
      <family val="2"/>
      <scheme val="minor"/>
    </font>
    <font>
      <b/>
      <sz val="18"/>
      <color theme="1"/>
      <name val="Arial"/>
      <family val="2"/>
    </font>
    <font>
      <sz val="18"/>
      <color theme="1"/>
      <name val="Arial"/>
      <family val="2"/>
    </font>
    <font>
      <b/>
      <sz val="18"/>
      <color theme="0"/>
      <name val="Arial"/>
      <family val="2"/>
    </font>
    <font>
      <b/>
      <sz val="18"/>
      <name val="Arial"/>
      <family val="2"/>
    </font>
    <font>
      <sz val="18"/>
      <color theme="0"/>
      <name val="Arial"/>
      <family val="2"/>
    </font>
    <font>
      <sz val="36"/>
      <color theme="1"/>
      <name val="Arial"/>
      <family val="2"/>
    </font>
    <font>
      <sz val="48"/>
      <color theme="0"/>
      <name val="Arial"/>
      <family val="2"/>
    </font>
  </fonts>
  <fills count="35">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1"/>
        <bgColor indexed="64"/>
      </patternFill>
    </fill>
    <fill>
      <patternFill patternType="solid">
        <fgColor rgb="FF00FFFF"/>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7030A0"/>
        <bgColor indexed="64"/>
      </patternFill>
    </fill>
    <fill>
      <patternFill patternType="solid">
        <fgColor rgb="FFFFFF66"/>
        <bgColor indexed="64"/>
      </patternFill>
    </fill>
  </fills>
  <borders count="31">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diagonal/>
    </border>
    <border>
      <left style="thin">
        <color theme="0"/>
      </left>
      <right/>
      <top/>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6" fillId="0" borderId="0"/>
  </cellStyleXfs>
  <cellXfs count="519">
    <xf numFmtId="0" fontId="0" fillId="0" borderId="0" xfId="0"/>
    <xf numFmtId="173" fontId="0" fillId="0" borderId="0" xfId="4" applyNumberFormat="1" applyFont="1"/>
    <xf numFmtId="9" fontId="0" fillId="0" borderId="0" xfId="0" applyNumberFormat="1"/>
    <xf numFmtId="0" fontId="0" fillId="0" borderId="0" xfId="0" applyAlignment="1">
      <alignment horizontal="center"/>
    </xf>
    <xf numFmtId="0" fontId="0" fillId="8" borderId="0" xfId="0" applyFill="1"/>
    <xf numFmtId="0" fontId="0" fillId="8" borderId="0" xfId="0" applyFill="1" applyAlignment="1">
      <alignment horizontal="center"/>
    </xf>
    <xf numFmtId="0" fontId="0" fillId="10" borderId="0" xfId="0" applyFill="1"/>
    <xf numFmtId="0" fontId="0" fillId="10" borderId="0" xfId="0" applyFill="1" applyAlignment="1">
      <alignment horizontal="center"/>
    </xf>
    <xf numFmtId="0" fontId="8" fillId="11" borderId="0" xfId="0" applyFont="1" applyFill="1" applyAlignment="1">
      <alignment horizontal="center"/>
    </xf>
    <xf numFmtId="0" fontId="8" fillId="12" borderId="0" xfId="0" applyFont="1" applyFill="1" applyAlignment="1">
      <alignment horizontal="center"/>
    </xf>
    <xf numFmtId="0" fontId="15" fillId="12" borderId="0" xfId="0" applyFont="1" applyFill="1" applyAlignment="1">
      <alignment horizontal="center"/>
    </xf>
    <xf numFmtId="0" fontId="15" fillId="11" borderId="17" xfId="0" applyFont="1" applyFill="1" applyBorder="1" applyAlignment="1">
      <alignment horizontal="center"/>
    </xf>
    <xf numFmtId="0" fontId="8" fillId="0" borderId="0" xfId="0" applyFont="1" applyAlignment="1">
      <alignment horizontal="center"/>
    </xf>
    <xf numFmtId="0" fontId="15" fillId="11" borderId="0" xfId="0" applyFont="1" applyFill="1" applyAlignment="1">
      <alignment horizontal="center"/>
    </xf>
    <xf numFmtId="0" fontId="16" fillId="11" borderId="0" xfId="0" applyFont="1" applyFill="1" applyAlignment="1">
      <alignment horizontal="center"/>
    </xf>
    <xf numFmtId="0" fontId="5" fillId="11" borderId="0" xfId="0" applyFont="1" applyFill="1" applyAlignment="1">
      <alignment horizontal="center"/>
    </xf>
    <xf numFmtId="0" fontId="0" fillId="12" borderId="0" xfId="0" applyFill="1" applyAlignment="1">
      <alignment horizontal="center"/>
    </xf>
    <xf numFmtId="0" fontId="2" fillId="12" borderId="0" xfId="0" applyFont="1" applyFill="1" applyAlignment="1">
      <alignment horizontal="center"/>
    </xf>
    <xf numFmtId="0" fontId="5" fillId="0" borderId="0" xfId="0" applyFont="1" applyAlignment="1">
      <alignment horizontal="center"/>
    </xf>
    <xf numFmtId="0" fontId="15" fillId="0" borderId="0" xfId="0" applyFont="1" applyAlignment="1">
      <alignment horizontal="center"/>
    </xf>
    <xf numFmtId="0" fontId="13" fillId="11" borderId="0" xfId="0" applyFont="1" applyFill="1" applyAlignment="1">
      <alignment horizontal="center"/>
    </xf>
    <xf numFmtId="0" fontId="14" fillId="0" borderId="0" xfId="0" applyFont="1" applyAlignment="1">
      <alignment horizontal="center"/>
    </xf>
    <xf numFmtId="0" fontId="2" fillId="0" borderId="0" xfId="0" applyFont="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0" fillId="14" borderId="0" xfId="0" applyFill="1" applyAlignment="1">
      <alignment horizontal="center"/>
    </xf>
    <xf numFmtId="0" fontId="0" fillId="14" borderId="0" xfId="0" applyFill="1" applyAlignment="1">
      <alignment horizontal="left" indent="1"/>
    </xf>
    <xf numFmtId="16" fontId="0" fillId="14" borderId="0" xfId="0" applyNumberFormat="1" applyFill="1" applyAlignment="1">
      <alignment horizontal="center"/>
    </xf>
    <xf numFmtId="0" fontId="0" fillId="14" borderId="0" xfId="0" applyFill="1"/>
    <xf numFmtId="0" fontId="0" fillId="13" borderId="0" xfId="0" applyFill="1" applyAlignment="1">
      <alignment horizontal="center"/>
    </xf>
    <xf numFmtId="0" fontId="0" fillId="10" borderId="9" xfId="0" applyFill="1" applyBorder="1" applyAlignment="1">
      <alignment horizontal="left" indent="1"/>
    </xf>
    <xf numFmtId="16" fontId="0" fillId="10" borderId="9" xfId="0" applyNumberFormat="1" applyFill="1" applyBorder="1" applyAlignment="1">
      <alignment horizontal="center"/>
    </xf>
    <xf numFmtId="0" fontId="0" fillId="10" borderId="9" xfId="0" applyFill="1" applyBorder="1"/>
    <xf numFmtId="0" fontId="0" fillId="10" borderId="9" xfId="0" applyFill="1" applyBorder="1" applyAlignment="1">
      <alignment horizontal="center"/>
    </xf>
    <xf numFmtId="0" fontId="0" fillId="0" borderId="9" xfId="0" applyBorder="1"/>
    <xf numFmtId="0" fontId="0" fillId="13" borderId="9" xfId="0" applyFill="1" applyBorder="1" applyAlignment="1">
      <alignment horizontal="center"/>
    </xf>
    <xf numFmtId="0" fontId="0" fillId="0" borderId="10" xfId="0" applyBorder="1"/>
    <xf numFmtId="0" fontId="0" fillId="10" borderId="0" xfId="0" applyFill="1" applyAlignment="1">
      <alignment horizontal="left" indent="1"/>
    </xf>
    <xf numFmtId="16" fontId="0" fillId="10" borderId="0" xfId="0" applyNumberFormat="1" applyFill="1" applyAlignment="1">
      <alignment horizontal="center"/>
    </xf>
    <xf numFmtId="0" fontId="0" fillId="0" borderId="14" xfId="0" applyBorder="1"/>
    <xf numFmtId="0" fontId="0" fillId="10" borderId="3" xfId="0" applyFill="1" applyBorder="1" applyAlignment="1">
      <alignment horizontal="left" indent="1"/>
    </xf>
    <xf numFmtId="16" fontId="0" fillId="10" borderId="3" xfId="0" applyNumberFormat="1" applyFill="1" applyBorder="1" applyAlignment="1">
      <alignment horizontal="center"/>
    </xf>
    <xf numFmtId="0" fontId="0" fillId="10" borderId="3" xfId="0" applyFill="1" applyBorder="1"/>
    <xf numFmtId="0" fontId="0" fillId="10" borderId="3" xfId="0" applyFill="1" applyBorder="1" applyAlignment="1">
      <alignment horizontal="center"/>
    </xf>
    <xf numFmtId="0" fontId="0" fillId="0" borderId="3" xfId="0" applyBorder="1"/>
    <xf numFmtId="0" fontId="0" fillId="13" borderId="3" xfId="0" applyFill="1" applyBorder="1" applyAlignment="1">
      <alignment horizontal="center"/>
    </xf>
    <xf numFmtId="0" fontId="0" fillId="14" borderId="9" xfId="0" applyFill="1" applyBorder="1" applyAlignment="1">
      <alignment horizontal="left" indent="1"/>
    </xf>
    <xf numFmtId="16" fontId="0" fillId="14" borderId="9" xfId="0" applyNumberFormat="1" applyFill="1" applyBorder="1" applyAlignment="1">
      <alignment horizontal="center"/>
    </xf>
    <xf numFmtId="0" fontId="0" fillId="14" borderId="9" xfId="0" applyFill="1" applyBorder="1"/>
    <xf numFmtId="0" fontId="0" fillId="14" borderId="9" xfId="0" applyFill="1" applyBorder="1" applyAlignment="1">
      <alignment horizontal="center"/>
    </xf>
    <xf numFmtId="0" fontId="0" fillId="14" borderId="3" xfId="0" applyFill="1" applyBorder="1" applyAlignment="1">
      <alignment horizontal="left" indent="1"/>
    </xf>
    <xf numFmtId="16" fontId="0" fillId="14" borderId="3" xfId="0" applyNumberFormat="1" applyFill="1" applyBorder="1" applyAlignment="1">
      <alignment horizontal="center"/>
    </xf>
    <xf numFmtId="0" fontId="0" fillId="14" borderId="3" xfId="0" applyFill="1" applyBorder="1"/>
    <xf numFmtId="0" fontId="0" fillId="14" borderId="3" xfId="0" applyFill="1" applyBorder="1" applyAlignment="1">
      <alignment horizontal="center"/>
    </xf>
    <xf numFmtId="0" fontId="0" fillId="0" borderId="12" xfId="0" applyBorder="1"/>
    <xf numFmtId="178" fontId="0" fillId="0" borderId="0" xfId="0" applyNumberFormat="1" applyAlignment="1">
      <alignment vertical="center"/>
    </xf>
    <xf numFmtId="178" fontId="0" fillId="0" borderId="0" xfId="0" applyNumberFormat="1"/>
    <xf numFmtId="178" fontId="2" fillId="0" borderId="0" xfId="0" applyNumberFormat="1" applyFont="1"/>
    <xf numFmtId="169" fontId="2" fillId="0" borderId="0" xfId="0" applyNumberFormat="1" applyFont="1"/>
    <xf numFmtId="0" fontId="0" fillId="13" borderId="14" xfId="0" applyFill="1" applyBorder="1" applyAlignment="1">
      <alignment horizontal="center"/>
    </xf>
    <xf numFmtId="9" fontId="0" fillId="0" borderId="0" xfId="2" applyFont="1" applyBorder="1" applyAlignment="1">
      <alignment horizontal="center"/>
    </xf>
    <xf numFmtId="178" fontId="2" fillId="8" borderId="0" xfId="0" applyNumberFormat="1" applyFont="1" applyFill="1" applyAlignment="1">
      <alignment horizontal="right"/>
    </xf>
    <xf numFmtId="0" fontId="0" fillId="8" borderId="0" xfId="0" applyFill="1" applyAlignment="1">
      <alignment horizontal="right"/>
    </xf>
    <xf numFmtId="0" fontId="0" fillId="9" borderId="0" xfId="0" applyFill="1" applyAlignment="1">
      <alignment horizontal="center"/>
    </xf>
    <xf numFmtId="9" fontId="0" fillId="0" borderId="0" xfId="0" applyNumberFormat="1" applyAlignment="1">
      <alignment horizontal="center"/>
    </xf>
    <xf numFmtId="178" fontId="2" fillId="9" borderId="0" xfId="0" applyNumberFormat="1" applyFont="1" applyFill="1"/>
    <xf numFmtId="173" fontId="0" fillId="0" borderId="0" xfId="4" applyNumberFormat="1" applyFont="1" applyFill="1"/>
    <xf numFmtId="2" fontId="0" fillId="0" borderId="0" xfId="0" applyNumberFormat="1"/>
    <xf numFmtId="0" fontId="0" fillId="9" borderId="0" xfId="0" applyFill="1" applyAlignment="1">
      <alignment horizontal="left" indent="1"/>
    </xf>
    <xf numFmtId="16" fontId="0" fillId="9" borderId="0" xfId="0" applyNumberFormat="1" applyFill="1" applyAlignment="1">
      <alignment horizontal="center"/>
    </xf>
    <xf numFmtId="0" fontId="0" fillId="9" borderId="0" xfId="0" applyFill="1"/>
    <xf numFmtId="0" fontId="0" fillId="0" borderId="0" xfId="0" applyAlignment="1">
      <alignment horizontal="left"/>
    </xf>
    <xf numFmtId="0" fontId="0" fillId="12" borderId="0" xfId="0" applyFill="1"/>
    <xf numFmtId="0" fontId="0" fillId="0" borderId="0" xfId="0" applyAlignment="1">
      <alignment horizontal="right"/>
    </xf>
    <xf numFmtId="0" fontId="0" fillId="7" borderId="0" xfId="0" applyFill="1" applyAlignment="1">
      <alignment horizontal="center"/>
    </xf>
    <xf numFmtId="0" fontId="18" fillId="16" borderId="0" xfId="0" applyFont="1" applyFill="1" applyAlignment="1">
      <alignment horizontal="center"/>
    </xf>
    <xf numFmtId="0" fontId="18" fillId="15" borderId="0" xfId="0" applyFont="1" applyFill="1" applyAlignment="1">
      <alignment horizontal="center"/>
    </xf>
    <xf numFmtId="0" fontId="7" fillId="8" borderId="0" xfId="0" applyFont="1" applyFill="1" applyAlignment="1">
      <alignment horizontal="center"/>
    </xf>
    <xf numFmtId="0" fontId="0" fillId="0" borderId="0" xfId="0" applyAlignment="1">
      <alignment horizontal="left" indent="1"/>
    </xf>
    <xf numFmtId="0" fontId="2" fillId="0" borderId="0" xfId="0" applyFont="1" applyAlignment="1">
      <alignment horizontal="left" indent="1"/>
    </xf>
    <xf numFmtId="0" fontId="2" fillId="0" borderId="0" xfId="0" applyFont="1"/>
    <xf numFmtId="16" fontId="0" fillId="8" borderId="0" xfId="0" applyNumberFormat="1" applyFill="1" applyAlignment="1">
      <alignment horizontal="left"/>
    </xf>
    <xf numFmtId="16" fontId="0" fillId="0" borderId="0" xfId="0" applyNumberFormat="1" applyAlignment="1">
      <alignment horizontal="left"/>
    </xf>
    <xf numFmtId="0" fontId="0" fillId="8" borderId="0" xfId="0" applyFill="1" applyAlignment="1">
      <alignment horizontal="left" indent="1"/>
    </xf>
    <xf numFmtId="168" fontId="0" fillId="0" borderId="0" xfId="1" applyNumberFormat="1" applyFont="1"/>
    <xf numFmtId="178" fontId="0" fillId="0" borderId="0" xfId="0" applyNumberFormat="1" applyAlignment="1">
      <alignment horizontal="right" indent="1"/>
    </xf>
    <xf numFmtId="0" fontId="0" fillId="18" borderId="0" xfId="0" applyFill="1" applyAlignment="1">
      <alignment horizontal="center"/>
    </xf>
    <xf numFmtId="173" fontId="0" fillId="0" borderId="0" xfId="0" applyNumberFormat="1" applyAlignment="1">
      <alignment horizontal="right" indent="1"/>
    </xf>
    <xf numFmtId="0" fontId="2" fillId="8" borderId="0" xfId="0" applyFont="1" applyFill="1" applyAlignment="1">
      <alignment horizontal="center"/>
    </xf>
    <xf numFmtId="178" fontId="0" fillId="12" borderId="0" xfId="0" applyNumberFormat="1" applyFill="1"/>
    <xf numFmtId="178" fontId="0" fillId="8" borderId="0" xfId="0" applyNumberFormat="1" applyFill="1"/>
    <xf numFmtId="173" fontId="0" fillId="12" borderId="0" xfId="4" applyNumberFormat="1" applyFont="1" applyFill="1"/>
    <xf numFmtId="0" fontId="2" fillId="0" borderId="0" xfId="0" applyFont="1" applyAlignment="1">
      <alignment horizontal="left"/>
    </xf>
    <xf numFmtId="168" fontId="0" fillId="0" borderId="0" xfId="0" applyNumberFormat="1"/>
    <xf numFmtId="168" fontId="2" fillId="0" borderId="0" xfId="0" applyNumberFormat="1" applyFont="1"/>
    <xf numFmtId="168" fontId="2" fillId="0" borderId="0" xfId="1" applyNumberFormat="1" applyFont="1"/>
    <xf numFmtId="169" fontId="0" fillId="0" borderId="0" xfId="2" applyNumberFormat="1" applyFont="1"/>
    <xf numFmtId="0" fontId="2" fillId="8" borderId="0" xfId="0" applyFont="1" applyFill="1" applyAlignment="1">
      <alignment horizontal="left"/>
    </xf>
    <xf numFmtId="2" fontId="18" fillId="0" borderId="0" xfId="0" applyNumberFormat="1" applyFont="1" applyAlignment="1">
      <alignment horizontal="center"/>
    </xf>
    <xf numFmtId="2" fontId="20" fillId="0" borderId="0" xfId="0" applyNumberFormat="1" applyFont="1" applyAlignment="1">
      <alignment horizontal="center"/>
    </xf>
    <xf numFmtId="178" fontId="21" fillId="0" borderId="0" xfId="0" applyNumberFormat="1" applyFont="1"/>
    <xf numFmtId="0" fontId="0" fillId="20" borderId="0" xfId="0" applyFill="1"/>
    <xf numFmtId="0" fontId="2" fillId="20" borderId="0" xfId="0" applyFont="1" applyFill="1" applyAlignment="1">
      <alignment horizontal="center"/>
    </xf>
    <xf numFmtId="9" fontId="0" fillId="0" borderId="0" xfId="2" applyFont="1"/>
    <xf numFmtId="0" fontId="18" fillId="15" borderId="0" xfId="0" applyFont="1" applyFill="1"/>
    <xf numFmtId="0" fontId="22" fillId="15" borderId="0" xfId="0" applyFont="1" applyFill="1" applyAlignment="1">
      <alignment horizontal="center"/>
    </xf>
    <xf numFmtId="0" fontId="2" fillId="3" borderId="0" xfId="0" applyFont="1" applyFill="1" applyAlignment="1">
      <alignment horizontal="center"/>
    </xf>
    <xf numFmtId="6" fontId="0" fillId="0" borderId="0" xfId="0" applyNumberFormat="1"/>
    <xf numFmtId="6" fontId="0" fillId="3" borderId="0" xfId="0" applyNumberFormat="1" applyFill="1"/>
    <xf numFmtId="0" fontId="0" fillId="21" borderId="0" xfId="0" applyFill="1"/>
    <xf numFmtId="0" fontId="2" fillId="21" borderId="0" xfId="0" applyFont="1" applyFill="1" applyAlignment="1">
      <alignment horizontal="center"/>
    </xf>
    <xf numFmtId="168" fontId="0" fillId="7" borderId="0" xfId="1" applyNumberFormat="1" applyFont="1" applyFill="1"/>
    <xf numFmtId="173" fontId="23" fillId="0" borderId="0" xfId="0" applyNumberFormat="1" applyFont="1"/>
    <xf numFmtId="173" fontId="0" fillId="7" borderId="0" xfId="4" applyNumberFormat="1" applyFont="1" applyFill="1"/>
    <xf numFmtId="178" fontId="0" fillId="7" borderId="0" xfId="0" applyNumberFormat="1" applyFill="1"/>
    <xf numFmtId="0" fontId="0" fillId="15" borderId="0" xfId="0" applyFill="1"/>
    <xf numFmtId="168" fontId="0" fillId="0" borderId="0" xfId="1" applyNumberFormat="1" applyFont="1" applyFill="1"/>
    <xf numFmtId="9" fontId="0" fillId="7" borderId="0" xfId="2" applyFont="1" applyFill="1" applyAlignment="1">
      <alignment horizontal="right" indent="1"/>
    </xf>
    <xf numFmtId="173" fontId="0" fillId="0" borderId="0" xfId="0" applyNumberFormat="1" applyAlignment="1">
      <alignment horizontal="center"/>
    </xf>
    <xf numFmtId="9" fontId="0" fillId="0" borderId="0" xfId="2" applyFont="1" applyFill="1"/>
    <xf numFmtId="0" fontId="24" fillId="8" borderId="0" xfId="0" applyFont="1" applyFill="1"/>
    <xf numFmtId="0" fontId="25" fillId="8" borderId="0" xfId="0" applyFont="1" applyFill="1" applyAlignment="1">
      <alignment horizontal="right"/>
    </xf>
    <xf numFmtId="168" fontId="25" fillId="8" borderId="0" xfId="0" applyNumberFormat="1" applyFont="1" applyFill="1"/>
    <xf numFmtId="168" fontId="25" fillId="8" borderId="0" xfId="1" applyNumberFormat="1" applyFont="1" applyFill="1"/>
    <xf numFmtId="0" fontId="24" fillId="12" borderId="0" xfId="0" applyFont="1" applyFill="1"/>
    <xf numFmtId="166" fontId="24" fillId="12" borderId="0" xfId="4" applyFont="1" applyFill="1"/>
    <xf numFmtId="0" fontId="25" fillId="12" borderId="0" xfId="0" applyFont="1" applyFill="1"/>
    <xf numFmtId="168" fontId="25" fillId="12" borderId="0" xfId="0" applyNumberFormat="1" applyFont="1" applyFill="1"/>
    <xf numFmtId="0" fontId="24" fillId="0" borderId="0" xfId="0" applyFont="1"/>
    <xf numFmtId="169" fontId="24" fillId="0" borderId="0" xfId="2" applyNumberFormat="1" applyFont="1"/>
    <xf numFmtId="168" fontId="25" fillId="0" borderId="0" xfId="0" applyNumberFormat="1" applyFont="1"/>
    <xf numFmtId="168" fontId="24" fillId="0" borderId="0" xfId="0" applyNumberFormat="1" applyFont="1"/>
    <xf numFmtId="0" fontId="25" fillId="0" borderId="0" xfId="0" applyFont="1" applyAlignment="1">
      <alignment horizontal="center"/>
    </xf>
    <xf numFmtId="0" fontId="24" fillId="0" borderId="0" xfId="0" applyFont="1" applyAlignment="1">
      <alignment horizontal="center"/>
    </xf>
    <xf numFmtId="168" fontId="25" fillId="0" borderId="0" xfId="1" applyNumberFormat="1" applyFont="1"/>
    <xf numFmtId="0" fontId="26" fillId="0" borderId="8" xfId="0" applyFont="1" applyBorder="1" applyProtection="1">
      <protection hidden="1"/>
    </xf>
    <xf numFmtId="0" fontId="26" fillId="0" borderId="4" xfId="0" applyFont="1" applyBorder="1" applyProtection="1">
      <protection hidden="1"/>
    </xf>
    <xf numFmtId="0" fontId="27" fillId="0" borderId="0" xfId="0" applyFont="1" applyProtection="1">
      <protection hidden="1"/>
    </xf>
    <xf numFmtId="164" fontId="27" fillId="0" borderId="0" xfId="0" applyNumberFormat="1" applyFont="1" applyProtection="1">
      <protection hidden="1"/>
    </xf>
    <xf numFmtId="164" fontId="29" fillId="0" borderId="0" xfId="6" applyNumberFormat="1" applyFont="1"/>
    <xf numFmtId="0" fontId="27" fillId="0" borderId="9" xfId="0" applyFont="1" applyBorder="1" applyAlignment="1" applyProtection="1">
      <alignment horizontal="center" vertical="center"/>
      <protection hidden="1"/>
    </xf>
    <xf numFmtId="0" fontId="27" fillId="0" borderId="10" xfId="0" applyFont="1" applyBorder="1" applyAlignment="1" applyProtection="1">
      <alignment horizontal="center" vertical="center"/>
      <protection hidden="1"/>
    </xf>
    <xf numFmtId="175" fontId="29" fillId="0" borderId="0" xfId="6" applyNumberFormat="1" applyFont="1"/>
    <xf numFmtId="0" fontId="27" fillId="0" borderId="11" xfId="0" applyFont="1" applyBorder="1" applyProtection="1">
      <protection hidden="1"/>
    </xf>
    <xf numFmtId="176" fontId="27" fillId="0" borderId="3" xfId="0" applyNumberFormat="1" applyFont="1" applyBorder="1" applyProtection="1">
      <protection hidden="1"/>
    </xf>
    <xf numFmtId="181" fontId="27" fillId="0" borderId="3" xfId="0" applyNumberFormat="1" applyFont="1" applyBorder="1" applyProtection="1">
      <protection hidden="1"/>
    </xf>
    <xf numFmtId="181" fontId="27" fillId="0" borderId="12" xfId="0" applyNumberFormat="1" applyFont="1" applyBorder="1" applyProtection="1">
      <protection hidden="1"/>
    </xf>
    <xf numFmtId="0" fontId="30" fillId="0" borderId="0" xfId="0" applyFont="1" applyProtection="1">
      <protection hidden="1"/>
    </xf>
    <xf numFmtId="0" fontId="27" fillId="0" borderId="5" xfId="0" applyFont="1" applyBorder="1" applyProtection="1">
      <protection hidden="1"/>
    </xf>
    <xf numFmtId="180" fontId="26" fillId="5" borderId="6" xfId="0" applyNumberFormat="1" applyFont="1" applyFill="1" applyBorder="1" applyProtection="1">
      <protection hidden="1"/>
    </xf>
    <xf numFmtId="169" fontId="27" fillId="0" borderId="6" xfId="2" applyNumberFormat="1" applyFont="1" applyBorder="1" applyAlignment="1" applyProtection="1">
      <alignment horizontal="right" vertical="center"/>
      <protection hidden="1"/>
    </xf>
    <xf numFmtId="179" fontId="26" fillId="7" borderId="5" xfId="0" applyNumberFormat="1" applyFont="1" applyFill="1" applyBorder="1" applyProtection="1">
      <protection hidden="1"/>
    </xf>
    <xf numFmtId="0" fontId="26" fillId="0" borderId="6" xfId="0" applyFont="1" applyBorder="1" applyProtection="1">
      <protection hidden="1"/>
    </xf>
    <xf numFmtId="0" fontId="29" fillId="0" borderId="0" xfId="6" applyFont="1"/>
    <xf numFmtId="0" fontId="27" fillId="0" borderId="0" xfId="0" applyFont="1" applyAlignment="1" applyProtection="1">
      <alignment wrapText="1"/>
      <protection hidden="1"/>
    </xf>
    <xf numFmtId="168" fontId="27" fillId="0" borderId="0" xfId="0" applyNumberFormat="1" applyFont="1" applyProtection="1">
      <protection hidden="1"/>
    </xf>
    <xf numFmtId="9" fontId="27" fillId="0" borderId="0" xfId="0" applyNumberFormat="1" applyFont="1" applyProtection="1">
      <protection hidden="1"/>
    </xf>
    <xf numFmtId="174" fontId="27" fillId="0" borderId="0" xfId="0" applyNumberFormat="1" applyFont="1" applyProtection="1">
      <protection hidden="1"/>
    </xf>
    <xf numFmtId="165" fontId="30" fillId="0" borderId="0" xfId="0" applyNumberFormat="1" applyFont="1" applyProtection="1">
      <protection hidden="1"/>
    </xf>
    <xf numFmtId="166" fontId="30" fillId="0" borderId="0" xfId="0" applyNumberFormat="1" applyFont="1" applyProtection="1">
      <protection hidden="1"/>
    </xf>
    <xf numFmtId="0" fontId="27" fillId="0" borderId="0" xfId="0" applyFont="1" applyAlignment="1" applyProtection="1">
      <alignment horizontal="left"/>
      <protection hidden="1"/>
    </xf>
    <xf numFmtId="165" fontId="27" fillId="0" borderId="0" xfId="0" applyNumberFormat="1" applyFont="1" applyProtection="1">
      <protection hidden="1"/>
    </xf>
    <xf numFmtId="174" fontId="26" fillId="0" borderId="0" xfId="4" applyNumberFormat="1" applyFont="1" applyProtection="1">
      <protection hidden="1"/>
    </xf>
    <xf numFmtId="166" fontId="26" fillId="0" borderId="0" xfId="4" applyFont="1" applyProtection="1">
      <protection hidden="1"/>
    </xf>
    <xf numFmtId="168" fontId="26" fillId="0" borderId="0" xfId="1" applyNumberFormat="1" applyFont="1" applyProtection="1">
      <protection hidden="1"/>
    </xf>
    <xf numFmtId="168" fontId="26" fillId="0" borderId="0" xfId="4" applyNumberFormat="1" applyFont="1" applyProtection="1">
      <protection hidden="1"/>
    </xf>
    <xf numFmtId="0" fontId="26" fillId="0" borderId="0" xfId="0" applyFont="1" applyProtection="1">
      <protection hidden="1"/>
    </xf>
    <xf numFmtId="165" fontId="30" fillId="0" borderId="0" xfId="1" applyFont="1" applyProtection="1">
      <protection hidden="1"/>
    </xf>
    <xf numFmtId="0" fontId="30" fillId="0" borderId="0" xfId="0" applyFont="1" applyAlignment="1" applyProtection="1">
      <alignment horizontal="center"/>
      <protection hidden="1"/>
    </xf>
    <xf numFmtId="165" fontId="28" fillId="0" borderId="0" xfId="1" applyFont="1" applyProtection="1">
      <protection hidden="1"/>
    </xf>
    <xf numFmtId="0" fontId="27" fillId="0" borderId="0" xfId="0" applyFont="1"/>
    <xf numFmtId="0" fontId="27" fillId="0" borderId="21" xfId="0" applyFont="1" applyBorder="1"/>
    <xf numFmtId="0" fontId="27" fillId="0" borderId="19" xfId="0" applyFont="1" applyBorder="1"/>
    <xf numFmtId="0" fontId="27" fillId="0" borderId="20" xfId="0" applyFont="1" applyBorder="1"/>
    <xf numFmtId="0" fontId="27" fillId="0" borderId="22" xfId="0" applyFont="1" applyBorder="1"/>
    <xf numFmtId="0" fontId="27" fillId="0" borderId="18" xfId="0" applyFont="1" applyBorder="1" applyAlignment="1">
      <alignment horizontal="center" vertical="center" wrapText="1"/>
    </xf>
    <xf numFmtId="0" fontId="31" fillId="23" borderId="23" xfId="0" applyFont="1" applyFill="1" applyBorder="1" applyAlignment="1">
      <alignment horizontal="center" wrapText="1"/>
    </xf>
    <xf numFmtId="0" fontId="32" fillId="23" borderId="25" xfId="0" applyFont="1" applyFill="1" applyBorder="1" applyAlignment="1">
      <alignment vertical="center" wrapText="1"/>
    </xf>
    <xf numFmtId="0" fontId="31" fillId="23" borderId="25" xfId="0" applyFont="1" applyFill="1" applyBorder="1" applyAlignment="1">
      <alignment vertical="center" wrapText="1"/>
    </xf>
    <xf numFmtId="0" fontId="0" fillId="0" borderId="0" xfId="0" applyAlignment="1">
      <alignment vertical="center"/>
    </xf>
    <xf numFmtId="0" fontId="31" fillId="23" borderId="23" xfId="0" applyFont="1" applyFill="1" applyBorder="1" applyAlignment="1">
      <alignment horizontal="center" vertical="center" wrapText="1"/>
    </xf>
    <xf numFmtId="0" fontId="31" fillId="23" borderId="24" xfId="0" applyFont="1" applyFill="1" applyBorder="1" applyAlignment="1">
      <alignment horizontal="center" vertical="center" wrapText="1"/>
    </xf>
    <xf numFmtId="0" fontId="0" fillId="0" borderId="0" xfId="0" applyAlignment="1">
      <alignment horizontal="center" vertical="center"/>
    </xf>
    <xf numFmtId="0" fontId="32" fillId="23" borderId="25" xfId="0" applyFont="1" applyFill="1" applyBorder="1" applyAlignment="1">
      <alignment horizontal="center" vertical="center" wrapText="1"/>
    </xf>
    <xf numFmtId="6" fontId="32" fillId="23" borderId="25" xfId="0" applyNumberFormat="1" applyFont="1" applyFill="1" applyBorder="1" applyAlignment="1">
      <alignment horizontal="right" vertical="center" wrapText="1"/>
    </xf>
    <xf numFmtId="0" fontId="0" fillId="0" borderId="0" xfId="0" applyAlignment="1">
      <alignment horizontal="right" vertical="center"/>
    </xf>
    <xf numFmtId="0" fontId="31" fillId="23" borderId="24" xfId="0" applyFont="1" applyFill="1" applyBorder="1" applyAlignment="1">
      <alignment horizontal="right" vertical="center" wrapText="1"/>
    </xf>
    <xf numFmtId="0" fontId="32" fillId="23" borderId="26" xfId="0" applyFont="1" applyFill="1" applyBorder="1" applyAlignment="1">
      <alignment horizontal="right" vertical="center" wrapText="1"/>
    </xf>
    <xf numFmtId="0" fontId="31" fillId="23" borderId="26" xfId="0" applyFont="1" applyFill="1" applyBorder="1" applyAlignment="1">
      <alignment horizontal="right" vertical="center" wrapText="1"/>
    </xf>
    <xf numFmtId="0" fontId="32" fillId="23" borderId="25" xfId="0" applyFont="1" applyFill="1" applyBorder="1" applyAlignment="1">
      <alignment horizontal="left" vertical="center" wrapText="1" indent="1"/>
    </xf>
    <xf numFmtId="0" fontId="31" fillId="23" borderId="25" xfId="0" applyFont="1" applyFill="1" applyBorder="1" applyAlignment="1">
      <alignment horizontal="left" vertical="center" wrapText="1" indent="1"/>
    </xf>
    <xf numFmtId="173" fontId="32" fillId="23" borderId="25" xfId="4" applyNumberFormat="1" applyFont="1" applyFill="1" applyBorder="1" applyAlignment="1">
      <alignment vertical="center" wrapText="1"/>
    </xf>
    <xf numFmtId="6" fontId="32" fillId="23" borderId="27" xfId="0" applyNumberFormat="1" applyFont="1" applyFill="1" applyBorder="1" applyAlignment="1">
      <alignment horizontal="right" vertical="center" wrapText="1"/>
    </xf>
    <xf numFmtId="6" fontId="32" fillId="23" borderId="28" xfId="0" applyNumberFormat="1" applyFont="1" applyFill="1" applyBorder="1" applyAlignment="1">
      <alignment horizontal="right" vertical="center" wrapText="1"/>
    </xf>
    <xf numFmtId="6" fontId="33" fillId="23" borderId="28" xfId="0" applyNumberFormat="1" applyFont="1" applyFill="1" applyBorder="1" applyAlignment="1">
      <alignment horizontal="right" vertical="center" wrapText="1"/>
    </xf>
    <xf numFmtId="0" fontId="33" fillId="23" borderId="25" xfId="0" applyFont="1" applyFill="1" applyBorder="1" applyAlignment="1">
      <alignment horizontal="left" vertical="center" wrapText="1" indent="1"/>
    </xf>
    <xf numFmtId="0" fontId="31" fillId="23" borderId="27" xfId="0" applyFont="1" applyFill="1" applyBorder="1" applyAlignment="1">
      <alignment horizontal="center" vertical="center" wrapText="1"/>
    </xf>
    <xf numFmtId="9" fontId="0" fillId="0" borderId="0" xfId="2" applyFont="1" applyAlignment="1">
      <alignment vertical="center"/>
    </xf>
    <xf numFmtId="0" fontId="31" fillId="23" borderId="24" xfId="0" applyFont="1" applyFill="1" applyBorder="1" applyAlignment="1">
      <alignment horizontal="right" wrapText="1"/>
    </xf>
    <xf numFmtId="168" fontId="5" fillId="11" borderId="0" xfId="1" applyNumberFormat="1" applyFont="1" applyFill="1"/>
    <xf numFmtId="168" fontId="0" fillId="22" borderId="0" xfId="1" applyNumberFormat="1" applyFont="1" applyFill="1"/>
    <xf numFmtId="0" fontId="0" fillId="22" borderId="0" xfId="0" applyFill="1"/>
    <xf numFmtId="0" fontId="0" fillId="7" borderId="0" xfId="0" applyFill="1"/>
    <xf numFmtId="0" fontId="0" fillId="16" borderId="0" xfId="0" applyFill="1"/>
    <xf numFmtId="168" fontId="0" fillId="16" borderId="0" xfId="1" applyNumberFormat="1" applyFont="1" applyFill="1"/>
    <xf numFmtId="168" fontId="13" fillId="11" borderId="0" xfId="0" applyNumberFormat="1" applyFont="1" applyFill="1"/>
    <xf numFmtId="0" fontId="26" fillId="0" borderId="0" xfId="0" applyFont="1" applyAlignment="1" applyProtection="1">
      <alignment horizontal="center" vertical="center"/>
      <protection hidden="1"/>
    </xf>
    <xf numFmtId="0" fontId="26" fillId="0" borderId="0" xfId="0" applyFont="1" applyAlignment="1" applyProtection="1">
      <alignment wrapText="1"/>
      <protection hidden="1"/>
    </xf>
    <xf numFmtId="0" fontId="34" fillId="0" borderId="0" xfId="0" applyFont="1"/>
    <xf numFmtId="0" fontId="34" fillId="24" borderId="0" xfId="0" applyFont="1" applyFill="1"/>
    <xf numFmtId="0" fontId="34" fillId="0" borderId="0" xfId="0" applyFont="1" applyAlignment="1">
      <alignment horizontal="left" indent="1"/>
    </xf>
    <xf numFmtId="178" fontId="34" fillId="0" borderId="0" xfId="0" applyNumberFormat="1" applyFont="1" applyAlignment="1">
      <alignment horizontal="right"/>
    </xf>
    <xf numFmtId="178" fontId="34" fillId="0" borderId="0" xfId="0" applyNumberFormat="1" applyFont="1" applyAlignment="1">
      <alignment horizontal="center"/>
    </xf>
    <xf numFmtId="178" fontId="35" fillId="7" borderId="0" xfId="0" applyNumberFormat="1" applyFont="1" applyFill="1" applyAlignment="1">
      <alignment horizontal="center"/>
    </xf>
    <xf numFmtId="178" fontId="34" fillId="0" borderId="0" xfId="0" applyNumberFormat="1" applyFont="1"/>
    <xf numFmtId="0" fontId="34" fillId="0" borderId="0" xfId="0" applyFont="1" applyAlignment="1">
      <alignment horizontal="center"/>
    </xf>
    <xf numFmtId="178" fontId="34" fillId="0" borderId="0" xfId="1" applyNumberFormat="1" applyFont="1"/>
    <xf numFmtId="0" fontId="35" fillId="0" borderId="0" xfId="0" applyFont="1" applyAlignment="1">
      <alignment horizontal="left" indent="1"/>
    </xf>
    <xf numFmtId="168" fontId="34" fillId="0" borderId="0" xfId="1" applyNumberFormat="1" applyFont="1"/>
    <xf numFmtId="178" fontId="34" fillId="0" borderId="0" xfId="4" applyNumberFormat="1" applyFont="1"/>
    <xf numFmtId="0" fontId="34" fillId="25" borderId="0" xfId="0" applyFont="1" applyFill="1"/>
    <xf numFmtId="178" fontId="34" fillId="25" borderId="0" xfId="0" applyNumberFormat="1" applyFont="1" applyFill="1"/>
    <xf numFmtId="0" fontId="34" fillId="25" borderId="0" xfId="0" applyFont="1" applyFill="1" applyAlignment="1">
      <alignment horizontal="left" indent="1"/>
    </xf>
    <xf numFmtId="0" fontId="34" fillId="8" borderId="0" xfId="0" applyFont="1" applyFill="1"/>
    <xf numFmtId="0" fontId="35" fillId="8" borderId="0" xfId="0" applyFont="1" applyFill="1" applyAlignment="1">
      <alignment horizontal="left" indent="1"/>
    </xf>
    <xf numFmtId="173" fontId="34" fillId="0" borderId="0" xfId="0" applyNumberFormat="1" applyFont="1"/>
    <xf numFmtId="169" fontId="34" fillId="0" borderId="0" xfId="0" applyNumberFormat="1" applyFont="1"/>
    <xf numFmtId="0" fontId="35" fillId="0" borderId="0" xfId="0" applyFont="1" applyAlignment="1">
      <alignment horizontal="center"/>
    </xf>
    <xf numFmtId="0" fontId="35" fillId="24" borderId="0" xfId="0" applyFont="1" applyFill="1" applyAlignment="1">
      <alignment horizontal="center"/>
    </xf>
    <xf numFmtId="173" fontId="34" fillId="0" borderId="0" xfId="4" applyNumberFormat="1" applyFont="1"/>
    <xf numFmtId="169" fontId="34" fillId="0" borderId="0" xfId="2" applyNumberFormat="1" applyFont="1"/>
    <xf numFmtId="0" fontId="35" fillId="8" borderId="0" xfId="0" applyFont="1" applyFill="1" applyAlignment="1">
      <alignment horizontal="center"/>
    </xf>
    <xf numFmtId="178" fontId="35" fillId="8" borderId="0" xfId="0" applyNumberFormat="1" applyFont="1" applyFill="1" applyAlignment="1">
      <alignment horizontal="right"/>
    </xf>
    <xf numFmtId="0" fontId="35" fillId="8" borderId="0" xfId="0" applyFont="1" applyFill="1" applyAlignment="1">
      <alignment horizontal="left"/>
    </xf>
    <xf numFmtId="173" fontId="34" fillId="0" borderId="0" xfId="4" applyNumberFormat="1" applyFont="1" applyAlignment="1">
      <alignment horizontal="center"/>
    </xf>
    <xf numFmtId="178" fontId="35" fillId="0" borderId="0" xfId="0" applyNumberFormat="1" applyFont="1" applyAlignment="1">
      <alignment horizontal="right"/>
    </xf>
    <xf numFmtId="178" fontId="34" fillId="5" borderId="0" xfId="0" applyNumberFormat="1" applyFont="1" applyFill="1" applyAlignment="1">
      <alignment horizontal="right"/>
    </xf>
    <xf numFmtId="178" fontId="34" fillId="5" borderId="0" xfId="1" applyNumberFormat="1" applyFont="1" applyFill="1"/>
    <xf numFmtId="0" fontId="35" fillId="5" borderId="0" xfId="0" applyFont="1" applyFill="1" applyAlignment="1">
      <alignment horizontal="center"/>
    </xf>
    <xf numFmtId="0" fontId="35" fillId="5" borderId="0" xfId="0" applyFont="1" applyFill="1" applyAlignment="1">
      <alignment horizontal="left" indent="1"/>
    </xf>
    <xf numFmtId="178" fontId="35" fillId="5" borderId="0" xfId="0" applyNumberFormat="1" applyFont="1" applyFill="1" applyAlignment="1">
      <alignment horizontal="right"/>
    </xf>
    <xf numFmtId="0" fontId="34" fillId="0" borderId="0" xfId="0" applyFont="1" applyAlignment="1">
      <alignment horizontal="right"/>
    </xf>
    <xf numFmtId="0" fontId="34" fillId="26" borderId="0" xfId="0" applyFont="1" applyFill="1"/>
    <xf numFmtId="178" fontId="35" fillId="26" borderId="0" xfId="0" applyNumberFormat="1" applyFont="1" applyFill="1"/>
    <xf numFmtId="0" fontId="35" fillId="26" borderId="0" xfId="0" applyFont="1" applyFill="1" applyAlignment="1">
      <alignment horizontal="left" indent="1"/>
    </xf>
    <xf numFmtId="0" fontId="34" fillId="5" borderId="0" xfId="0" applyFont="1" applyFill="1"/>
    <xf numFmtId="178" fontId="34" fillId="5" borderId="0" xfId="4" applyNumberFormat="1" applyFont="1" applyFill="1"/>
    <xf numFmtId="0" fontId="34" fillId="0" borderId="0" xfId="0" applyFont="1" applyAlignment="1">
      <alignment horizontal="left" indent="2"/>
    </xf>
    <xf numFmtId="0" fontId="34" fillId="10" borderId="0" xfId="0" applyFont="1" applyFill="1"/>
    <xf numFmtId="178" fontId="35" fillId="10" borderId="0" xfId="0" applyNumberFormat="1" applyFont="1" applyFill="1"/>
    <xf numFmtId="0" fontId="35" fillId="10" borderId="0" xfId="0" applyFont="1" applyFill="1" applyAlignment="1">
      <alignment horizontal="left" indent="1"/>
    </xf>
    <xf numFmtId="0" fontId="36" fillId="24" borderId="0" xfId="0" applyFont="1" applyFill="1" applyAlignment="1">
      <alignment horizontal="center"/>
    </xf>
    <xf numFmtId="0" fontId="36" fillId="11" borderId="0" xfId="0" applyFont="1" applyFill="1" applyAlignment="1">
      <alignment horizontal="center"/>
    </xf>
    <xf numFmtId="0" fontId="36" fillId="27" borderId="0" xfId="0" applyFont="1" applyFill="1" applyAlignment="1">
      <alignment horizontal="center"/>
    </xf>
    <xf numFmtId="0" fontId="37" fillId="7" borderId="0" xfId="0" applyFont="1" applyFill="1" applyAlignment="1">
      <alignment horizontal="center"/>
    </xf>
    <xf numFmtId="0" fontId="35" fillId="28" borderId="0" xfId="0" applyFont="1" applyFill="1" applyAlignment="1">
      <alignment horizontal="center"/>
    </xf>
    <xf numFmtId="178" fontId="2" fillId="21" borderId="0" xfId="0" applyNumberFormat="1" applyFont="1" applyFill="1"/>
    <xf numFmtId="178" fontId="18" fillId="0" borderId="0" xfId="1" applyNumberFormat="1" applyFont="1"/>
    <xf numFmtId="0" fontId="0" fillId="30" borderId="0" xfId="0" applyFill="1" applyAlignment="1">
      <alignment horizontal="center"/>
    </xf>
    <xf numFmtId="0" fontId="0" fillId="31" borderId="0" xfId="0" applyFill="1" applyAlignment="1">
      <alignment horizontal="center"/>
    </xf>
    <xf numFmtId="0" fontId="2" fillId="30" borderId="0" xfId="0" applyFont="1" applyFill="1" applyAlignment="1">
      <alignment horizontal="center"/>
    </xf>
    <xf numFmtId="0" fontId="2" fillId="31" borderId="0" xfId="0" applyFont="1" applyFill="1" applyAlignment="1">
      <alignment horizontal="center"/>
    </xf>
    <xf numFmtId="0" fontId="0" fillId="3" borderId="0" xfId="0" applyFill="1" applyAlignment="1">
      <alignment horizontal="center"/>
    </xf>
    <xf numFmtId="168" fontId="18" fillId="0" borderId="0" xfId="0" applyNumberFormat="1" applyFont="1"/>
    <xf numFmtId="0" fontId="18" fillId="0" borderId="0" xfId="0" applyFont="1"/>
    <xf numFmtId="168" fontId="22" fillId="0" borderId="0" xfId="0" applyNumberFormat="1" applyFont="1"/>
    <xf numFmtId="169" fontId="18" fillId="0" borderId="0" xfId="2" applyNumberFormat="1" applyFont="1"/>
    <xf numFmtId="168" fontId="22" fillId="12" borderId="0" xfId="0" applyNumberFormat="1" applyFont="1" applyFill="1"/>
    <xf numFmtId="0" fontId="22" fillId="12" borderId="0" xfId="0" applyFont="1" applyFill="1"/>
    <xf numFmtId="166" fontId="18" fillId="12" borderId="0" xfId="4" applyFont="1" applyFill="1"/>
    <xf numFmtId="0" fontId="18" fillId="12" borderId="0" xfId="0" applyFont="1" applyFill="1"/>
    <xf numFmtId="168" fontId="22" fillId="8" borderId="0" xfId="1" applyNumberFormat="1" applyFont="1" applyFill="1"/>
    <xf numFmtId="168" fontId="22" fillId="8" borderId="0" xfId="0" applyNumberFormat="1" applyFont="1" applyFill="1"/>
    <xf numFmtId="0" fontId="22" fillId="8" borderId="0" xfId="0" applyFont="1" applyFill="1" applyAlignment="1">
      <alignment horizontal="right"/>
    </xf>
    <xf numFmtId="0" fontId="18" fillId="8" borderId="0" xfId="0" applyFont="1" applyFill="1"/>
    <xf numFmtId="168" fontId="0" fillId="8" borderId="0" xfId="1" applyNumberFormat="1" applyFont="1" applyFill="1"/>
    <xf numFmtId="0" fontId="2" fillId="0" borderId="0" xfId="0" applyFont="1" applyAlignment="1">
      <alignment horizontal="right"/>
    </xf>
    <xf numFmtId="0" fontId="0" fillId="2" borderId="0" xfId="0" applyFill="1" applyAlignment="1">
      <alignment horizontal="center"/>
    </xf>
    <xf numFmtId="0" fontId="7" fillId="0" borderId="0" xfId="0" applyFont="1"/>
    <xf numFmtId="0" fontId="34" fillId="12" borderId="0" xfId="0" applyFont="1" applyFill="1"/>
    <xf numFmtId="178" fontId="34" fillId="12" borderId="0" xfId="4" applyNumberFormat="1" applyFont="1" applyFill="1"/>
    <xf numFmtId="0" fontId="36" fillId="0" borderId="0" xfId="0" applyFont="1" applyAlignment="1">
      <alignment horizontal="center"/>
    </xf>
    <xf numFmtId="178" fontId="35" fillId="0" borderId="0" xfId="0" applyNumberFormat="1" applyFont="1"/>
    <xf numFmtId="178" fontId="34" fillId="0" borderId="0" xfId="4" applyNumberFormat="1" applyFont="1" applyFill="1"/>
    <xf numFmtId="169" fontId="34" fillId="0" borderId="0" xfId="2" applyNumberFormat="1" applyFont="1" applyFill="1"/>
    <xf numFmtId="178" fontId="34" fillId="0" borderId="0" xfId="1" applyNumberFormat="1" applyFont="1" applyFill="1"/>
    <xf numFmtId="166" fontId="34" fillId="0" borderId="0" xfId="4" applyFont="1" applyAlignment="1">
      <alignment horizontal="center"/>
    </xf>
    <xf numFmtId="43" fontId="35" fillId="0" borderId="0" xfId="0" applyNumberFormat="1" applyFont="1" applyAlignment="1">
      <alignment horizontal="center"/>
    </xf>
    <xf numFmtId="173" fontId="35" fillId="0" borderId="0" xfId="4" applyNumberFormat="1" applyFont="1" applyAlignment="1">
      <alignment horizontal="center"/>
    </xf>
    <xf numFmtId="169" fontId="34" fillId="0" borderId="0" xfId="2" applyNumberFormat="1" applyFont="1" applyAlignment="1">
      <alignment horizontal="center"/>
    </xf>
    <xf numFmtId="0" fontId="35" fillId="8" borderId="0" xfId="0" applyFont="1" applyFill="1"/>
    <xf numFmtId="0" fontId="35" fillId="0" borderId="0" xfId="0" applyFont="1" applyAlignment="1">
      <alignment horizontal="left"/>
    </xf>
    <xf numFmtId="0" fontId="35" fillId="5" borderId="0" xfId="0" applyFont="1" applyFill="1" applyAlignment="1">
      <alignment horizontal="left"/>
    </xf>
    <xf numFmtId="178" fontId="34" fillId="5" borderId="0" xfId="0" applyNumberFormat="1" applyFont="1" applyFill="1"/>
    <xf numFmtId="0" fontId="35" fillId="31" borderId="0" xfId="0" applyFont="1" applyFill="1" applyAlignment="1">
      <alignment horizontal="left" indent="1"/>
    </xf>
    <xf numFmtId="0" fontId="34" fillId="31" borderId="0" xfId="0" applyFont="1" applyFill="1"/>
    <xf numFmtId="178" fontId="35" fillId="31" borderId="0" xfId="0" applyNumberFormat="1" applyFont="1" applyFill="1"/>
    <xf numFmtId="169" fontId="38" fillId="0" borderId="0" xfId="2" applyNumberFormat="1" applyFont="1" applyFill="1" applyAlignment="1">
      <alignment horizontal="right"/>
    </xf>
    <xf numFmtId="178" fontId="38" fillId="0" borderId="0" xfId="0" applyNumberFormat="1" applyFont="1" applyAlignment="1">
      <alignment horizontal="right"/>
    </xf>
    <xf numFmtId="0" fontId="34" fillId="0" borderId="0" xfId="0" applyFont="1" applyAlignment="1">
      <alignment horizontal="left"/>
    </xf>
    <xf numFmtId="173" fontId="34" fillId="0" borderId="0" xfId="4" applyNumberFormat="1" applyFont="1" applyFill="1" applyAlignment="1">
      <alignment horizontal="left"/>
    </xf>
    <xf numFmtId="0" fontId="35" fillId="25" borderId="0" xfId="0" applyFont="1" applyFill="1" applyAlignment="1">
      <alignment horizontal="left" indent="1"/>
    </xf>
    <xf numFmtId="178" fontId="34" fillId="12" borderId="0" xfId="0" applyNumberFormat="1" applyFont="1" applyFill="1"/>
    <xf numFmtId="0" fontId="35" fillId="12" borderId="0" xfId="0" applyFont="1" applyFill="1" applyAlignment="1">
      <alignment horizontal="left" indent="1"/>
    </xf>
    <xf numFmtId="173" fontId="35" fillId="0" borderId="0" xfId="0" applyNumberFormat="1" applyFont="1" applyAlignment="1">
      <alignment horizontal="center"/>
    </xf>
    <xf numFmtId="0" fontId="35" fillId="17" borderId="0" xfId="0" applyFont="1" applyFill="1" applyAlignment="1">
      <alignment horizontal="left" indent="1"/>
    </xf>
    <xf numFmtId="0" fontId="34" fillId="17" borderId="0" xfId="0" applyFont="1" applyFill="1"/>
    <xf numFmtId="178" fontId="34" fillId="17" borderId="0" xfId="0" applyNumberFormat="1" applyFont="1" applyFill="1"/>
    <xf numFmtId="0" fontId="39" fillId="5" borderId="0" xfId="0" applyFont="1" applyFill="1" applyAlignment="1">
      <alignment horizontal="left" indent="1"/>
    </xf>
    <xf numFmtId="0" fontId="39" fillId="5" borderId="0" xfId="0" applyFont="1" applyFill="1" applyAlignment="1">
      <alignment horizontal="center"/>
    </xf>
    <xf numFmtId="178" fontId="39" fillId="5" borderId="0" xfId="0" applyNumberFormat="1" applyFont="1" applyFill="1" applyAlignment="1">
      <alignment horizontal="right"/>
    </xf>
    <xf numFmtId="169" fontId="39" fillId="5" borderId="0" xfId="2" applyNumberFormat="1" applyFont="1" applyFill="1" applyAlignment="1">
      <alignment horizontal="right"/>
    </xf>
    <xf numFmtId="0" fontId="39" fillId="0" borderId="0" xfId="0" applyFont="1" applyAlignment="1">
      <alignment horizontal="center"/>
    </xf>
    <xf numFmtId="9" fontId="34" fillId="0" borderId="0" xfId="0" applyNumberFormat="1" applyFont="1"/>
    <xf numFmtId="9" fontId="35" fillId="0" borderId="0" xfId="0" applyNumberFormat="1" applyFont="1" applyAlignment="1">
      <alignment horizontal="center"/>
    </xf>
    <xf numFmtId="9" fontId="34" fillId="0" borderId="0" xfId="0" applyNumberFormat="1" applyFont="1" applyAlignment="1">
      <alignment horizontal="center"/>
    </xf>
    <xf numFmtId="169" fontId="39" fillId="0" borderId="0" xfId="2" applyNumberFormat="1" applyFont="1" applyFill="1" applyAlignment="1">
      <alignment horizontal="right"/>
    </xf>
    <xf numFmtId="0" fontId="40" fillId="5" borderId="0" xfId="0" applyFont="1" applyFill="1" applyAlignment="1">
      <alignment horizontal="left" indent="1"/>
    </xf>
    <xf numFmtId="0" fontId="40" fillId="0" borderId="0" xfId="0" applyFont="1" applyAlignment="1">
      <alignment horizontal="left" indent="1"/>
    </xf>
    <xf numFmtId="0" fontId="35" fillId="12" borderId="0" xfId="0" applyFont="1" applyFill="1" applyAlignment="1">
      <alignment horizontal="center"/>
    </xf>
    <xf numFmtId="178" fontId="38" fillId="12" borderId="0" xfId="0" applyNumberFormat="1" applyFont="1" applyFill="1" applyAlignment="1">
      <alignment horizontal="right"/>
    </xf>
    <xf numFmtId="0" fontId="39" fillId="32" borderId="0" xfId="0" applyFont="1" applyFill="1" applyAlignment="1">
      <alignment horizontal="left" indent="1"/>
    </xf>
    <xf numFmtId="0" fontId="39" fillId="32" borderId="0" xfId="0" applyFont="1" applyFill="1" applyAlignment="1">
      <alignment horizontal="center"/>
    </xf>
    <xf numFmtId="178" fontId="39" fillId="32" borderId="0" xfId="0" applyNumberFormat="1" applyFont="1" applyFill="1" applyAlignment="1">
      <alignment horizontal="right"/>
    </xf>
    <xf numFmtId="169" fontId="39" fillId="32" borderId="0" xfId="2" applyNumberFormat="1" applyFont="1" applyFill="1" applyAlignment="1">
      <alignment horizontal="right"/>
    </xf>
    <xf numFmtId="0" fontId="41" fillId="24" borderId="0" xfId="0" applyFont="1" applyFill="1" applyAlignment="1">
      <alignment horizontal="left" indent="1"/>
    </xf>
    <xf numFmtId="0" fontId="41" fillId="24" borderId="0" xfId="0" applyFont="1" applyFill="1" applyAlignment="1">
      <alignment horizontal="center"/>
    </xf>
    <xf numFmtId="169" fontId="41" fillId="24" borderId="0" xfId="2" applyNumberFormat="1" applyFont="1" applyFill="1" applyAlignment="1">
      <alignment horizontal="right"/>
    </xf>
    <xf numFmtId="0" fontId="30" fillId="6" borderId="0" xfId="0" applyFont="1" applyFill="1" applyProtection="1">
      <protection hidden="1"/>
    </xf>
    <xf numFmtId="0" fontId="30" fillId="6" borderId="0" xfId="0" applyFont="1" applyFill="1" applyProtection="1">
      <protection locked="0"/>
    </xf>
    <xf numFmtId="0" fontId="26" fillId="0" borderId="0" xfId="0" applyFont="1" applyAlignment="1" applyProtection="1">
      <alignment vertical="center" wrapText="1"/>
      <protection hidden="1"/>
    </xf>
    <xf numFmtId="0" fontId="26" fillId="0" borderId="0" xfId="0" applyFont="1" applyAlignment="1" applyProtection="1">
      <alignment horizontal="right"/>
      <protection hidden="1"/>
    </xf>
    <xf numFmtId="0" fontId="26" fillId="3" borderId="0" xfId="0" applyFont="1" applyFill="1" applyAlignment="1" applyProtection="1">
      <alignment wrapText="1"/>
      <protection hidden="1"/>
    </xf>
    <xf numFmtId="0" fontId="26" fillId="0" borderId="0" xfId="0" applyFont="1" applyAlignment="1" applyProtection="1">
      <alignment horizontal="center"/>
      <protection hidden="1"/>
    </xf>
    <xf numFmtId="0" fontId="30" fillId="4" borderId="0" xfId="0" applyFont="1" applyFill="1" applyProtection="1">
      <protection locked="0"/>
    </xf>
    <xf numFmtId="173" fontId="30" fillId="4" borderId="0" xfId="4" applyNumberFormat="1" applyFont="1" applyFill="1" applyProtection="1">
      <protection locked="0"/>
    </xf>
    <xf numFmtId="168" fontId="30" fillId="4" borderId="0" xfId="1" applyNumberFormat="1" applyFont="1" applyFill="1" applyProtection="1">
      <protection locked="0"/>
    </xf>
    <xf numFmtId="168" fontId="27" fillId="0" borderId="0" xfId="1" applyNumberFormat="1" applyFont="1" applyProtection="1">
      <protection hidden="1"/>
    </xf>
    <xf numFmtId="9" fontId="27" fillId="0" borderId="0" xfId="2" applyFont="1" applyAlignment="1" applyProtection="1">
      <alignment horizontal="left"/>
      <protection hidden="1"/>
    </xf>
    <xf numFmtId="9" fontId="30" fillId="4" borderId="0" xfId="2" applyFont="1" applyFill="1" applyProtection="1">
      <protection locked="0"/>
    </xf>
    <xf numFmtId="165" fontId="27" fillId="0" borderId="0" xfId="1" applyFont="1" applyProtection="1">
      <protection hidden="1"/>
    </xf>
    <xf numFmtId="0" fontId="26" fillId="0" borderId="5" xfId="0" applyFont="1" applyBorder="1" applyAlignment="1" applyProtection="1">
      <alignment horizontal="center"/>
      <protection hidden="1"/>
    </xf>
    <xf numFmtId="0" fontId="26" fillId="0" borderId="6" xfId="0" applyFont="1" applyBorder="1" applyAlignment="1" applyProtection="1">
      <alignment horizontal="center"/>
      <protection hidden="1"/>
    </xf>
    <xf numFmtId="0" fontId="26" fillId="0" borderId="13" xfId="0" applyFont="1" applyBorder="1" applyAlignment="1" applyProtection="1">
      <alignment wrapText="1"/>
      <protection hidden="1"/>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0" fontId="26" fillId="0" borderId="11" xfId="0" applyFont="1" applyBorder="1" applyProtection="1">
      <protection hidden="1"/>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0" fontId="27" fillId="0" borderId="6" xfId="0" applyFont="1" applyBorder="1" applyProtection="1">
      <protection hidden="1"/>
    </xf>
    <xf numFmtId="166" fontId="30" fillId="4" borderId="0" xfId="4" applyFont="1" applyFill="1" applyProtection="1">
      <protection locked="0"/>
    </xf>
    <xf numFmtId="168" fontId="26" fillId="5" borderId="0" xfId="0" applyNumberFormat="1" applyFont="1" applyFill="1" applyProtection="1">
      <protection hidden="1"/>
    </xf>
    <xf numFmtId="9" fontId="26" fillId="5" borderId="0" xfId="2" applyFont="1" applyFill="1" applyAlignment="1" applyProtection="1">
      <alignment horizontal="left"/>
      <protection hidden="1"/>
    </xf>
    <xf numFmtId="165" fontId="26" fillId="0" borderId="0" xfId="0" applyNumberFormat="1" applyFont="1" applyProtection="1">
      <protection hidden="1"/>
    </xf>
    <xf numFmtId="0" fontId="26" fillId="0" borderId="0" xfId="0" applyFont="1" applyAlignment="1" applyProtection="1">
      <alignment vertical="center"/>
      <protection hidden="1"/>
    </xf>
    <xf numFmtId="0" fontId="27" fillId="0" borderId="0" xfId="0" applyFont="1" applyAlignment="1" applyProtection="1">
      <alignment horizontal="center"/>
      <protection hidden="1"/>
    </xf>
    <xf numFmtId="170" fontId="27" fillId="0" borderId="0" xfId="0" applyNumberFormat="1" applyFont="1" applyProtection="1">
      <protection hidden="1"/>
    </xf>
    <xf numFmtId="49" fontId="27" fillId="0" borderId="0" xfId="0" applyNumberFormat="1" applyFont="1" applyProtection="1">
      <protection hidden="1"/>
    </xf>
    <xf numFmtId="167" fontId="27" fillId="0" borderId="0" xfId="1" applyNumberFormat="1" applyFont="1" applyProtection="1">
      <protection hidden="1"/>
    </xf>
    <xf numFmtId="167" fontId="27" fillId="0" borderId="0" xfId="0" applyNumberFormat="1" applyFont="1" applyProtection="1">
      <protection hidden="1"/>
    </xf>
    <xf numFmtId="167" fontId="27" fillId="0" borderId="0" xfId="0" applyNumberFormat="1" applyFont="1" applyAlignment="1" applyProtection="1">
      <alignment horizontal="left"/>
      <protection hidden="1"/>
    </xf>
    <xf numFmtId="167" fontId="27" fillId="0" borderId="0" xfId="1" applyNumberFormat="1" applyFont="1" applyAlignment="1" applyProtection="1">
      <alignment horizontal="left"/>
      <protection hidden="1"/>
    </xf>
    <xf numFmtId="168" fontId="26" fillId="7" borderId="1" xfId="1" applyNumberFormat="1" applyFont="1" applyFill="1" applyBorder="1" applyProtection="1">
      <protection hidden="1"/>
    </xf>
    <xf numFmtId="168" fontId="26" fillId="7" borderId="1" xfId="1" applyNumberFormat="1" applyFont="1" applyFill="1" applyBorder="1" applyAlignment="1" applyProtection="1">
      <alignment horizontal="left"/>
      <protection hidden="1"/>
    </xf>
    <xf numFmtId="168" fontId="26" fillId="0" borderId="0" xfId="0" applyNumberFormat="1" applyFont="1" applyProtection="1">
      <protection hidden="1"/>
    </xf>
    <xf numFmtId="0" fontId="26" fillId="0" borderId="0" xfId="0" applyFont="1" applyAlignment="1" applyProtection="1">
      <alignment horizontal="left" wrapText="1"/>
      <protection hidden="1"/>
    </xf>
    <xf numFmtId="165" fontId="30" fillId="4" borderId="0" xfId="1" applyFont="1" applyFill="1" applyProtection="1">
      <protection locked="0"/>
    </xf>
    <xf numFmtId="171" fontId="27" fillId="0" borderId="0" xfId="1" applyNumberFormat="1" applyFont="1" applyProtection="1">
      <protection hidden="1"/>
    </xf>
    <xf numFmtId="0" fontId="26" fillId="0" borderId="0" xfId="0" applyFont="1" applyAlignment="1" applyProtection="1">
      <alignment wrapText="1"/>
      <protection locked="0"/>
    </xf>
    <xf numFmtId="0" fontId="27" fillId="5" borderId="0" xfId="0" applyFont="1" applyFill="1" applyProtection="1">
      <protection hidden="1"/>
    </xf>
    <xf numFmtId="168" fontId="43" fillId="0" borderId="0" xfId="0" applyNumberFormat="1" applyFont="1" applyProtection="1">
      <protection hidden="1"/>
    </xf>
    <xf numFmtId="0" fontId="30" fillId="4" borderId="0" xfId="0" applyFont="1" applyFill="1" applyProtection="1">
      <protection locked="0" hidden="1"/>
    </xf>
    <xf numFmtId="0" fontId="27" fillId="0" borderId="8" xfId="0" applyFont="1" applyBorder="1" applyProtection="1">
      <protection hidden="1"/>
    </xf>
    <xf numFmtId="0" fontId="44" fillId="0" borderId="15" xfId="0" applyFont="1" applyBorder="1" applyAlignment="1">
      <alignment horizontal="center"/>
    </xf>
    <xf numFmtId="0" fontId="44" fillId="0" borderId="16" xfId="0" applyFont="1" applyBorder="1" applyAlignment="1">
      <alignment horizontal="center"/>
    </xf>
    <xf numFmtId="174" fontId="30" fillId="4" borderId="0" xfId="4" applyNumberFormat="1" applyFont="1" applyFill="1" applyAlignment="1" applyProtection="1">
      <alignment horizontal="center"/>
      <protection locked="0"/>
    </xf>
    <xf numFmtId="0" fontId="26" fillId="0" borderId="13" xfId="0" applyFont="1" applyBorder="1" applyAlignment="1" applyProtection="1">
      <alignment horizontal="center"/>
      <protection hidden="1"/>
    </xf>
    <xf numFmtId="177" fontId="27" fillId="0" borderId="0" xfId="0" applyNumberFormat="1" applyFont="1"/>
    <xf numFmtId="177" fontId="27" fillId="0" borderId="14" xfId="0" applyNumberFormat="1" applyFont="1" applyBorder="1"/>
    <xf numFmtId="182" fontId="27" fillId="0" borderId="0" xfId="0" applyNumberFormat="1" applyFont="1" applyProtection="1">
      <protection hidden="1"/>
    </xf>
    <xf numFmtId="182" fontId="27" fillId="0" borderId="14" xfId="0" applyNumberFormat="1" applyFont="1" applyBorder="1" applyProtection="1">
      <protection hidden="1"/>
    </xf>
    <xf numFmtId="0" fontId="26" fillId="0" borderId="11" xfId="0" applyFont="1" applyBorder="1" applyAlignment="1" applyProtection="1">
      <alignment horizontal="center"/>
      <protection hidden="1"/>
    </xf>
    <xf numFmtId="182" fontId="27" fillId="0" borderId="3" xfId="0" applyNumberFormat="1" applyFont="1" applyBorder="1" applyProtection="1">
      <protection hidden="1"/>
    </xf>
    <xf numFmtId="182" fontId="27" fillId="0" borderId="12" xfId="0" applyNumberFormat="1" applyFont="1" applyBorder="1" applyProtection="1">
      <protection hidden="1"/>
    </xf>
    <xf numFmtId="168" fontId="30" fillId="4" borderId="0" xfId="1" applyNumberFormat="1" applyFont="1" applyFill="1" applyAlignment="1" applyProtection="1">
      <alignment horizontal="center"/>
      <protection locked="0"/>
    </xf>
    <xf numFmtId="0" fontId="27" fillId="0" borderId="0" xfId="0" applyFont="1" applyAlignment="1" applyProtection="1">
      <alignment horizontal="center" vertical="center"/>
      <protection hidden="1"/>
    </xf>
    <xf numFmtId="0" fontId="26" fillId="0" borderId="1" xfId="0" applyFont="1" applyBorder="1" applyProtection="1">
      <protection hidden="1"/>
    </xf>
    <xf numFmtId="168" fontId="27" fillId="0" borderId="1" xfId="0" applyNumberFormat="1" applyFont="1" applyBorder="1" applyProtection="1">
      <protection hidden="1"/>
    </xf>
    <xf numFmtId="0" fontId="26" fillId="0" borderId="2" xfId="0" applyFont="1" applyBorder="1" applyProtection="1">
      <protection hidden="1"/>
    </xf>
    <xf numFmtId="168" fontId="26" fillId="0" borderId="2" xfId="0" applyNumberFormat="1" applyFont="1" applyBorder="1" applyProtection="1">
      <protection hidden="1"/>
    </xf>
    <xf numFmtId="168" fontId="26" fillId="0" borderId="1" xfId="0" applyNumberFormat="1" applyFont="1" applyBorder="1" applyProtection="1">
      <protection hidden="1"/>
    </xf>
    <xf numFmtId="168" fontId="27" fillId="5" borderId="0" xfId="0" applyNumberFormat="1" applyFont="1" applyFill="1" applyProtection="1">
      <protection hidden="1"/>
    </xf>
    <xf numFmtId="173" fontId="27" fillId="0" borderId="0" xfId="3" applyNumberFormat="1" applyFont="1" applyFill="1" applyBorder="1" applyProtection="1">
      <protection hidden="1"/>
    </xf>
    <xf numFmtId="0" fontId="29" fillId="0" borderId="0" xfId="0" applyFont="1" applyProtection="1">
      <protection hidden="1"/>
    </xf>
    <xf numFmtId="172" fontId="27" fillId="0" borderId="0" xfId="1" applyNumberFormat="1" applyFont="1" applyFill="1" applyProtection="1">
      <protection hidden="1"/>
    </xf>
    <xf numFmtId="172" fontId="27" fillId="0" borderId="7" xfId="1" applyNumberFormat="1" applyFont="1" applyFill="1" applyBorder="1" applyProtection="1">
      <protection hidden="1"/>
    </xf>
    <xf numFmtId="0" fontId="44" fillId="0" borderId="0" xfId="0" applyFont="1" applyProtection="1">
      <protection hidden="1"/>
    </xf>
    <xf numFmtId="172" fontId="44" fillId="0" borderId="0" xfId="1" applyNumberFormat="1" applyFont="1" applyFill="1" applyProtection="1">
      <protection hidden="1"/>
    </xf>
    <xf numFmtId="172" fontId="44" fillId="0" borderId="1" xfId="1" applyNumberFormat="1" applyFont="1" applyFill="1" applyBorder="1" applyProtection="1">
      <protection hidden="1"/>
    </xf>
    <xf numFmtId="173" fontId="29" fillId="0" borderId="0" xfId="3" applyNumberFormat="1" applyFont="1" applyFill="1" applyProtection="1">
      <protection hidden="1"/>
    </xf>
    <xf numFmtId="0" fontId="44" fillId="5" borderId="0" xfId="0" applyFont="1" applyFill="1" applyProtection="1">
      <protection hidden="1"/>
    </xf>
    <xf numFmtId="172" fontId="44" fillId="5" borderId="1" xfId="1" applyNumberFormat="1" applyFont="1" applyFill="1" applyBorder="1" applyProtection="1">
      <protection hidden="1"/>
    </xf>
    <xf numFmtId="0" fontId="27" fillId="0" borderId="0" xfId="0" applyFont="1" applyAlignment="1" applyProtection="1">
      <alignment vertical="center" wrapText="1"/>
      <protection hidden="1"/>
    </xf>
    <xf numFmtId="0" fontId="35" fillId="8" borderId="18" xfId="0" applyFont="1" applyFill="1" applyBorder="1" applyAlignment="1">
      <alignment horizontal="left" indent="1"/>
    </xf>
    <xf numFmtId="0" fontId="35" fillId="8" borderId="18" xfId="0" applyFont="1" applyFill="1" applyBorder="1" applyAlignment="1">
      <alignment horizontal="center"/>
    </xf>
    <xf numFmtId="178" fontId="35" fillId="8" borderId="18" xfId="4" applyNumberFormat="1" applyFont="1" applyFill="1" applyBorder="1" applyAlignment="1">
      <alignment horizontal="center"/>
    </xf>
    <xf numFmtId="0" fontId="34" fillId="0" borderId="18" xfId="0" applyFont="1" applyBorder="1" applyAlignment="1">
      <alignment horizontal="left" indent="1"/>
    </xf>
    <xf numFmtId="0" fontId="34" fillId="0" borderId="18" xfId="0" applyFont="1" applyBorder="1" applyAlignment="1">
      <alignment horizontal="center"/>
    </xf>
    <xf numFmtId="0" fontId="47" fillId="0" borderId="0" xfId="0" applyFont="1" applyAlignment="1">
      <alignment horizontal="left" vertical="center" wrapText="1" indent="1"/>
    </xf>
    <xf numFmtId="0" fontId="46" fillId="0" borderId="0" xfId="0" applyFont="1" applyAlignment="1">
      <alignment horizontal="left" vertical="center" wrapText="1" indent="1"/>
    </xf>
    <xf numFmtId="0" fontId="46" fillId="8" borderId="0" xfId="0" applyFont="1" applyFill="1" applyAlignment="1">
      <alignment horizontal="center" vertical="center" wrapText="1"/>
    </xf>
    <xf numFmtId="0" fontId="46" fillId="8" borderId="0" xfId="0" applyFont="1" applyFill="1" applyAlignment="1">
      <alignment horizontal="left" vertical="center" wrapText="1" indent="1"/>
    </xf>
    <xf numFmtId="0" fontId="46" fillId="0" borderId="0" xfId="0" applyFont="1" applyAlignment="1">
      <alignment horizontal="center" vertical="center" wrapText="1"/>
    </xf>
    <xf numFmtId="0" fontId="0" fillId="0" borderId="0" xfId="0" applyAlignment="1">
      <alignment horizontal="left" vertical="center" indent="1"/>
    </xf>
    <xf numFmtId="0" fontId="2" fillId="0" borderId="18" xfId="0" applyFont="1" applyBorder="1" applyAlignment="1">
      <alignment horizontal="left" vertical="center" wrapText="1" indent="1"/>
    </xf>
    <xf numFmtId="0" fontId="0" fillId="0" borderId="18" xfId="0" applyBorder="1" applyAlignment="1">
      <alignment horizontal="left" vertical="center" wrapText="1" indent="1"/>
    </xf>
    <xf numFmtId="0" fontId="46" fillId="8" borderId="18" xfId="0" applyFont="1" applyFill="1" applyBorder="1" applyAlignment="1">
      <alignment horizontal="center" vertical="center" wrapText="1"/>
    </xf>
    <xf numFmtId="0" fontId="48" fillId="0" borderId="0" xfId="0" applyFont="1"/>
    <xf numFmtId="0" fontId="46" fillId="0" borderId="18" xfId="0" applyFont="1" applyBorder="1" applyAlignment="1">
      <alignment horizontal="left" vertical="center" wrapText="1" indent="1"/>
    </xf>
    <xf numFmtId="0" fontId="47" fillId="0" borderId="18" xfId="0" applyFont="1" applyBorder="1" applyAlignment="1">
      <alignment horizontal="left" vertical="center" wrapText="1" indent="1"/>
    </xf>
    <xf numFmtId="0" fontId="2" fillId="0" borderId="0" xfId="0" applyFont="1" applyAlignment="1">
      <alignment horizontal="center" vertical="center" wrapText="1"/>
    </xf>
    <xf numFmtId="0" fontId="2" fillId="8" borderId="18" xfId="0" applyFont="1" applyFill="1" applyBorder="1" applyAlignment="1">
      <alignment horizontal="center" vertical="center" wrapText="1"/>
    </xf>
    <xf numFmtId="6" fontId="0" fillId="0" borderId="18" xfId="0" applyNumberFormat="1" applyBorder="1" applyAlignment="1">
      <alignment horizontal="right" vertical="center" wrapText="1"/>
    </xf>
    <xf numFmtId="0" fontId="2" fillId="8" borderId="18" xfId="0" applyFont="1" applyFill="1" applyBorder="1" applyAlignment="1">
      <alignment horizontal="left" vertical="center" wrapText="1" indent="1"/>
    </xf>
    <xf numFmtId="6" fontId="2" fillId="8" borderId="18" xfId="0" applyNumberFormat="1" applyFont="1" applyFill="1" applyBorder="1" applyAlignment="1">
      <alignment vertical="center" wrapText="1"/>
    </xf>
    <xf numFmtId="183" fontId="0" fillId="0" borderId="18" xfId="0" applyNumberFormat="1" applyBorder="1" applyAlignment="1">
      <alignment horizontal="center" vertical="center" wrapText="1"/>
    </xf>
    <xf numFmtId="183" fontId="2" fillId="8" borderId="18" xfId="0" applyNumberFormat="1" applyFont="1" applyFill="1" applyBorder="1" applyAlignment="1">
      <alignment horizontal="center" vertical="center"/>
    </xf>
    <xf numFmtId="0" fontId="46" fillId="0" borderId="0" xfId="0" applyFont="1" applyAlignment="1">
      <alignment vertical="center" wrapText="1"/>
    </xf>
    <xf numFmtId="0" fontId="47" fillId="0" borderId="0" xfId="0" applyFont="1" applyAlignment="1">
      <alignment vertical="center" wrapText="1"/>
    </xf>
    <xf numFmtId="0" fontId="2" fillId="8" borderId="18" xfId="0" applyFont="1" applyFill="1" applyBorder="1" applyAlignment="1">
      <alignment horizontal="right" vertical="center" wrapText="1"/>
    </xf>
    <xf numFmtId="0" fontId="0" fillId="0" borderId="18" xfId="0" applyBorder="1" applyAlignment="1">
      <alignment horizontal="center" vertical="center" wrapText="1"/>
    </xf>
    <xf numFmtId="0" fontId="0" fillId="0" borderId="18" xfId="0" applyBorder="1" applyAlignment="1">
      <alignment horizontal="right" vertical="center" wrapText="1"/>
    </xf>
    <xf numFmtId="0" fontId="0" fillId="8" borderId="18" xfId="0" applyFill="1" applyBorder="1" applyAlignment="1">
      <alignment vertical="center"/>
    </xf>
    <xf numFmtId="0" fontId="0" fillId="8" borderId="18" xfId="0" applyFill="1" applyBorder="1" applyAlignment="1">
      <alignment horizontal="right" vertical="center"/>
    </xf>
    <xf numFmtId="9" fontId="0" fillId="0" borderId="0" xfId="0" applyNumberFormat="1" applyAlignment="1">
      <alignment vertical="center"/>
    </xf>
    <xf numFmtId="178" fontId="47" fillId="0" borderId="18" xfId="1" applyNumberFormat="1" applyFont="1" applyBorder="1" applyAlignment="1">
      <alignment horizontal="left" vertical="center" wrapText="1" indent="1"/>
    </xf>
    <xf numFmtId="9" fontId="2" fillId="0" borderId="0" xfId="0" applyNumberFormat="1" applyFont="1" applyAlignment="1">
      <alignment horizontal="right" vertical="center"/>
    </xf>
    <xf numFmtId="178" fontId="2" fillId="0" borderId="0" xfId="0" applyNumberFormat="1" applyFont="1" applyAlignment="1">
      <alignment vertical="center"/>
    </xf>
    <xf numFmtId="9" fontId="49" fillId="0" borderId="0" xfId="0" applyNumberFormat="1" applyFont="1" applyAlignment="1">
      <alignment horizontal="right" vertical="center"/>
    </xf>
    <xf numFmtId="178" fontId="49" fillId="0" borderId="0" xfId="0" applyNumberFormat="1" applyFont="1" applyAlignment="1">
      <alignment vertical="center"/>
    </xf>
    <xf numFmtId="0" fontId="49" fillId="0" borderId="0" xfId="0" applyFont="1" applyAlignment="1">
      <alignment vertical="center"/>
    </xf>
    <xf numFmtId="0" fontId="13" fillId="33" borderId="0" xfId="0" applyFont="1" applyFill="1" applyAlignment="1">
      <alignment horizontal="center"/>
    </xf>
    <xf numFmtId="0" fontId="7" fillId="0" borderId="0" xfId="0" applyFont="1" applyAlignment="1">
      <alignment horizontal="center"/>
    </xf>
    <xf numFmtId="0" fontId="50" fillId="0" borderId="0" xfId="0" applyFont="1"/>
    <xf numFmtId="0" fontId="47" fillId="0" borderId="0" xfId="0" applyFont="1" applyAlignment="1">
      <alignment horizontal="right" vertical="center" indent="1"/>
    </xf>
    <xf numFmtId="0" fontId="0" fillId="0" borderId="0" xfId="0" applyAlignment="1">
      <alignment horizontal="right" wrapText="1"/>
    </xf>
    <xf numFmtId="0" fontId="13" fillId="0" borderId="0" xfId="0" applyFont="1" applyAlignment="1">
      <alignment horizontal="center"/>
    </xf>
    <xf numFmtId="0" fontId="51" fillId="0" borderId="0" xfId="0" applyFont="1" applyAlignment="1">
      <alignment horizontal="center"/>
    </xf>
    <xf numFmtId="0" fontId="2" fillId="34" borderId="0" xfId="0" applyFont="1" applyFill="1" applyAlignment="1">
      <alignment horizontal="center"/>
    </xf>
    <xf numFmtId="0" fontId="0" fillId="0" borderId="18" xfId="0" applyBorder="1" applyAlignment="1">
      <alignment vertical="center"/>
    </xf>
    <xf numFmtId="169" fontId="35" fillId="8" borderId="0" xfId="2" applyNumberFormat="1" applyFont="1" applyFill="1" applyAlignment="1">
      <alignment horizontal="right"/>
    </xf>
    <xf numFmtId="0" fontId="52" fillId="8" borderId="18" xfId="0" applyFont="1" applyFill="1" applyBorder="1" applyAlignment="1">
      <alignment horizontal="center" vertical="center" wrapText="1"/>
    </xf>
    <xf numFmtId="0" fontId="53" fillId="0" borderId="18" xfId="0" applyFont="1" applyBorder="1" applyAlignment="1">
      <alignment horizontal="left" vertical="center" wrapText="1" indent="1"/>
    </xf>
    <xf numFmtId="0" fontId="52" fillId="0" borderId="18" xfId="0" applyFont="1" applyBorder="1" applyAlignment="1">
      <alignment horizontal="left" vertical="center" wrapText="1" indent="1"/>
    </xf>
    <xf numFmtId="0" fontId="52" fillId="8" borderId="18" xfId="0" applyFont="1" applyFill="1" applyBorder="1" applyAlignment="1">
      <alignment horizontal="left" vertical="center" wrapText="1" indent="1"/>
    </xf>
    <xf numFmtId="0" fontId="55" fillId="8" borderId="18" xfId="0" applyFont="1" applyFill="1" applyBorder="1" applyAlignment="1">
      <alignment horizontal="center" vertical="center" wrapText="1"/>
    </xf>
    <xf numFmtId="0" fontId="53" fillId="0" borderId="18" xfId="0" applyFont="1" applyBorder="1" applyAlignment="1">
      <alignment horizontal="center" vertical="center" wrapText="1"/>
    </xf>
    <xf numFmtId="0" fontId="54" fillId="11" borderId="18" xfId="0" applyFont="1" applyFill="1" applyBorder="1" applyAlignment="1">
      <alignment horizontal="center" vertical="center" wrapText="1"/>
    </xf>
    <xf numFmtId="0" fontId="54" fillId="11" borderId="18" xfId="0" applyFont="1" applyFill="1" applyBorder="1" applyAlignment="1">
      <alignment horizontal="left" vertical="center" wrapText="1" indent="1"/>
    </xf>
    <xf numFmtId="0" fontId="57" fillId="0" borderId="18" xfId="0" applyFont="1" applyBorder="1" applyAlignment="1">
      <alignment horizontal="center" vertical="center" wrapText="1"/>
    </xf>
    <xf numFmtId="0" fontId="53" fillId="0" borderId="29" xfId="0" applyFont="1" applyBorder="1" applyAlignment="1">
      <alignment horizontal="left" vertical="center" wrapText="1" indent="1"/>
    </xf>
    <xf numFmtId="0" fontId="57" fillId="0" borderId="29" xfId="0" applyFont="1" applyBorder="1" applyAlignment="1">
      <alignment horizontal="center" vertical="center" wrapText="1"/>
    </xf>
    <xf numFmtId="0" fontId="56" fillId="11" borderId="0" xfId="0" applyFont="1" applyFill="1" applyAlignment="1">
      <alignment horizontal="left" vertical="center" wrapText="1" indent="1"/>
    </xf>
    <xf numFmtId="0" fontId="56" fillId="11" borderId="30" xfId="0" applyFont="1" applyFill="1" applyBorder="1" applyAlignment="1">
      <alignment horizontal="left" vertical="center" wrapText="1" indent="1"/>
    </xf>
    <xf numFmtId="0" fontId="58" fillId="11" borderId="30" xfId="0" applyFont="1" applyFill="1" applyBorder="1" applyAlignment="1">
      <alignment horizontal="center" vertical="center" wrapText="1"/>
    </xf>
    <xf numFmtId="0" fontId="10" fillId="7" borderId="0" xfId="5" applyFont="1" applyFill="1" applyAlignment="1">
      <alignment horizontal="center"/>
    </xf>
    <xf numFmtId="0" fontId="27" fillId="0" borderId="0" xfId="0" applyFont="1" applyAlignment="1" applyProtection="1">
      <alignment horizontal="center"/>
      <protection hidden="1"/>
    </xf>
    <xf numFmtId="0" fontId="26" fillId="0" borderId="0" xfId="0" applyFont="1" applyAlignment="1" applyProtection="1">
      <alignment horizontal="center" vertical="center"/>
      <protection hidden="1"/>
    </xf>
    <xf numFmtId="0" fontId="26" fillId="0" borderId="0" xfId="0" applyFont="1" applyAlignment="1" applyProtection="1">
      <alignment horizontal="center" wrapText="1"/>
      <protection hidden="1"/>
    </xf>
    <xf numFmtId="0" fontId="26" fillId="0" borderId="0" xfId="0" applyFont="1" applyAlignment="1" applyProtection="1">
      <alignment horizontal="left" wrapText="1"/>
      <protection hidden="1"/>
    </xf>
    <xf numFmtId="0" fontId="26" fillId="2" borderId="8" xfId="0" applyFont="1" applyFill="1" applyBorder="1" applyAlignment="1" applyProtection="1">
      <alignment horizontal="left" wrapText="1"/>
      <protection hidden="1"/>
    </xf>
    <xf numFmtId="0" fontId="26" fillId="2" borderId="9" xfId="0" applyFont="1" applyFill="1" applyBorder="1" applyAlignment="1" applyProtection="1">
      <alignment horizontal="left" wrapText="1"/>
      <protection hidden="1"/>
    </xf>
    <xf numFmtId="0" fontId="26" fillId="2" borderId="10" xfId="0" applyFont="1" applyFill="1" applyBorder="1" applyAlignment="1" applyProtection="1">
      <alignment horizontal="left" wrapText="1"/>
      <protection hidden="1"/>
    </xf>
    <xf numFmtId="0" fontId="26" fillId="2" borderId="11" xfId="0" applyFont="1" applyFill="1" applyBorder="1" applyAlignment="1" applyProtection="1">
      <alignment horizontal="left" wrapText="1"/>
      <protection hidden="1"/>
    </xf>
    <xf numFmtId="0" fontId="26" fillId="2" borderId="3" xfId="0" applyFont="1" applyFill="1" applyBorder="1" applyAlignment="1" applyProtection="1">
      <alignment horizontal="left" wrapText="1"/>
      <protection hidden="1"/>
    </xf>
    <xf numFmtId="0" fontId="26" fillId="2" borderId="12" xfId="0" applyFont="1" applyFill="1" applyBorder="1" applyAlignment="1" applyProtection="1">
      <alignment horizontal="left" wrapText="1"/>
      <protection hidden="1"/>
    </xf>
    <xf numFmtId="10" fontId="30" fillId="4" borderId="0" xfId="2" applyNumberFormat="1" applyFont="1" applyFill="1" applyAlignment="1" applyProtection="1">
      <alignment horizontal="center"/>
      <protection locked="0"/>
    </xf>
    <xf numFmtId="0" fontId="26" fillId="5" borderId="0" xfId="0" applyFont="1" applyFill="1" applyAlignment="1" applyProtection="1">
      <alignment horizontal="center" vertical="center"/>
      <protection hidden="1"/>
    </xf>
    <xf numFmtId="0" fontId="44" fillId="0" borderId="0" xfId="0" applyFont="1" applyAlignment="1" applyProtection="1">
      <alignment horizontal="center"/>
      <protection hidden="1"/>
    </xf>
    <xf numFmtId="0" fontId="45" fillId="0" borderId="0" xfId="0" applyFont="1" applyAlignment="1" applyProtection="1">
      <alignment horizontal="center"/>
      <protection hidden="1"/>
    </xf>
    <xf numFmtId="0" fontId="26" fillId="0" borderId="0" xfId="0" applyFont="1" applyAlignment="1" applyProtection="1">
      <alignment horizontal="center"/>
      <protection hidden="1"/>
    </xf>
    <xf numFmtId="168" fontId="26" fillId="0" borderId="0" xfId="0" applyNumberFormat="1" applyFont="1" applyAlignment="1" applyProtection="1">
      <alignment horizontal="center"/>
      <protection hidden="1"/>
    </xf>
    <xf numFmtId="0" fontId="26" fillId="0" borderId="0" xfId="0" applyFont="1" applyAlignment="1" applyProtection="1">
      <alignment horizontal="left"/>
      <protection hidden="1"/>
    </xf>
    <xf numFmtId="0" fontId="26" fillId="0" borderId="0" xfId="0" applyFont="1" applyAlignment="1" applyProtection="1">
      <alignment wrapText="1"/>
      <protection hidden="1"/>
    </xf>
    <xf numFmtId="10" fontId="28" fillId="4" borderId="0" xfId="2" applyNumberFormat="1" applyFont="1" applyFill="1" applyAlignment="1" applyProtection="1">
      <alignment horizontal="center" vertical="center"/>
      <protection locked="0"/>
    </xf>
    <xf numFmtId="0" fontId="26" fillId="5" borderId="0" xfId="0" applyFont="1" applyFill="1" applyAlignment="1" applyProtection="1">
      <alignment horizontal="center"/>
      <protection hidden="1"/>
    </xf>
    <xf numFmtId="0" fontId="0" fillId="0" borderId="0" xfId="0" applyAlignment="1">
      <alignment horizontal="center"/>
    </xf>
    <xf numFmtId="0" fontId="0" fillId="19" borderId="0" xfId="0" applyFill="1" applyAlignment="1">
      <alignment horizontal="center"/>
    </xf>
    <xf numFmtId="0" fontId="7" fillId="16" borderId="0" xfId="0" applyFont="1" applyFill="1" applyAlignment="1">
      <alignment horizontal="center"/>
    </xf>
    <xf numFmtId="0" fontId="2" fillId="7" borderId="0" xfId="0" applyFont="1" applyFill="1" applyAlignment="1">
      <alignment horizontal="center"/>
    </xf>
    <xf numFmtId="0" fontId="2" fillId="12" borderId="0" xfId="0" applyFont="1" applyFill="1" applyAlignment="1">
      <alignment horizontal="center"/>
    </xf>
    <xf numFmtId="0" fontId="19" fillId="14" borderId="0" xfId="0" applyFont="1" applyFill="1" applyAlignment="1">
      <alignment horizontal="center"/>
    </xf>
    <xf numFmtId="0" fontId="19" fillId="29" borderId="0" xfId="0" applyFont="1" applyFill="1" applyAlignment="1">
      <alignment horizontal="center"/>
    </xf>
    <xf numFmtId="0" fontId="0" fillId="9" borderId="0" xfId="0" applyFill="1" applyAlignment="1">
      <alignment horizontal="center"/>
    </xf>
    <xf numFmtId="0" fontId="0" fillId="14" borderId="0" xfId="0" applyFill="1" applyAlignment="1">
      <alignment horizontal="center"/>
    </xf>
    <xf numFmtId="3" fontId="0" fillId="19" borderId="0" xfId="0" applyNumberFormat="1" applyFill="1" applyAlignment="1">
      <alignment horizontal="center"/>
    </xf>
    <xf numFmtId="0" fontId="2" fillId="8" borderId="0" xfId="0" applyFont="1" applyFill="1" applyAlignment="1">
      <alignment horizontal="center"/>
    </xf>
    <xf numFmtId="0" fontId="0" fillId="29" borderId="0" xfId="0" applyFill="1" applyAlignment="1">
      <alignment horizontal="center"/>
    </xf>
    <xf numFmtId="0" fontId="0" fillId="14" borderId="8" xfId="0" applyFill="1" applyBorder="1" applyAlignment="1">
      <alignment horizontal="center" vertical="center" wrapText="1"/>
    </xf>
    <xf numFmtId="0" fontId="0" fillId="14" borderId="13" xfId="0" applyFill="1" applyBorder="1" applyAlignment="1">
      <alignment horizontal="center" vertical="center" wrapText="1"/>
    </xf>
    <xf numFmtId="0" fontId="0" fillId="14" borderId="11"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11" xfId="0" applyFill="1" applyBorder="1" applyAlignment="1">
      <alignment horizontal="center" vertical="center" wrapText="1"/>
    </xf>
    <xf numFmtId="0" fontId="0" fillId="17" borderId="0" xfId="0" applyFill="1" applyAlignment="1">
      <alignment horizontal="center"/>
    </xf>
    <xf numFmtId="0" fontId="7" fillId="8" borderId="0" xfId="0" applyFont="1" applyFill="1" applyAlignment="1">
      <alignment horizontal="center"/>
    </xf>
    <xf numFmtId="0" fontId="7" fillId="12" borderId="0" xfId="0" applyFont="1" applyFill="1" applyAlignment="1">
      <alignment horizontal="center"/>
    </xf>
    <xf numFmtId="0" fontId="19" fillId="8" borderId="0" xfId="0" applyFont="1" applyFill="1" applyAlignment="1">
      <alignment horizontal="center"/>
    </xf>
    <xf numFmtId="0" fontId="7" fillId="7" borderId="0" xfId="0" applyFont="1" applyFill="1" applyAlignment="1">
      <alignment horizontal="center"/>
    </xf>
    <xf numFmtId="0" fontId="26" fillId="8" borderId="18" xfId="0" applyFont="1" applyFill="1" applyBorder="1" applyAlignment="1">
      <alignment horizontal="center" vertical="center" wrapText="1"/>
    </xf>
    <xf numFmtId="0" fontId="26" fillId="0" borderId="0" xfId="0" applyFont="1" applyAlignment="1">
      <alignment horizontal="center" vertical="center" wrapText="1"/>
    </xf>
    <xf numFmtId="0" fontId="46" fillId="0" borderId="18" xfId="0" applyFont="1" applyBorder="1" applyAlignment="1">
      <alignment horizontal="left" vertical="center" wrapText="1" indent="1"/>
    </xf>
    <xf numFmtId="0" fontId="46" fillId="8" borderId="18" xfId="0" applyFont="1" applyFill="1" applyBorder="1" applyAlignment="1">
      <alignment horizontal="left" vertical="center" wrapText="1" indent="1"/>
    </xf>
    <xf numFmtId="0" fontId="46" fillId="0" borderId="0" xfId="0" applyFont="1" applyAlignment="1">
      <alignment horizontal="left" vertical="center" wrapText="1" indent="1"/>
    </xf>
    <xf numFmtId="0" fontId="47" fillId="0" borderId="0" xfId="0" applyFont="1" applyAlignment="1">
      <alignment horizontal="left" vertical="center" wrapText="1" indent="1"/>
    </xf>
    <xf numFmtId="0" fontId="19" fillId="0" borderId="0" xfId="0" applyFont="1" applyAlignment="1">
      <alignment horizontal="center"/>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colors>
    <mruColors>
      <color rgb="FFCCFF99"/>
      <color rgb="FF00FFFF"/>
      <color rgb="FFFFFF66"/>
      <color rgb="FFFFFFCC"/>
      <color rgb="FF00D05E"/>
      <color rgb="FFFFCC00"/>
      <color rgb="FFFF9900"/>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 KPIs'!$C$31</c:f>
              <c:strCache>
                <c:ptCount val="1"/>
                <c:pt idx="0">
                  <c:v>COSTOS FIJO</c:v>
                </c:pt>
              </c:strCache>
            </c:strRef>
          </c:tx>
          <c:marker>
            <c:symbol val="none"/>
          </c:marker>
          <c:cat>
            <c:numRef>
              <c:f>'5. KPIs'!$B$32:$B$34</c:f>
              <c:numCache>
                <c:formatCode>_(* #,##0.00_);_(* \(#,##0.00\);_(* "-"??_);_(@_)</c:formatCode>
                <c:ptCount val="3"/>
                <c:pt idx="0" formatCode="General">
                  <c:v>0</c:v>
                </c:pt>
                <c:pt idx="1">
                  <c:v>5.7154042553191493</c:v>
                </c:pt>
                <c:pt idx="2">
                  <c:v>11.430808510638299</c:v>
                </c:pt>
              </c:numCache>
            </c:numRef>
          </c:cat>
          <c:val>
            <c:numRef>
              <c:f>'5. KPIs'!$C$32:$C$34</c:f>
              <c:numCache>
                <c:formatCode>_("$"\ * #,##0.00_);_("$"\ * \(#,##0.00\);_("$"\ * "-"??_);_(@_)</c:formatCode>
                <c:ptCount val="3"/>
                <c:pt idx="0">
                  <c:v>805872000</c:v>
                </c:pt>
                <c:pt idx="1">
                  <c:v>805872000</c:v>
                </c:pt>
                <c:pt idx="2">
                  <c:v>805872000</c:v>
                </c:pt>
              </c:numCache>
            </c:numRef>
          </c:val>
          <c:smooth val="0"/>
          <c:extLst>
            <c:ext xmlns:c16="http://schemas.microsoft.com/office/drawing/2014/chart" uri="{C3380CC4-5D6E-409C-BE32-E72D297353CC}">
              <c16:uniqueId val="{00000000-8A79-4BFE-9417-0186D0F8B071}"/>
            </c:ext>
          </c:extLst>
        </c:ser>
        <c:ser>
          <c:idx val="1"/>
          <c:order val="1"/>
          <c:tx>
            <c:strRef>
              <c:f>'5. KPIs'!$D$31</c:f>
              <c:strCache>
                <c:ptCount val="1"/>
                <c:pt idx="0">
                  <c:v>INGRESOS</c:v>
                </c:pt>
              </c:strCache>
            </c:strRef>
          </c:tx>
          <c:marker>
            <c:symbol val="none"/>
          </c:marker>
          <c:cat>
            <c:numRef>
              <c:f>'5. KPIs'!$B$32:$B$34</c:f>
              <c:numCache>
                <c:formatCode>_(* #,##0.00_);_(* \(#,##0.00\);_(* "-"??_);_(@_)</c:formatCode>
                <c:ptCount val="3"/>
                <c:pt idx="0" formatCode="General">
                  <c:v>0</c:v>
                </c:pt>
                <c:pt idx="1">
                  <c:v>5.7154042553191493</c:v>
                </c:pt>
                <c:pt idx="2">
                  <c:v>11.430808510638299</c:v>
                </c:pt>
              </c:numCache>
            </c:numRef>
          </c:cat>
          <c:val>
            <c:numRef>
              <c:f>'5. KPIs'!$D$32:$D$34</c:f>
              <c:numCache>
                <c:formatCode>_("$"\ * #,##0.00_);_("$"\ * \(#,##0.00\);_("$"\ * "-"??_);_(@_)</c:formatCode>
                <c:ptCount val="3"/>
                <c:pt idx="0" formatCode="General">
                  <c:v>0</c:v>
                </c:pt>
                <c:pt idx="1">
                  <c:v>891603063.82978725</c:v>
                </c:pt>
                <c:pt idx="2">
                  <c:v>1783206127.6595745</c:v>
                </c:pt>
              </c:numCache>
            </c:numRef>
          </c:val>
          <c:smooth val="0"/>
          <c:extLst>
            <c:ext xmlns:c16="http://schemas.microsoft.com/office/drawing/2014/chart" uri="{C3380CC4-5D6E-409C-BE32-E72D297353CC}">
              <c16:uniqueId val="{00000001-8A79-4BFE-9417-0186D0F8B071}"/>
            </c:ext>
          </c:extLst>
        </c:ser>
        <c:ser>
          <c:idx val="2"/>
          <c:order val="2"/>
          <c:tx>
            <c:strRef>
              <c:f>'5. KPIs'!$F$31</c:f>
              <c:strCache>
                <c:ptCount val="1"/>
                <c:pt idx="0">
                  <c:v>COSTO TOTAL</c:v>
                </c:pt>
              </c:strCache>
            </c:strRef>
          </c:tx>
          <c:marker>
            <c:symbol val="none"/>
          </c:marker>
          <c:cat>
            <c:numRef>
              <c:f>'5. KPIs'!$B$32:$B$34</c:f>
              <c:numCache>
                <c:formatCode>_(* #,##0.00_);_(* \(#,##0.00\);_(* "-"??_);_(@_)</c:formatCode>
                <c:ptCount val="3"/>
                <c:pt idx="0" formatCode="General">
                  <c:v>0</c:v>
                </c:pt>
                <c:pt idx="1">
                  <c:v>5.7154042553191493</c:v>
                </c:pt>
                <c:pt idx="2">
                  <c:v>11.430808510638299</c:v>
                </c:pt>
              </c:numCache>
            </c:numRef>
          </c:cat>
          <c:val>
            <c:numRef>
              <c:f>'5. KPIs'!$F$32:$F$34</c:f>
              <c:numCache>
                <c:formatCode>_("$"\ * #,##0.00_);_("$"\ * \(#,##0.00\);_("$"\ * "-"??_);_(@_)</c:formatCode>
                <c:ptCount val="3"/>
                <c:pt idx="0">
                  <c:v>805872000</c:v>
                </c:pt>
                <c:pt idx="1">
                  <c:v>891603063.82978725</c:v>
                </c:pt>
                <c:pt idx="2">
                  <c:v>977334127.65957451</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76200</xdr:colOff>
      <xdr:row>2</xdr:row>
      <xdr:rowOff>160020</xdr:rowOff>
    </xdr:from>
    <xdr:to>
      <xdr:col>22</xdr:col>
      <xdr:colOff>492119</xdr:colOff>
      <xdr:row>17</xdr:row>
      <xdr:rowOff>36495</xdr:rowOff>
    </xdr:to>
    <xdr:pic>
      <xdr:nvPicPr>
        <xdr:cNvPr id="2" name="Imagen 1">
          <a:extLst>
            <a:ext uri="{FF2B5EF4-FFF2-40B4-BE49-F238E27FC236}">
              <a16:creationId xmlns:a16="http://schemas.microsoft.com/office/drawing/2014/main" id="{1A6D5993-4A13-1319-E869-BEC995A0AE51}"/>
            </a:ext>
          </a:extLst>
        </xdr:cNvPr>
        <xdr:cNvPicPr>
          <a:picLocks noChangeAspect="1"/>
        </xdr:cNvPicPr>
      </xdr:nvPicPr>
      <xdr:blipFill>
        <a:blip xmlns:r="http://schemas.openxmlformats.org/officeDocument/2006/relationships" r:embed="rId1"/>
        <a:stretch>
          <a:fillRect/>
        </a:stretch>
      </xdr:blipFill>
      <xdr:spPr>
        <a:xfrm>
          <a:off x="9982200" y="541020"/>
          <a:ext cx="7258679" cy="3467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nelcom-my.sharepoint.com/personal/oscar_sanchezh_enel_com/Documents/Asistencias/2022.07%20USB/Otros%20Archivos/EAN/2024%204to%20Ciclo%20(4%20Semestre)/Trabajo%20de%20Grado/3er%20Entregable/Ajustes%203er%20Entregable/ANEXO%201.%20SIMULADOR%20%20FINANCIERO%20SIMPLIFICADO.xlsx" TargetMode="External"/><Relationship Id="rId2" Type="http://schemas.microsoft.com/office/2019/04/relationships/externalLinkLongPath" Target="ANEXO%201.%20SIMULADOR%20%20FINANCIERO%20SIMPLIFICADO.xlsx?A3D44BFB" TargetMode="External"/><Relationship Id="rId1" Type="http://schemas.openxmlformats.org/officeDocument/2006/relationships/externalLinkPath" Target="file:///\\A3D44BFB\ANEXO%201.%20SIMULADOR%20%20FINANCIERO%20SIMPL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enú"/>
      <sheetName val="1"/>
      <sheetName val="2"/>
      <sheetName val="3"/>
      <sheetName val="4"/>
      <sheetName val="5"/>
      <sheetName val="Torneos"/>
      <sheetName val="Ing y Cost Esports (2)"/>
    </sheetNames>
    <sheetDataSet>
      <sheetData sheetId="0"/>
      <sheetData sheetId="1">
        <row r="32">
          <cell r="B32">
            <v>779925000</v>
          </cell>
          <cell r="C32">
            <v>892234200</v>
          </cell>
          <cell r="D32">
            <v>1018574356.8000002</v>
          </cell>
          <cell r="E32">
            <v>1162910471.9232004</v>
          </cell>
          <cell r="F32">
            <v>1327815837.1365893</v>
          </cell>
        </row>
        <row r="33">
          <cell r="B33">
            <v>132630000</v>
          </cell>
          <cell r="C33">
            <v>145893000.00000003</v>
          </cell>
          <cell r="D33">
            <v>160482300.00000006</v>
          </cell>
          <cell r="E33">
            <v>176530530.00000006</v>
          </cell>
          <cell r="F33">
            <v>194183583.00000006</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G23:H23"/>
  <sheetViews>
    <sheetView showGridLines="0" showRowColHeaders="0" view="pageBreakPreview" zoomScaleNormal="100" zoomScaleSheetLayoutView="100" workbookViewId="0">
      <selection activeCell="E30" sqref="E30"/>
    </sheetView>
  </sheetViews>
  <sheetFormatPr baseColWidth="10" defaultColWidth="11.42578125" defaultRowHeight="15"/>
  <sheetData>
    <row r="23" spans="7:8" ht="20.25">
      <c r="G23" s="468" t="s">
        <v>0</v>
      </c>
      <c r="H23" s="46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headerFooter>
    <oddHeader>&amp;C&amp;"Arial"&amp;8&amp;K000000INTERNAL&amp;1#</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D35D0-EF86-49E7-8437-248DEDBC6CBB}">
  <sheetPr codeName="Hoja9"/>
  <dimension ref="A1:CD118"/>
  <sheetViews>
    <sheetView zoomScale="80" zoomScaleNormal="80" workbookViewId="0">
      <pane xSplit="3" ySplit="7" topLeftCell="D8" activePane="bottomRight" state="frozen"/>
      <selection pane="topRight" activeCell="C1" sqref="C1"/>
      <selection pane="bottomLeft" activeCell="A6" sqref="A6"/>
      <selection pane="bottomRight" activeCell="W45" sqref="W45"/>
    </sheetView>
  </sheetViews>
  <sheetFormatPr baseColWidth="10" defaultColWidth="11.42578125" defaultRowHeight="15" outlineLevelRow="2" outlineLevelCol="1"/>
  <cols>
    <col min="1" max="1" width="22.5703125" customWidth="1" outlineLevel="1"/>
    <col min="2" max="2" width="14.5703125" customWidth="1" outlineLevel="1"/>
    <col min="3" max="3" width="4" customWidth="1" outlineLevel="1"/>
    <col min="4" max="18" width="4.140625" style="3" customWidth="1" outlineLevel="1"/>
    <col min="19" max="30" width="3.7109375" customWidth="1" outlineLevel="1"/>
    <col min="31" max="38" width="3.85546875" customWidth="1" outlineLevel="1"/>
    <col min="39" max="51" width="4" customWidth="1" outlineLevel="1"/>
    <col min="52" max="52" width="12.140625" customWidth="1"/>
    <col min="53" max="53" width="24.28515625" customWidth="1"/>
    <col min="54" max="54" width="16.28515625" customWidth="1"/>
    <col min="55" max="55" width="16" bestFit="1" customWidth="1"/>
    <col min="56" max="56" width="16.5703125" customWidth="1"/>
    <col min="57" max="57" width="15.5703125" customWidth="1"/>
    <col min="58" max="58" width="16.140625" customWidth="1"/>
    <col min="59" max="59" width="14.28515625" customWidth="1"/>
    <col min="60" max="60" width="19.7109375" customWidth="1"/>
    <col min="61" max="61" width="17.85546875" bestFit="1" customWidth="1"/>
    <col min="62" max="62" width="16.140625" customWidth="1"/>
    <col min="63" max="63" width="13.5703125" customWidth="1"/>
    <col min="64" max="64" width="13.85546875" bestFit="1" customWidth="1"/>
    <col min="65" max="65" width="17.140625" customWidth="1"/>
    <col min="67" max="70" width="14" customWidth="1"/>
    <col min="71" max="72" width="15.28515625" customWidth="1"/>
    <col min="73" max="73" width="27" customWidth="1"/>
    <col min="74" max="79" width="15.42578125" customWidth="1"/>
    <col min="80" max="80" width="15.28515625" customWidth="1"/>
  </cols>
  <sheetData>
    <row r="1" spans="3:58" ht="15.75" outlineLevel="1">
      <c r="E1" s="510" t="s">
        <v>158</v>
      </c>
      <c r="F1" s="510"/>
      <c r="G1" s="510" t="s">
        <v>158</v>
      </c>
      <c r="H1" s="510"/>
      <c r="Y1" s="508" t="s">
        <v>158</v>
      </c>
      <c r="Z1" s="508"/>
      <c r="AA1" s="508"/>
      <c r="AB1" s="508"/>
      <c r="AT1" s="508" t="s">
        <v>158</v>
      </c>
      <c r="AU1" s="508"/>
      <c r="AV1" s="508"/>
      <c r="AW1" s="508"/>
      <c r="BB1" s="490" t="s">
        <v>159</v>
      </c>
      <c r="BC1" s="490"/>
      <c r="BD1" s="490"/>
      <c r="BE1" s="490"/>
      <c r="BF1" s="490"/>
    </row>
    <row r="2" spans="3:58" ht="15.75" outlineLevel="1">
      <c r="E2" s="507" t="s">
        <v>160</v>
      </c>
      <c r="F2" s="507"/>
      <c r="G2" s="507" t="s">
        <v>161</v>
      </c>
      <c r="H2" s="507"/>
      <c r="I2" s="511" t="s">
        <v>162</v>
      </c>
      <c r="J2" s="511"/>
      <c r="K2" s="511"/>
      <c r="L2" s="511"/>
      <c r="M2" s="511"/>
      <c r="N2" s="511"/>
      <c r="O2" s="511"/>
      <c r="P2" s="511"/>
      <c r="Q2" s="511"/>
      <c r="R2" s="511"/>
      <c r="S2" s="511"/>
      <c r="T2" s="511"/>
      <c r="U2" s="511"/>
      <c r="V2" s="511"/>
      <c r="W2" s="511"/>
      <c r="Y2" s="507" t="s">
        <v>163</v>
      </c>
      <c r="Z2" s="507"/>
      <c r="AB2" s="507" t="s">
        <v>164</v>
      </c>
      <c r="AC2" s="507"/>
      <c r="AD2" s="509" t="s">
        <v>165</v>
      </c>
      <c r="AE2" s="509"/>
      <c r="AF2" s="509"/>
      <c r="AG2" s="509"/>
      <c r="AH2" s="509"/>
      <c r="AI2" s="509"/>
      <c r="AJ2" s="509"/>
      <c r="AK2" s="509"/>
      <c r="AL2" s="509"/>
      <c r="AM2" s="509"/>
      <c r="AN2" s="509"/>
      <c r="AO2" s="509"/>
      <c r="AP2" s="509"/>
      <c r="AQ2" s="509"/>
      <c r="AR2" s="509"/>
      <c r="AT2" s="507" t="s">
        <v>166</v>
      </c>
      <c r="AU2" s="507"/>
      <c r="AV2" s="507" t="s">
        <v>167</v>
      </c>
      <c r="AW2" s="507"/>
    </row>
    <row r="3" spans="3:58" outlineLevel="1">
      <c r="D3" s="489" t="s">
        <v>168</v>
      </c>
      <c r="E3" s="489"/>
      <c r="F3" s="489"/>
      <c r="G3" s="489"/>
      <c r="H3" s="489" t="s">
        <v>169</v>
      </c>
      <c r="I3" s="489"/>
      <c r="J3" s="489"/>
      <c r="K3" s="489"/>
      <c r="L3" s="489" t="s">
        <v>170</v>
      </c>
      <c r="M3" s="489"/>
      <c r="N3" s="489"/>
      <c r="O3" s="489"/>
      <c r="P3" s="489" t="s">
        <v>171</v>
      </c>
      <c r="Q3" s="489"/>
      <c r="R3" s="489"/>
      <c r="S3" s="489"/>
      <c r="T3" s="489" t="s">
        <v>172</v>
      </c>
      <c r="U3" s="489"/>
      <c r="V3" s="489"/>
      <c r="W3" s="489"/>
      <c r="X3" s="489" t="s">
        <v>173</v>
      </c>
      <c r="Y3" s="489"/>
      <c r="Z3" s="489"/>
      <c r="AA3" s="489"/>
      <c r="AB3" s="489" t="s">
        <v>174</v>
      </c>
      <c r="AC3" s="489"/>
      <c r="AD3" s="489"/>
      <c r="AE3" s="489"/>
      <c r="AF3" s="489" t="s">
        <v>175</v>
      </c>
      <c r="AG3" s="489"/>
      <c r="AH3" s="489"/>
      <c r="AI3" s="489"/>
      <c r="AJ3" s="489" t="s">
        <v>176</v>
      </c>
      <c r="AK3" s="489"/>
      <c r="AL3" s="489"/>
      <c r="AM3" s="489"/>
      <c r="AN3" s="489" t="s">
        <v>177</v>
      </c>
      <c r="AO3" s="489"/>
      <c r="AP3" s="489"/>
      <c r="AQ3" s="489"/>
      <c r="AR3" s="489" t="s">
        <v>178</v>
      </c>
      <c r="AS3" s="489"/>
      <c r="AT3" s="489"/>
      <c r="AU3" s="489"/>
      <c r="AV3" s="489" t="s">
        <v>179</v>
      </c>
      <c r="AW3" s="489"/>
      <c r="AX3" s="489"/>
      <c r="AY3" s="489"/>
      <c r="AZ3" s="3"/>
      <c r="BB3" s="90" t="s">
        <v>180</v>
      </c>
      <c r="BC3" s="99" t="s">
        <v>181</v>
      </c>
      <c r="BD3" s="90" t="s">
        <v>182</v>
      </c>
      <c r="BE3" s="90" t="s">
        <v>183</v>
      </c>
      <c r="BF3" s="90" t="s">
        <v>19</v>
      </c>
    </row>
    <row r="4" spans="3:58" outlineLevel="1">
      <c r="D4" s="492" t="s">
        <v>184</v>
      </c>
      <c r="E4" s="492"/>
      <c r="F4" s="492"/>
      <c r="G4" s="492"/>
      <c r="H4" s="493" t="s">
        <v>185</v>
      </c>
      <c r="I4" s="493"/>
      <c r="J4" s="493"/>
      <c r="K4" s="493"/>
      <c r="L4" s="492" t="s">
        <v>186</v>
      </c>
      <c r="M4" s="492"/>
      <c r="N4" s="492"/>
      <c r="O4" s="492"/>
      <c r="P4" s="493" t="s">
        <v>187</v>
      </c>
      <c r="Q4" s="493"/>
      <c r="R4" s="493"/>
      <c r="S4" s="493"/>
      <c r="T4" s="492" t="s">
        <v>188</v>
      </c>
      <c r="U4" s="492"/>
      <c r="V4" s="492"/>
      <c r="W4" s="492"/>
      <c r="X4" s="493" t="s">
        <v>189</v>
      </c>
      <c r="Y4" s="493"/>
      <c r="Z4" s="493"/>
      <c r="AA4" s="493"/>
      <c r="AB4" s="492" t="s">
        <v>190</v>
      </c>
      <c r="AC4" s="492"/>
      <c r="AD4" s="492"/>
      <c r="AE4" s="492"/>
      <c r="AF4" s="493" t="s">
        <v>191</v>
      </c>
      <c r="AG4" s="493"/>
      <c r="AH4" s="493"/>
      <c r="AI4" s="493"/>
      <c r="AJ4" s="492" t="s">
        <v>192</v>
      </c>
      <c r="AK4" s="492"/>
      <c r="AL4" s="492"/>
      <c r="AM4" s="492"/>
      <c r="AN4" s="493" t="s">
        <v>193</v>
      </c>
      <c r="AO4" s="493"/>
      <c r="AP4" s="493"/>
      <c r="AQ4" s="493"/>
      <c r="AR4" s="492" t="s">
        <v>194</v>
      </c>
      <c r="AS4" s="492"/>
      <c r="AT4" s="492"/>
      <c r="AU4" s="492"/>
      <c r="AV4" s="493" t="s">
        <v>195</v>
      </c>
      <c r="AW4" s="493"/>
      <c r="AX4" s="493"/>
      <c r="AY4" s="493"/>
      <c r="AZ4" s="22"/>
      <c r="BB4" s="86">
        <v>1160000</v>
      </c>
      <c r="BC4" s="86">
        <f>+BB4*1.53</f>
        <v>1774800</v>
      </c>
      <c r="BD4">
        <v>5</v>
      </c>
      <c r="BE4" s="86">
        <f>+BC4*BD4</f>
        <v>8874000</v>
      </c>
      <c r="BF4" s="86">
        <f>+BE4*12</f>
        <v>106488000</v>
      </c>
    </row>
    <row r="5" spans="3:58" outlineLevel="1">
      <c r="D5" s="76" t="s">
        <v>196</v>
      </c>
      <c r="E5" s="76" t="s">
        <v>197</v>
      </c>
      <c r="F5" s="76" t="s">
        <v>198</v>
      </c>
      <c r="G5" s="76" t="s">
        <v>199</v>
      </c>
      <c r="H5" s="16" t="s">
        <v>200</v>
      </c>
      <c r="I5" s="16" t="s">
        <v>201</v>
      </c>
      <c r="J5" s="16" t="s">
        <v>202</v>
      </c>
      <c r="K5" s="16" t="s">
        <v>203</v>
      </c>
      <c r="L5" s="76" t="s">
        <v>204</v>
      </c>
      <c r="M5" s="76" t="s">
        <v>205</v>
      </c>
      <c r="N5" s="76" t="s">
        <v>206</v>
      </c>
      <c r="O5" s="76" t="s">
        <v>207</v>
      </c>
      <c r="P5" s="16" t="s">
        <v>208</v>
      </c>
      <c r="Q5" s="16" t="s">
        <v>209</v>
      </c>
      <c r="R5" s="16" t="s">
        <v>210</v>
      </c>
      <c r="S5" s="16" t="s">
        <v>211</v>
      </c>
      <c r="T5" s="76" t="s">
        <v>212</v>
      </c>
      <c r="U5" s="76" t="s">
        <v>213</v>
      </c>
      <c r="V5" s="76" t="s">
        <v>214</v>
      </c>
      <c r="W5" s="76" t="s">
        <v>215</v>
      </c>
      <c r="X5" s="16" t="s">
        <v>216</v>
      </c>
      <c r="Y5" s="16" t="s">
        <v>217</v>
      </c>
      <c r="Z5" s="16" t="s">
        <v>218</v>
      </c>
      <c r="AA5" s="16" t="s">
        <v>219</v>
      </c>
      <c r="AB5" s="76" t="s">
        <v>220</v>
      </c>
      <c r="AC5" s="76" t="s">
        <v>221</v>
      </c>
      <c r="AD5" s="76" t="s">
        <v>222</v>
      </c>
      <c r="AE5" s="76" t="s">
        <v>223</v>
      </c>
      <c r="AF5" s="16" t="s">
        <v>224</v>
      </c>
      <c r="AG5" s="16" t="s">
        <v>225</v>
      </c>
      <c r="AH5" s="16" t="s">
        <v>226</v>
      </c>
      <c r="AI5" s="16" t="s">
        <v>227</v>
      </c>
      <c r="AJ5" s="76" t="s">
        <v>228</v>
      </c>
      <c r="AK5" s="76" t="s">
        <v>229</v>
      </c>
      <c r="AL5" s="76" t="s">
        <v>230</v>
      </c>
      <c r="AM5" s="76" t="s">
        <v>231</v>
      </c>
      <c r="AN5" s="16" t="s">
        <v>232</v>
      </c>
      <c r="AO5" s="16" t="s">
        <v>233</v>
      </c>
      <c r="AP5" s="16" t="s">
        <v>234</v>
      </c>
      <c r="AQ5" s="16" t="s">
        <v>235</v>
      </c>
      <c r="AR5" s="76" t="s">
        <v>236</v>
      </c>
      <c r="AS5" s="76" t="s">
        <v>237</v>
      </c>
      <c r="AT5" s="76" t="s">
        <v>238</v>
      </c>
      <c r="AU5" s="76" t="s">
        <v>239</v>
      </c>
      <c r="AV5" s="16" t="s">
        <v>240</v>
      </c>
      <c r="AW5" s="16" t="s">
        <v>241</v>
      </c>
      <c r="AX5" s="16" t="s">
        <v>242</v>
      </c>
      <c r="AY5" s="16" t="s">
        <v>243</v>
      </c>
      <c r="AZ5" s="3"/>
      <c r="BB5" s="86">
        <v>2000000</v>
      </c>
      <c r="BC5" s="86">
        <f t="shared" ref="BC5:BC6" si="0">+BB5*1.53</f>
        <v>3060000</v>
      </c>
      <c r="BD5">
        <v>1</v>
      </c>
      <c r="BE5" s="86">
        <f>+BC5*BD5</f>
        <v>3060000</v>
      </c>
      <c r="BF5" s="86">
        <f>+BE5*12</f>
        <v>36720000</v>
      </c>
    </row>
    <row r="6" spans="3:58" outlineLevel="1">
      <c r="BB6" s="86">
        <v>3500000</v>
      </c>
      <c r="BC6" s="86">
        <f t="shared" si="0"/>
        <v>5355000</v>
      </c>
      <c r="BD6">
        <v>1</v>
      </c>
      <c r="BE6" s="86">
        <f>+BC6*BD6</f>
        <v>5355000</v>
      </c>
      <c r="BF6" s="86">
        <f>+BE6*12</f>
        <v>64260000</v>
      </c>
    </row>
    <row r="7" spans="3:58" ht="15.75" outlineLevel="1">
      <c r="E7" s="3" t="s">
        <v>244</v>
      </c>
      <c r="F7" s="3" t="s">
        <v>245</v>
      </c>
      <c r="G7" s="3" t="s">
        <v>244</v>
      </c>
      <c r="H7" s="3" t="s">
        <v>245</v>
      </c>
      <c r="I7" s="79" t="s">
        <v>244</v>
      </c>
      <c r="J7" s="79" t="s">
        <v>245</v>
      </c>
      <c r="K7" s="79" t="s">
        <v>246</v>
      </c>
      <c r="L7" s="79" t="s">
        <v>247</v>
      </c>
      <c r="M7" s="79" t="s">
        <v>248</v>
      </c>
      <c r="N7" s="79" t="s">
        <v>249</v>
      </c>
      <c r="O7" s="79" t="s">
        <v>250</v>
      </c>
      <c r="P7" s="79" t="s">
        <v>251</v>
      </c>
      <c r="Q7" s="79" t="s">
        <v>252</v>
      </c>
      <c r="R7" s="79" t="s">
        <v>253</v>
      </c>
      <c r="S7" s="79" t="s">
        <v>254</v>
      </c>
      <c r="T7" s="79" t="s">
        <v>255</v>
      </c>
      <c r="U7" s="79" t="s">
        <v>256</v>
      </c>
      <c r="V7" s="79" t="s">
        <v>257</v>
      </c>
      <c r="W7" s="79" t="s">
        <v>258</v>
      </c>
      <c r="Y7" s="3" t="s">
        <v>244</v>
      </c>
      <c r="Z7" s="3" t="s">
        <v>245</v>
      </c>
      <c r="AB7" s="3" t="s">
        <v>244</v>
      </c>
      <c r="AC7" s="3" t="s">
        <v>245</v>
      </c>
      <c r="AD7" s="79" t="s">
        <v>244</v>
      </c>
      <c r="AE7" s="79" t="s">
        <v>245</v>
      </c>
      <c r="AF7" s="79" t="s">
        <v>246</v>
      </c>
      <c r="AG7" s="79" t="s">
        <v>247</v>
      </c>
      <c r="AH7" s="79" t="s">
        <v>248</v>
      </c>
      <c r="AI7" s="79" t="s">
        <v>249</v>
      </c>
      <c r="AJ7" s="79" t="s">
        <v>250</v>
      </c>
      <c r="AK7" s="79" t="s">
        <v>251</v>
      </c>
      <c r="AL7" s="79" t="s">
        <v>252</v>
      </c>
      <c r="AM7" s="79" t="s">
        <v>253</v>
      </c>
      <c r="AN7" s="79" t="s">
        <v>254</v>
      </c>
      <c r="AO7" s="79" t="s">
        <v>255</v>
      </c>
      <c r="AP7" s="79" t="s">
        <v>256</v>
      </c>
      <c r="AQ7" s="79" t="s">
        <v>257</v>
      </c>
      <c r="AR7" s="79" t="s">
        <v>258</v>
      </c>
      <c r="AT7" s="3" t="s">
        <v>244</v>
      </c>
      <c r="AU7" s="3" t="s">
        <v>245</v>
      </c>
      <c r="AV7" s="3" t="s">
        <v>244</v>
      </c>
      <c r="AW7" s="3" t="s">
        <v>245</v>
      </c>
      <c r="BB7" s="1"/>
      <c r="BC7" s="1"/>
      <c r="BD7" s="75"/>
      <c r="BE7" s="96">
        <f>SUM(BE4:BE6)</f>
        <v>17289000</v>
      </c>
      <c r="BF7" s="97">
        <f>+BE7*12</f>
        <v>207468000</v>
      </c>
    </row>
    <row r="8" spans="3:58" outlineLevel="1">
      <c r="C8" s="74">
        <v>1</v>
      </c>
      <c r="E8" s="88"/>
      <c r="F8" s="88"/>
      <c r="G8" s="88"/>
      <c r="H8" s="88"/>
      <c r="I8" s="77">
        <v>2</v>
      </c>
      <c r="J8" s="78">
        <v>3</v>
      </c>
      <c r="K8" s="77">
        <v>4</v>
      </c>
      <c r="L8" s="78">
        <v>5</v>
      </c>
      <c r="M8" s="77">
        <v>6</v>
      </c>
      <c r="N8" s="78">
        <v>7</v>
      </c>
      <c r="O8" s="77">
        <v>8</v>
      </c>
      <c r="P8" s="78">
        <v>9</v>
      </c>
      <c r="Q8" s="77">
        <v>10</v>
      </c>
      <c r="R8" s="78">
        <v>11</v>
      </c>
      <c r="S8" s="77">
        <v>12</v>
      </c>
      <c r="T8" s="78">
        <v>13</v>
      </c>
      <c r="U8" s="77">
        <v>14</v>
      </c>
      <c r="V8" s="78">
        <v>15</v>
      </c>
      <c r="W8" s="77">
        <v>16</v>
      </c>
      <c r="Y8" s="88"/>
      <c r="Z8" s="88"/>
      <c r="AB8" s="88"/>
      <c r="AC8" s="88"/>
      <c r="AD8" s="77">
        <v>2</v>
      </c>
      <c r="AE8" s="78">
        <v>3</v>
      </c>
      <c r="AF8" s="77">
        <v>4</v>
      </c>
      <c r="AG8" s="78">
        <v>5</v>
      </c>
      <c r="AH8" s="77">
        <v>6</v>
      </c>
      <c r="AI8" s="78">
        <v>7</v>
      </c>
      <c r="AJ8" s="77">
        <v>8</v>
      </c>
      <c r="AK8" s="78">
        <v>9</v>
      </c>
      <c r="AL8" s="77">
        <v>10</v>
      </c>
      <c r="AM8" s="78">
        <v>11</v>
      </c>
      <c r="AN8" s="77">
        <v>12</v>
      </c>
      <c r="AO8" s="78">
        <v>13</v>
      </c>
      <c r="AP8" s="77">
        <v>14</v>
      </c>
      <c r="AQ8" s="78">
        <v>15</v>
      </c>
      <c r="AR8" s="77">
        <v>16</v>
      </c>
      <c r="AT8" s="88"/>
      <c r="AU8" s="88"/>
      <c r="AV8" s="88"/>
      <c r="AW8" s="88"/>
    </row>
    <row r="9" spans="3:58" outlineLevel="1">
      <c r="C9" s="74">
        <v>2</v>
      </c>
      <c r="E9" s="88"/>
      <c r="F9" s="88"/>
      <c r="G9" s="88"/>
      <c r="H9" s="88"/>
      <c r="I9" s="77">
        <v>1</v>
      </c>
      <c r="J9" s="78">
        <v>4</v>
      </c>
      <c r="K9" s="77">
        <v>3</v>
      </c>
      <c r="L9" s="78">
        <v>6</v>
      </c>
      <c r="M9" s="77">
        <v>5</v>
      </c>
      <c r="N9" s="78">
        <v>8</v>
      </c>
      <c r="O9" s="77">
        <v>7</v>
      </c>
      <c r="P9" s="78">
        <v>10</v>
      </c>
      <c r="Q9" s="77">
        <v>9</v>
      </c>
      <c r="R9" s="78">
        <v>12</v>
      </c>
      <c r="S9" s="77">
        <v>11</v>
      </c>
      <c r="T9" s="78">
        <v>14</v>
      </c>
      <c r="U9" s="77">
        <v>13</v>
      </c>
      <c r="V9" s="78">
        <v>16</v>
      </c>
      <c r="W9" s="77">
        <v>15</v>
      </c>
      <c r="Y9" s="88"/>
      <c r="Z9" s="88"/>
      <c r="AB9" s="88"/>
      <c r="AC9" s="88"/>
      <c r="AD9" s="77">
        <v>1</v>
      </c>
      <c r="AE9" s="78">
        <v>4</v>
      </c>
      <c r="AF9" s="77">
        <v>3</v>
      </c>
      <c r="AG9" s="78">
        <v>6</v>
      </c>
      <c r="AH9" s="77">
        <v>5</v>
      </c>
      <c r="AI9" s="78">
        <v>8</v>
      </c>
      <c r="AJ9" s="77">
        <v>7</v>
      </c>
      <c r="AK9" s="78">
        <v>10</v>
      </c>
      <c r="AL9" s="77">
        <v>9</v>
      </c>
      <c r="AM9" s="78">
        <v>12</v>
      </c>
      <c r="AN9" s="77">
        <v>11</v>
      </c>
      <c r="AO9" s="78">
        <v>14</v>
      </c>
      <c r="AP9" s="77">
        <v>13</v>
      </c>
      <c r="AQ9" s="78">
        <v>16</v>
      </c>
      <c r="AR9" s="77">
        <v>15</v>
      </c>
      <c r="AT9" s="88"/>
      <c r="AU9" s="88"/>
      <c r="AV9" s="88"/>
      <c r="AW9" s="88"/>
      <c r="BB9" s="90"/>
      <c r="BC9" s="99" t="s">
        <v>259</v>
      </c>
      <c r="BD9" s="90" t="s">
        <v>183</v>
      </c>
      <c r="BE9" s="90" t="s">
        <v>260</v>
      </c>
      <c r="BF9" s="90" t="s">
        <v>19</v>
      </c>
    </row>
    <row r="10" spans="3:58" outlineLevel="1">
      <c r="C10" s="74">
        <v>3</v>
      </c>
      <c r="E10" s="88"/>
      <c r="F10" s="88"/>
      <c r="G10" s="88"/>
      <c r="H10" s="88"/>
      <c r="I10" s="77">
        <v>4</v>
      </c>
      <c r="J10" s="78">
        <v>1</v>
      </c>
      <c r="K10" s="77">
        <v>2</v>
      </c>
      <c r="L10" s="78">
        <v>7</v>
      </c>
      <c r="M10" s="77">
        <v>8</v>
      </c>
      <c r="N10" s="78">
        <v>5</v>
      </c>
      <c r="O10" s="77">
        <v>6</v>
      </c>
      <c r="P10" s="78">
        <v>11</v>
      </c>
      <c r="Q10" s="77">
        <v>12</v>
      </c>
      <c r="R10" s="78">
        <v>9</v>
      </c>
      <c r="S10" s="77">
        <v>13</v>
      </c>
      <c r="T10" s="78">
        <v>15</v>
      </c>
      <c r="U10" s="77">
        <v>16</v>
      </c>
      <c r="V10" s="78">
        <v>14</v>
      </c>
      <c r="W10" s="77">
        <v>10</v>
      </c>
      <c r="Y10" s="88"/>
      <c r="Z10" s="88"/>
      <c r="AB10" s="88"/>
      <c r="AC10" s="88"/>
      <c r="AD10" s="77">
        <v>4</v>
      </c>
      <c r="AE10" s="78">
        <v>1</v>
      </c>
      <c r="AF10" s="77">
        <v>2</v>
      </c>
      <c r="AG10" s="78">
        <v>7</v>
      </c>
      <c r="AH10" s="77">
        <v>8</v>
      </c>
      <c r="AI10" s="78">
        <v>5</v>
      </c>
      <c r="AJ10" s="77">
        <v>6</v>
      </c>
      <c r="AK10" s="78">
        <v>11</v>
      </c>
      <c r="AL10" s="77">
        <v>12</v>
      </c>
      <c r="AM10" s="78">
        <v>9</v>
      </c>
      <c r="AN10" s="77">
        <v>13</v>
      </c>
      <c r="AO10" s="78">
        <v>15</v>
      </c>
      <c r="AP10" s="77">
        <v>16</v>
      </c>
      <c r="AQ10" s="78">
        <v>14</v>
      </c>
      <c r="AR10" s="77">
        <v>10</v>
      </c>
      <c r="AT10" s="88"/>
      <c r="AU10" s="88"/>
      <c r="AV10" s="88"/>
      <c r="AW10" s="88"/>
      <c r="BC10" t="s">
        <v>261</v>
      </c>
      <c r="BD10" s="3">
        <v>1</v>
      </c>
      <c r="BE10" s="86">
        <v>1500000</v>
      </c>
      <c r="BF10" s="95">
        <f>+BE10*12</f>
        <v>18000000</v>
      </c>
    </row>
    <row r="11" spans="3:58" outlineLevel="1">
      <c r="C11" s="74">
        <v>4</v>
      </c>
      <c r="E11" s="88"/>
      <c r="F11" s="88"/>
      <c r="G11" s="88"/>
      <c r="H11" s="88"/>
      <c r="I11" s="77">
        <v>3</v>
      </c>
      <c r="J11" s="78">
        <v>2</v>
      </c>
      <c r="K11" s="77">
        <v>1</v>
      </c>
      <c r="L11" s="78">
        <v>8</v>
      </c>
      <c r="M11" s="77">
        <v>7</v>
      </c>
      <c r="N11" s="78">
        <v>6</v>
      </c>
      <c r="O11" s="77">
        <v>5</v>
      </c>
      <c r="P11" s="78">
        <v>12</v>
      </c>
      <c r="Q11" s="77">
        <v>11</v>
      </c>
      <c r="R11" s="78">
        <v>10</v>
      </c>
      <c r="S11" s="77">
        <v>14</v>
      </c>
      <c r="T11" s="78">
        <v>16</v>
      </c>
      <c r="U11" s="77">
        <v>15</v>
      </c>
      <c r="V11" s="78">
        <v>9</v>
      </c>
      <c r="W11" s="77">
        <v>13</v>
      </c>
      <c r="Y11" s="88"/>
      <c r="Z11" s="88"/>
      <c r="AB11" s="88"/>
      <c r="AC11" s="88"/>
      <c r="AD11" s="77">
        <v>3</v>
      </c>
      <c r="AE11" s="78">
        <v>2</v>
      </c>
      <c r="AF11" s="77">
        <v>1</v>
      </c>
      <c r="AG11" s="78">
        <v>8</v>
      </c>
      <c r="AH11" s="77">
        <v>7</v>
      </c>
      <c r="AI11" s="78">
        <v>6</v>
      </c>
      <c r="AJ11" s="77">
        <v>5</v>
      </c>
      <c r="AK11" s="78">
        <v>12</v>
      </c>
      <c r="AL11" s="77">
        <v>11</v>
      </c>
      <c r="AM11" s="78">
        <v>10</v>
      </c>
      <c r="AN11" s="77">
        <v>14</v>
      </c>
      <c r="AO11" s="78">
        <v>16</v>
      </c>
      <c r="AP11" s="77">
        <v>15</v>
      </c>
      <c r="AQ11" s="78">
        <v>9</v>
      </c>
      <c r="AR11" s="77">
        <v>13</v>
      </c>
      <c r="AT11" s="88"/>
      <c r="AU11" s="88"/>
      <c r="AV11" s="88"/>
      <c r="AW11" s="88"/>
      <c r="BC11" t="s">
        <v>262</v>
      </c>
      <c r="BD11" s="3">
        <v>1</v>
      </c>
      <c r="BE11" s="86">
        <v>300000</v>
      </c>
      <c r="BF11" s="95">
        <f>+BE11*12</f>
        <v>3600000</v>
      </c>
    </row>
    <row r="12" spans="3:58" outlineLevel="1">
      <c r="C12" s="74">
        <v>5</v>
      </c>
      <c r="E12" s="88"/>
      <c r="F12" s="88"/>
      <c r="G12" s="88"/>
      <c r="H12" s="88"/>
      <c r="I12" s="77">
        <v>6</v>
      </c>
      <c r="J12" s="78">
        <v>7</v>
      </c>
      <c r="K12" s="77">
        <v>8</v>
      </c>
      <c r="L12" s="78">
        <v>1</v>
      </c>
      <c r="M12" s="77">
        <v>2</v>
      </c>
      <c r="N12" s="78">
        <v>4</v>
      </c>
      <c r="O12" s="77">
        <v>3</v>
      </c>
      <c r="P12" s="78">
        <v>13</v>
      </c>
      <c r="Q12" s="77">
        <v>14</v>
      </c>
      <c r="R12" s="78">
        <v>15</v>
      </c>
      <c r="S12" s="77">
        <v>16</v>
      </c>
      <c r="T12" s="78">
        <v>9</v>
      </c>
      <c r="U12" s="77">
        <v>10</v>
      </c>
      <c r="V12" s="78">
        <v>11</v>
      </c>
      <c r="W12" s="77">
        <v>12</v>
      </c>
      <c r="Y12" s="88"/>
      <c r="Z12" s="88"/>
      <c r="AB12" s="88"/>
      <c r="AC12" s="88"/>
      <c r="AD12" s="77">
        <v>6</v>
      </c>
      <c r="AE12" s="78">
        <v>7</v>
      </c>
      <c r="AF12" s="77">
        <v>8</v>
      </c>
      <c r="AG12" s="78">
        <v>1</v>
      </c>
      <c r="AH12" s="77">
        <v>2</v>
      </c>
      <c r="AI12" s="78">
        <v>4</v>
      </c>
      <c r="AJ12" s="77">
        <v>3</v>
      </c>
      <c r="AK12" s="78">
        <v>13</v>
      </c>
      <c r="AL12" s="77">
        <v>14</v>
      </c>
      <c r="AM12" s="78">
        <v>15</v>
      </c>
      <c r="AN12" s="77">
        <v>16</v>
      </c>
      <c r="AO12" s="78">
        <v>9</v>
      </c>
      <c r="AP12" s="77">
        <v>10</v>
      </c>
      <c r="AQ12" s="78">
        <v>11</v>
      </c>
      <c r="AR12" s="77">
        <v>12</v>
      </c>
      <c r="AT12" s="88"/>
      <c r="AU12" s="88"/>
      <c r="AV12" s="88"/>
      <c r="AW12" s="88"/>
      <c r="BB12" s="86">
        <v>60000</v>
      </c>
      <c r="BC12" t="s">
        <v>263</v>
      </c>
      <c r="BD12" s="3">
        <v>4</v>
      </c>
      <c r="BE12" s="86">
        <f>+BB12*BD4*BD12</f>
        <v>1200000</v>
      </c>
      <c r="BF12" s="95">
        <f>+BE12*12</f>
        <v>14400000</v>
      </c>
    </row>
    <row r="13" spans="3:58" outlineLevel="1">
      <c r="C13" s="74">
        <v>6</v>
      </c>
      <c r="E13" s="88"/>
      <c r="F13" s="88"/>
      <c r="G13" s="88"/>
      <c r="H13" s="88"/>
      <c r="I13" s="77">
        <v>5</v>
      </c>
      <c r="J13" s="78">
        <v>8</v>
      </c>
      <c r="K13" s="77">
        <v>10</v>
      </c>
      <c r="L13" s="78">
        <v>2</v>
      </c>
      <c r="M13" s="77">
        <v>1</v>
      </c>
      <c r="N13" s="78">
        <v>3</v>
      </c>
      <c r="O13" s="77">
        <v>4</v>
      </c>
      <c r="P13" s="78">
        <v>14</v>
      </c>
      <c r="Q13" s="77">
        <v>13</v>
      </c>
      <c r="R13" s="78">
        <v>16</v>
      </c>
      <c r="S13" s="77">
        <v>15</v>
      </c>
      <c r="T13" s="78">
        <v>7</v>
      </c>
      <c r="U13" s="77">
        <v>9</v>
      </c>
      <c r="V13" s="78">
        <v>12</v>
      </c>
      <c r="W13" s="77">
        <v>11</v>
      </c>
      <c r="Y13" s="88"/>
      <c r="Z13" s="88"/>
      <c r="AB13" s="88"/>
      <c r="AC13" s="88"/>
      <c r="AD13" s="77">
        <v>5</v>
      </c>
      <c r="AE13" s="78">
        <v>8</v>
      </c>
      <c r="AF13" s="77">
        <v>10</v>
      </c>
      <c r="AG13" s="78">
        <v>2</v>
      </c>
      <c r="AH13" s="77">
        <v>1</v>
      </c>
      <c r="AI13" s="78">
        <v>3</v>
      </c>
      <c r="AJ13" s="77">
        <v>4</v>
      </c>
      <c r="AK13" s="78">
        <v>14</v>
      </c>
      <c r="AL13" s="77">
        <v>13</v>
      </c>
      <c r="AM13" s="78">
        <v>16</v>
      </c>
      <c r="AN13" s="77">
        <v>15</v>
      </c>
      <c r="AO13" s="78">
        <v>7</v>
      </c>
      <c r="AP13" s="77">
        <v>9</v>
      </c>
      <c r="AQ13" s="78">
        <v>12</v>
      </c>
      <c r="AR13" s="77">
        <v>11</v>
      </c>
      <c r="AT13" s="88"/>
      <c r="AU13" s="88"/>
      <c r="AV13" s="88"/>
      <c r="AW13" s="88"/>
      <c r="BB13" s="86">
        <v>5000</v>
      </c>
      <c r="BD13" s="3">
        <v>4</v>
      </c>
      <c r="BE13" s="86">
        <f>+BB13*(SUM(BD5:BD6)*BD13)</f>
        <v>40000</v>
      </c>
      <c r="BF13" s="95">
        <f>+BE13*12</f>
        <v>480000</v>
      </c>
    </row>
    <row r="14" spans="3:58" outlineLevel="1">
      <c r="C14" s="74">
        <v>7</v>
      </c>
      <c r="E14" s="88"/>
      <c r="F14" s="88"/>
      <c r="G14" s="88"/>
      <c r="H14" s="88"/>
      <c r="I14" s="77">
        <v>8</v>
      </c>
      <c r="J14" s="78">
        <v>5</v>
      </c>
      <c r="K14" s="77">
        <v>11</v>
      </c>
      <c r="L14" s="78">
        <v>3</v>
      </c>
      <c r="M14" s="77">
        <v>4</v>
      </c>
      <c r="N14" s="78">
        <v>1</v>
      </c>
      <c r="O14" s="77">
        <v>2</v>
      </c>
      <c r="P14" s="78">
        <v>15</v>
      </c>
      <c r="Q14" s="77">
        <v>16</v>
      </c>
      <c r="R14" s="78">
        <v>13</v>
      </c>
      <c r="S14" s="77">
        <v>9</v>
      </c>
      <c r="T14" s="78">
        <v>6</v>
      </c>
      <c r="U14" s="77">
        <v>12</v>
      </c>
      <c r="V14" s="78">
        <v>10</v>
      </c>
      <c r="W14" s="77">
        <v>14</v>
      </c>
      <c r="Y14" s="88"/>
      <c r="Z14" s="88"/>
      <c r="AB14" s="88"/>
      <c r="AC14" s="88"/>
      <c r="AD14" s="77">
        <v>8</v>
      </c>
      <c r="AE14" s="78">
        <v>5</v>
      </c>
      <c r="AF14" s="77">
        <v>11</v>
      </c>
      <c r="AG14" s="78">
        <v>3</v>
      </c>
      <c r="AH14" s="77">
        <v>4</v>
      </c>
      <c r="AI14" s="78">
        <v>1</v>
      </c>
      <c r="AJ14" s="77">
        <v>2</v>
      </c>
      <c r="AK14" s="78">
        <v>15</v>
      </c>
      <c r="AL14" s="77">
        <v>16</v>
      </c>
      <c r="AM14" s="78">
        <v>13</v>
      </c>
      <c r="AN14" s="77">
        <v>9</v>
      </c>
      <c r="AO14" s="78">
        <v>6</v>
      </c>
      <c r="AP14" s="77">
        <v>12</v>
      </c>
      <c r="AQ14" s="78">
        <v>10</v>
      </c>
      <c r="AR14" s="77">
        <v>14</v>
      </c>
      <c r="AT14" s="88"/>
      <c r="AU14" s="88"/>
      <c r="AV14" s="88"/>
      <c r="AW14" s="88"/>
      <c r="BE14" s="96">
        <f>SUM(BE10:BE13)</f>
        <v>3040000</v>
      </c>
      <c r="BF14" s="96">
        <f>+BE14*12</f>
        <v>36480000</v>
      </c>
    </row>
    <row r="15" spans="3:58" outlineLevel="1">
      <c r="C15" s="74">
        <v>8</v>
      </c>
      <c r="E15" s="88"/>
      <c r="F15" s="88"/>
      <c r="G15" s="88"/>
      <c r="H15" s="88"/>
      <c r="I15" s="77">
        <v>7</v>
      </c>
      <c r="J15" s="78">
        <v>6</v>
      </c>
      <c r="K15" s="77">
        <v>5</v>
      </c>
      <c r="L15" s="78">
        <v>4</v>
      </c>
      <c r="M15" s="77">
        <v>3</v>
      </c>
      <c r="N15" s="78">
        <v>2</v>
      </c>
      <c r="O15" s="77">
        <v>1</v>
      </c>
      <c r="P15" s="78">
        <v>16</v>
      </c>
      <c r="Q15" s="77">
        <v>15</v>
      </c>
      <c r="R15" s="78">
        <v>14</v>
      </c>
      <c r="S15" s="77">
        <v>10</v>
      </c>
      <c r="T15" s="78">
        <v>12</v>
      </c>
      <c r="U15" s="77">
        <v>11</v>
      </c>
      <c r="V15" s="78">
        <v>13</v>
      </c>
      <c r="W15" s="77">
        <v>9</v>
      </c>
      <c r="Y15" s="88"/>
      <c r="Z15" s="88"/>
      <c r="AB15" s="88"/>
      <c r="AC15" s="88"/>
      <c r="AD15" s="77">
        <v>7</v>
      </c>
      <c r="AE15" s="78">
        <v>6</v>
      </c>
      <c r="AF15" s="77">
        <v>5</v>
      </c>
      <c r="AG15" s="78">
        <v>4</v>
      </c>
      <c r="AH15" s="77">
        <v>3</v>
      </c>
      <c r="AI15" s="78">
        <v>2</v>
      </c>
      <c r="AJ15" s="77">
        <v>1</v>
      </c>
      <c r="AK15" s="78">
        <v>16</v>
      </c>
      <c r="AL15" s="77">
        <v>15</v>
      </c>
      <c r="AM15" s="78">
        <v>14</v>
      </c>
      <c r="AN15" s="77">
        <v>10</v>
      </c>
      <c r="AO15" s="78">
        <v>12</v>
      </c>
      <c r="AP15" s="77">
        <v>11</v>
      </c>
      <c r="AQ15" s="78">
        <v>13</v>
      </c>
      <c r="AR15" s="77">
        <v>9</v>
      </c>
      <c r="AT15" s="88"/>
      <c r="AU15" s="88"/>
      <c r="AV15" s="88"/>
      <c r="AW15" s="88"/>
    </row>
    <row r="16" spans="3:58" outlineLevel="1">
      <c r="C16" s="74">
        <v>9</v>
      </c>
      <c r="E16" s="88"/>
      <c r="F16" s="88"/>
      <c r="G16" s="88"/>
      <c r="H16" s="88"/>
      <c r="I16" s="77">
        <v>10</v>
      </c>
      <c r="J16" s="78">
        <v>11</v>
      </c>
      <c r="K16" s="77">
        <v>12</v>
      </c>
      <c r="L16" s="78">
        <v>13</v>
      </c>
      <c r="M16" s="77">
        <v>14</v>
      </c>
      <c r="N16" s="78">
        <v>15</v>
      </c>
      <c r="O16" s="77">
        <v>16</v>
      </c>
      <c r="P16" s="78">
        <v>1</v>
      </c>
      <c r="Q16" s="77">
        <v>2</v>
      </c>
      <c r="R16" s="78">
        <v>3</v>
      </c>
      <c r="S16" s="77">
        <v>7</v>
      </c>
      <c r="T16" s="78">
        <v>5</v>
      </c>
      <c r="U16" s="77">
        <v>6</v>
      </c>
      <c r="V16" s="78">
        <v>4</v>
      </c>
      <c r="W16" s="77">
        <v>8</v>
      </c>
      <c r="Y16" s="88"/>
      <c r="Z16" s="88"/>
      <c r="AB16" s="88"/>
      <c r="AC16" s="88"/>
      <c r="AD16" s="77">
        <v>10</v>
      </c>
      <c r="AE16" s="78">
        <v>11</v>
      </c>
      <c r="AF16" s="77">
        <v>12</v>
      </c>
      <c r="AG16" s="78">
        <v>13</v>
      </c>
      <c r="AH16" s="77">
        <v>14</v>
      </c>
      <c r="AI16" s="78">
        <v>15</v>
      </c>
      <c r="AJ16" s="77">
        <v>16</v>
      </c>
      <c r="AK16" s="78">
        <v>1</v>
      </c>
      <c r="AL16" s="77">
        <v>2</v>
      </c>
      <c r="AM16" s="78">
        <v>3</v>
      </c>
      <c r="AN16" s="77">
        <v>7</v>
      </c>
      <c r="AO16" s="78">
        <v>5</v>
      </c>
      <c r="AP16" s="77">
        <v>6</v>
      </c>
      <c r="AQ16" s="78">
        <v>4</v>
      </c>
      <c r="AR16" s="77">
        <v>8</v>
      </c>
      <c r="AT16" s="88"/>
      <c r="AU16" s="88"/>
      <c r="AV16" s="88"/>
      <c r="AW16" s="88"/>
      <c r="BB16" s="122"/>
      <c r="BC16" s="122"/>
      <c r="BD16" s="123" t="s">
        <v>28</v>
      </c>
      <c r="BE16" s="124">
        <f>+BE7+BE14</f>
        <v>20329000</v>
      </c>
      <c r="BF16" s="125">
        <f>+BE16*12</f>
        <v>243948000</v>
      </c>
    </row>
    <row r="17" spans="1:65" outlineLevel="1">
      <c r="C17" s="74">
        <v>10</v>
      </c>
      <c r="E17" s="88"/>
      <c r="F17" s="88"/>
      <c r="G17" s="88"/>
      <c r="H17" s="88"/>
      <c r="I17" s="77">
        <v>9</v>
      </c>
      <c r="J17" s="78">
        <v>12</v>
      </c>
      <c r="K17" s="77">
        <v>6</v>
      </c>
      <c r="L17" s="78">
        <v>14</v>
      </c>
      <c r="M17" s="77">
        <v>13</v>
      </c>
      <c r="N17" s="78">
        <v>16</v>
      </c>
      <c r="O17" s="77">
        <v>15</v>
      </c>
      <c r="P17" s="78">
        <v>2</v>
      </c>
      <c r="Q17" s="77">
        <v>1</v>
      </c>
      <c r="R17" s="78">
        <v>4</v>
      </c>
      <c r="S17" s="77">
        <v>8</v>
      </c>
      <c r="T17" s="78">
        <v>11</v>
      </c>
      <c r="U17" s="77">
        <v>5</v>
      </c>
      <c r="V17" s="78">
        <v>7</v>
      </c>
      <c r="W17" s="77">
        <v>3</v>
      </c>
      <c r="Y17" s="88"/>
      <c r="Z17" s="88"/>
      <c r="AB17" s="88"/>
      <c r="AC17" s="88"/>
      <c r="AD17" s="77">
        <v>9</v>
      </c>
      <c r="AE17" s="78">
        <v>12</v>
      </c>
      <c r="AF17" s="77">
        <v>6</v>
      </c>
      <c r="AG17" s="78">
        <v>14</v>
      </c>
      <c r="AH17" s="77">
        <v>13</v>
      </c>
      <c r="AI17" s="78">
        <v>16</v>
      </c>
      <c r="AJ17" s="77">
        <v>15</v>
      </c>
      <c r="AK17" s="78">
        <v>2</v>
      </c>
      <c r="AL17" s="77">
        <v>1</v>
      </c>
      <c r="AM17" s="78">
        <v>4</v>
      </c>
      <c r="AN17" s="77">
        <v>8</v>
      </c>
      <c r="AO17" s="78">
        <v>11</v>
      </c>
      <c r="AP17" s="77">
        <v>5</v>
      </c>
      <c r="AQ17" s="78">
        <v>7</v>
      </c>
      <c r="AR17" s="77">
        <v>3</v>
      </c>
      <c r="AT17" s="88"/>
      <c r="AU17" s="88"/>
      <c r="AV17" s="88"/>
      <c r="AW17" s="88"/>
      <c r="BB17" s="126"/>
      <c r="BC17" s="127">
        <v>1.1000000000000001</v>
      </c>
      <c r="BD17" s="128" t="s">
        <v>264</v>
      </c>
      <c r="BE17" s="129">
        <f>+BE16*BC17</f>
        <v>22361900</v>
      </c>
      <c r="BF17" s="129">
        <f>+BE17*12</f>
        <v>268342800</v>
      </c>
    </row>
    <row r="18" spans="1:65" outlineLevel="1">
      <c r="C18" s="74">
        <v>11</v>
      </c>
      <c r="E18" s="88"/>
      <c r="F18" s="88"/>
      <c r="G18" s="88"/>
      <c r="H18" s="88"/>
      <c r="I18" s="77">
        <v>12</v>
      </c>
      <c r="J18" s="78">
        <v>9</v>
      </c>
      <c r="K18" s="77">
        <v>7</v>
      </c>
      <c r="L18" s="78">
        <v>15</v>
      </c>
      <c r="M18" s="77">
        <v>16</v>
      </c>
      <c r="N18" s="78">
        <v>14</v>
      </c>
      <c r="O18" s="77">
        <v>13</v>
      </c>
      <c r="P18" s="78">
        <v>3</v>
      </c>
      <c r="Q18" s="77">
        <v>4</v>
      </c>
      <c r="R18" s="78">
        <v>1</v>
      </c>
      <c r="S18" s="77">
        <v>2</v>
      </c>
      <c r="T18" s="78">
        <v>10</v>
      </c>
      <c r="U18" s="77">
        <v>8</v>
      </c>
      <c r="V18" s="78">
        <v>5</v>
      </c>
      <c r="W18" s="77">
        <v>6</v>
      </c>
      <c r="Y18" s="88"/>
      <c r="Z18" s="88"/>
      <c r="AB18" s="88"/>
      <c r="AC18" s="88"/>
      <c r="AD18" s="77">
        <v>12</v>
      </c>
      <c r="AE18" s="78">
        <v>9</v>
      </c>
      <c r="AF18" s="77">
        <v>7</v>
      </c>
      <c r="AG18" s="78">
        <v>15</v>
      </c>
      <c r="AH18" s="77">
        <v>16</v>
      </c>
      <c r="AI18" s="78">
        <v>14</v>
      </c>
      <c r="AJ18" s="77">
        <v>13</v>
      </c>
      <c r="AK18" s="78">
        <v>3</v>
      </c>
      <c r="AL18" s="77">
        <v>4</v>
      </c>
      <c r="AM18" s="78">
        <v>1</v>
      </c>
      <c r="AN18" s="77">
        <v>2</v>
      </c>
      <c r="AO18" s="78">
        <v>10</v>
      </c>
      <c r="AP18" s="77">
        <v>8</v>
      </c>
      <c r="AQ18" s="78">
        <v>5</v>
      </c>
      <c r="AR18" s="77">
        <v>6</v>
      </c>
      <c r="AT18" s="88"/>
      <c r="AU18" s="88"/>
      <c r="AV18" s="88"/>
      <c r="AW18" s="88"/>
      <c r="BB18" s="130"/>
      <c r="BC18" s="131">
        <v>7.0000000000000007E-2</v>
      </c>
      <c r="BD18" s="130" t="s">
        <v>265</v>
      </c>
      <c r="BE18" s="132">
        <f>+BE17*BC18</f>
        <v>1565333.0000000002</v>
      </c>
      <c r="BF18" s="132">
        <f>+BE18*12</f>
        <v>18783996.000000004</v>
      </c>
    </row>
    <row r="19" spans="1:65" outlineLevel="1">
      <c r="A19" s="80" t="s">
        <v>266</v>
      </c>
      <c r="B19" s="80">
        <v>16</v>
      </c>
      <c r="C19" s="74">
        <v>12</v>
      </c>
      <c r="E19" s="88"/>
      <c r="F19" s="88"/>
      <c r="G19" s="88"/>
      <c r="H19" s="88"/>
      <c r="I19" s="77">
        <v>11</v>
      </c>
      <c r="J19" s="78">
        <v>10</v>
      </c>
      <c r="K19" s="77">
        <v>9</v>
      </c>
      <c r="L19" s="78">
        <v>16</v>
      </c>
      <c r="M19" s="77">
        <v>15</v>
      </c>
      <c r="N19" s="78">
        <v>13</v>
      </c>
      <c r="O19" s="77">
        <v>14</v>
      </c>
      <c r="P19" s="78">
        <v>4</v>
      </c>
      <c r="Q19" s="77">
        <v>3</v>
      </c>
      <c r="R19" s="78">
        <v>2</v>
      </c>
      <c r="S19" s="77">
        <v>1</v>
      </c>
      <c r="T19" s="78">
        <v>8</v>
      </c>
      <c r="U19" s="77">
        <v>7</v>
      </c>
      <c r="V19" s="78">
        <v>6</v>
      </c>
      <c r="W19" s="77">
        <v>5</v>
      </c>
      <c r="Y19" s="88"/>
      <c r="Z19" s="88"/>
      <c r="AB19" s="88"/>
      <c r="AC19" s="88"/>
      <c r="AD19" s="77">
        <v>11</v>
      </c>
      <c r="AE19" s="78">
        <v>10</v>
      </c>
      <c r="AF19" s="77">
        <v>9</v>
      </c>
      <c r="AG19" s="78">
        <v>16</v>
      </c>
      <c r="AH19" s="77">
        <v>15</v>
      </c>
      <c r="AI19" s="78">
        <v>13</v>
      </c>
      <c r="AJ19" s="77">
        <v>14</v>
      </c>
      <c r="AK19" s="78">
        <v>4</v>
      </c>
      <c r="AL19" s="77">
        <v>3</v>
      </c>
      <c r="AM19" s="78">
        <v>2</v>
      </c>
      <c r="AN19" s="77">
        <v>1</v>
      </c>
      <c r="AO19" s="78">
        <v>8</v>
      </c>
      <c r="AP19" s="77">
        <v>7</v>
      </c>
      <c r="AQ19" s="78">
        <v>6</v>
      </c>
      <c r="AR19" s="77">
        <v>5</v>
      </c>
      <c r="AT19" s="88"/>
      <c r="AU19" s="88"/>
      <c r="AV19" s="88"/>
      <c r="AW19" s="88"/>
      <c r="BB19" s="130"/>
      <c r="BC19" s="130"/>
      <c r="BD19" s="130"/>
      <c r="BE19" s="133">
        <f>+BE17-BE18</f>
        <v>20796567</v>
      </c>
      <c r="BF19" s="133">
        <f>+BF17-BF18</f>
        <v>249558804</v>
      </c>
    </row>
    <row r="20" spans="1:65" outlineLevel="1">
      <c r="A20" s="80" t="s">
        <v>267</v>
      </c>
      <c r="B20" s="87">
        <f>+I26*50000</f>
        <v>4000000</v>
      </c>
      <c r="C20" s="74">
        <v>13</v>
      </c>
      <c r="E20" s="88"/>
      <c r="F20" s="88"/>
      <c r="G20" s="88"/>
      <c r="H20" s="88"/>
      <c r="I20" s="77">
        <v>14</v>
      </c>
      <c r="J20" s="78">
        <v>15</v>
      </c>
      <c r="K20" s="77">
        <v>16</v>
      </c>
      <c r="L20" s="78">
        <v>9</v>
      </c>
      <c r="M20" s="77">
        <v>10</v>
      </c>
      <c r="N20" s="78">
        <v>11</v>
      </c>
      <c r="O20" s="77">
        <v>12</v>
      </c>
      <c r="P20" s="78">
        <v>5</v>
      </c>
      <c r="Q20" s="77">
        <v>6</v>
      </c>
      <c r="R20" s="78">
        <v>7</v>
      </c>
      <c r="S20" s="77">
        <v>3</v>
      </c>
      <c r="T20" s="78">
        <v>1</v>
      </c>
      <c r="U20" s="77">
        <v>2</v>
      </c>
      <c r="V20" s="78">
        <v>8</v>
      </c>
      <c r="W20" s="77">
        <v>4</v>
      </c>
      <c r="Y20" s="88"/>
      <c r="Z20" s="88"/>
      <c r="AB20" s="88"/>
      <c r="AC20" s="88"/>
      <c r="AD20" s="77">
        <v>14</v>
      </c>
      <c r="AE20" s="78">
        <v>15</v>
      </c>
      <c r="AF20" s="77">
        <v>16</v>
      </c>
      <c r="AG20" s="78">
        <v>9</v>
      </c>
      <c r="AH20" s="77">
        <v>10</v>
      </c>
      <c r="AI20" s="78">
        <v>11</v>
      </c>
      <c r="AJ20" s="77">
        <v>12</v>
      </c>
      <c r="AK20" s="78">
        <v>5</v>
      </c>
      <c r="AL20" s="77">
        <v>6</v>
      </c>
      <c r="AM20" s="78">
        <v>7</v>
      </c>
      <c r="AN20" s="77">
        <v>3</v>
      </c>
      <c r="AO20" s="78">
        <v>1</v>
      </c>
      <c r="AP20" s="77">
        <v>2</v>
      </c>
      <c r="AQ20" s="78">
        <v>8</v>
      </c>
      <c r="AR20" s="77">
        <v>4</v>
      </c>
      <c r="AT20" s="88"/>
      <c r="AU20" s="88"/>
      <c r="AV20" s="88"/>
      <c r="AW20" s="88"/>
      <c r="BB20" s="130"/>
      <c r="BC20" s="130"/>
      <c r="BD20" s="130"/>
      <c r="BE20" s="130"/>
      <c r="BF20" s="130"/>
    </row>
    <row r="21" spans="1:65" outlineLevel="1">
      <c r="B21" s="87">
        <f>5*60000</f>
        <v>300000</v>
      </c>
      <c r="C21" s="74">
        <v>14</v>
      </c>
      <c r="E21" s="88"/>
      <c r="F21" s="88"/>
      <c r="G21" s="88"/>
      <c r="H21" s="88"/>
      <c r="I21" s="77">
        <v>13</v>
      </c>
      <c r="J21" s="78">
        <v>16</v>
      </c>
      <c r="K21" s="77">
        <v>15</v>
      </c>
      <c r="L21" s="78">
        <v>10</v>
      </c>
      <c r="M21" s="77">
        <v>9</v>
      </c>
      <c r="N21" s="78">
        <v>12</v>
      </c>
      <c r="O21" s="77">
        <v>11</v>
      </c>
      <c r="P21" s="78">
        <v>6</v>
      </c>
      <c r="Q21" s="77">
        <v>5</v>
      </c>
      <c r="R21" s="78">
        <v>8</v>
      </c>
      <c r="S21" s="77">
        <v>4</v>
      </c>
      <c r="T21" s="78">
        <v>2</v>
      </c>
      <c r="U21" s="77">
        <v>1</v>
      </c>
      <c r="V21" s="78">
        <v>3</v>
      </c>
      <c r="W21" s="77">
        <v>7</v>
      </c>
      <c r="Y21" s="88"/>
      <c r="Z21" s="88"/>
      <c r="AB21" s="88"/>
      <c r="AC21" s="88"/>
      <c r="AD21" s="77">
        <v>13</v>
      </c>
      <c r="AE21" s="78">
        <v>16</v>
      </c>
      <c r="AF21" s="77">
        <v>15</v>
      </c>
      <c r="AG21" s="78">
        <v>10</v>
      </c>
      <c r="AH21" s="77">
        <v>9</v>
      </c>
      <c r="AI21" s="78">
        <v>12</v>
      </c>
      <c r="AJ21" s="77">
        <v>11</v>
      </c>
      <c r="AK21" s="78">
        <v>6</v>
      </c>
      <c r="AL21" s="77">
        <v>5</v>
      </c>
      <c r="AM21" s="78">
        <v>8</v>
      </c>
      <c r="AN21" s="77">
        <v>4</v>
      </c>
      <c r="AO21" s="78">
        <v>2</v>
      </c>
      <c r="AP21" s="77">
        <v>1</v>
      </c>
      <c r="AQ21" s="78">
        <v>3</v>
      </c>
      <c r="AR21" s="77">
        <v>7</v>
      </c>
      <c r="AT21" s="88"/>
      <c r="AU21" s="88"/>
      <c r="AV21" s="88"/>
      <c r="AW21" s="88"/>
      <c r="BB21" s="130"/>
      <c r="BC21" s="134" t="s">
        <v>268</v>
      </c>
      <c r="BD21" s="134" t="s">
        <v>269</v>
      </c>
      <c r="BE21" s="134" t="s">
        <v>183</v>
      </c>
      <c r="BF21" s="134" t="s">
        <v>19</v>
      </c>
    </row>
    <row r="22" spans="1:65" outlineLevel="1">
      <c r="A22" s="87">
        <f>+B22/5</f>
        <v>900000</v>
      </c>
      <c r="B22" s="87">
        <f>+B21*15</f>
        <v>4500000</v>
      </c>
      <c r="C22" s="74">
        <v>15</v>
      </c>
      <c r="E22" s="88"/>
      <c r="F22" s="88"/>
      <c r="G22" s="88"/>
      <c r="H22" s="88"/>
      <c r="I22" s="77">
        <v>16</v>
      </c>
      <c r="J22" s="78">
        <v>13</v>
      </c>
      <c r="K22" s="77">
        <v>14</v>
      </c>
      <c r="L22" s="78">
        <v>11</v>
      </c>
      <c r="M22" s="77">
        <v>12</v>
      </c>
      <c r="N22" s="78">
        <v>9</v>
      </c>
      <c r="O22" s="77">
        <v>10</v>
      </c>
      <c r="P22" s="78">
        <v>7</v>
      </c>
      <c r="Q22" s="77">
        <v>8</v>
      </c>
      <c r="R22" s="78">
        <v>5</v>
      </c>
      <c r="S22" s="77">
        <v>6</v>
      </c>
      <c r="T22" s="78">
        <v>3</v>
      </c>
      <c r="U22" s="77">
        <v>4</v>
      </c>
      <c r="V22" s="78">
        <v>1</v>
      </c>
      <c r="W22" s="77">
        <v>2</v>
      </c>
      <c r="Y22" s="88"/>
      <c r="Z22" s="88"/>
      <c r="AB22" s="88"/>
      <c r="AC22" s="88"/>
      <c r="AD22" s="77">
        <v>16</v>
      </c>
      <c r="AE22" s="78">
        <v>13</v>
      </c>
      <c r="AF22" s="77">
        <v>14</v>
      </c>
      <c r="AG22" s="78">
        <v>11</v>
      </c>
      <c r="AH22" s="77">
        <v>12</v>
      </c>
      <c r="AI22" s="78">
        <v>9</v>
      </c>
      <c r="AJ22" s="77">
        <v>10</v>
      </c>
      <c r="AK22" s="78">
        <v>7</v>
      </c>
      <c r="AL22" s="77">
        <v>8</v>
      </c>
      <c r="AM22" s="78">
        <v>5</v>
      </c>
      <c r="AN22" s="77">
        <v>6</v>
      </c>
      <c r="AO22" s="78">
        <v>3</v>
      </c>
      <c r="AP22" s="77">
        <v>4</v>
      </c>
      <c r="AQ22" s="78">
        <v>1</v>
      </c>
      <c r="AR22" s="77">
        <v>2</v>
      </c>
      <c r="AT22" s="88"/>
      <c r="AU22" s="88"/>
      <c r="AV22" s="88"/>
      <c r="AW22" s="88"/>
      <c r="BB22" s="130"/>
      <c r="BC22" s="130"/>
      <c r="BD22" s="135">
        <v>1</v>
      </c>
      <c r="BE22" s="132">
        <f>+BE17/BD22</f>
        <v>22361900</v>
      </c>
      <c r="BF22" s="136">
        <f t="shared" ref="BF22:BF26" si="1">+BE22*12</f>
        <v>268342800</v>
      </c>
    </row>
    <row r="23" spans="1:65" outlineLevel="1">
      <c r="B23" s="87">
        <f>+B22*16</f>
        <v>72000000</v>
      </c>
      <c r="C23" s="74">
        <v>16</v>
      </c>
      <c r="E23" s="88"/>
      <c r="F23" s="88"/>
      <c r="G23" s="88"/>
      <c r="H23" s="88"/>
      <c r="I23" s="77">
        <v>15</v>
      </c>
      <c r="J23" s="78">
        <v>14</v>
      </c>
      <c r="K23" s="77">
        <v>13</v>
      </c>
      <c r="L23" s="78">
        <v>12</v>
      </c>
      <c r="M23" s="77">
        <v>11</v>
      </c>
      <c r="N23" s="78">
        <v>10</v>
      </c>
      <c r="O23" s="77">
        <v>9</v>
      </c>
      <c r="P23" s="78">
        <v>8</v>
      </c>
      <c r="Q23" s="77">
        <v>7</v>
      </c>
      <c r="R23" s="78">
        <v>6</v>
      </c>
      <c r="S23" s="77">
        <v>5</v>
      </c>
      <c r="T23" s="78">
        <v>4</v>
      </c>
      <c r="U23" s="77">
        <v>3</v>
      </c>
      <c r="V23" s="78">
        <v>2</v>
      </c>
      <c r="W23" s="77">
        <v>1</v>
      </c>
      <c r="Y23" s="88"/>
      <c r="Z23" s="88"/>
      <c r="AB23" s="88"/>
      <c r="AC23" s="88"/>
      <c r="AD23" s="77">
        <v>15</v>
      </c>
      <c r="AE23" s="78">
        <v>14</v>
      </c>
      <c r="AF23" s="77">
        <v>13</v>
      </c>
      <c r="AG23" s="78">
        <v>12</v>
      </c>
      <c r="AH23" s="77">
        <v>11</v>
      </c>
      <c r="AI23" s="78">
        <v>10</v>
      </c>
      <c r="AJ23" s="77">
        <v>9</v>
      </c>
      <c r="AK23" s="78">
        <v>8</v>
      </c>
      <c r="AL23" s="77">
        <v>7</v>
      </c>
      <c r="AM23" s="78">
        <v>6</v>
      </c>
      <c r="AN23" s="77">
        <v>5</v>
      </c>
      <c r="AO23" s="78">
        <v>4</v>
      </c>
      <c r="AP23" s="77">
        <v>3</v>
      </c>
      <c r="AQ23" s="78">
        <v>2</v>
      </c>
      <c r="AR23" s="77">
        <v>1</v>
      </c>
      <c r="AT23" s="88"/>
      <c r="AU23" s="88"/>
      <c r="AV23" s="88"/>
      <c r="AW23" s="88"/>
      <c r="BB23" s="130"/>
      <c r="BC23" s="130"/>
      <c r="BD23" s="135">
        <v>2</v>
      </c>
      <c r="BE23" s="132">
        <f>+BE17/BD23</f>
        <v>11180950</v>
      </c>
      <c r="BF23" s="136">
        <f t="shared" si="1"/>
        <v>134171400</v>
      </c>
    </row>
    <row r="24" spans="1:65" outlineLevel="1">
      <c r="Y24" s="3"/>
      <c r="Z24" s="3"/>
      <c r="AB24" s="3"/>
      <c r="AC24" s="3"/>
      <c r="AT24" s="3"/>
      <c r="AU24" s="3"/>
      <c r="AV24" s="3"/>
      <c r="AW24" s="3"/>
      <c r="BB24" s="130"/>
      <c r="BC24" s="130"/>
      <c r="BD24" s="135">
        <v>3</v>
      </c>
      <c r="BE24" s="132">
        <f>+BE17/BD24</f>
        <v>7453966.666666667</v>
      </c>
      <c r="BF24" s="136">
        <f t="shared" si="1"/>
        <v>89447600</v>
      </c>
    </row>
    <row r="25" spans="1:65" outlineLevel="1">
      <c r="A25">
        <v>36</v>
      </c>
      <c r="B25">
        <f>+A25*A26</f>
        <v>576</v>
      </c>
      <c r="E25" s="3">
        <v>8</v>
      </c>
      <c r="G25" s="3">
        <v>8</v>
      </c>
      <c r="I25" s="3">
        <f>+COUNTA(I8:I23)</f>
        <v>16</v>
      </c>
      <c r="J25" s="3">
        <f t="shared" ref="J25:W25" si="2">+COUNTA(J8:J23)</f>
        <v>16</v>
      </c>
      <c r="K25" s="3">
        <f t="shared" si="2"/>
        <v>16</v>
      </c>
      <c r="L25" s="3">
        <f t="shared" si="2"/>
        <v>16</v>
      </c>
      <c r="M25" s="3">
        <f t="shared" si="2"/>
        <v>16</v>
      </c>
      <c r="N25" s="3">
        <f t="shared" si="2"/>
        <v>16</v>
      </c>
      <c r="O25" s="3">
        <f t="shared" si="2"/>
        <v>16</v>
      </c>
      <c r="P25" s="3">
        <f t="shared" si="2"/>
        <v>16</v>
      </c>
      <c r="Q25" s="3">
        <f t="shared" si="2"/>
        <v>16</v>
      </c>
      <c r="R25" s="3">
        <f t="shared" si="2"/>
        <v>16</v>
      </c>
      <c r="S25" s="3">
        <f t="shared" si="2"/>
        <v>16</v>
      </c>
      <c r="T25" s="3">
        <f t="shared" si="2"/>
        <v>16</v>
      </c>
      <c r="U25" s="3">
        <f t="shared" si="2"/>
        <v>16</v>
      </c>
      <c r="V25" s="3">
        <f t="shared" si="2"/>
        <v>16</v>
      </c>
      <c r="W25" s="3">
        <f t="shared" si="2"/>
        <v>16</v>
      </c>
      <c r="Y25" s="3">
        <v>8</v>
      </c>
      <c r="Z25" s="3"/>
      <c r="AB25" s="3">
        <v>8</v>
      </c>
      <c r="AC25" s="3"/>
      <c r="AD25" s="3">
        <f>+COUNTA(AD8:AD23)</f>
        <v>16</v>
      </c>
      <c r="AE25" s="3">
        <f t="shared" ref="AE25:AR25" si="3">+COUNTA(AE8:AE23)</f>
        <v>16</v>
      </c>
      <c r="AF25" s="3">
        <f t="shared" si="3"/>
        <v>16</v>
      </c>
      <c r="AG25" s="3">
        <f t="shared" si="3"/>
        <v>16</v>
      </c>
      <c r="AH25" s="3">
        <f t="shared" si="3"/>
        <v>16</v>
      </c>
      <c r="AI25" s="3">
        <f t="shared" si="3"/>
        <v>16</v>
      </c>
      <c r="AJ25" s="3">
        <f t="shared" si="3"/>
        <v>16</v>
      </c>
      <c r="AK25" s="3">
        <f t="shared" si="3"/>
        <v>16</v>
      </c>
      <c r="AL25" s="3">
        <f t="shared" si="3"/>
        <v>16</v>
      </c>
      <c r="AM25" s="3">
        <f t="shared" si="3"/>
        <v>16</v>
      </c>
      <c r="AN25" s="3">
        <f t="shared" si="3"/>
        <v>16</v>
      </c>
      <c r="AO25" s="3">
        <f t="shared" si="3"/>
        <v>16</v>
      </c>
      <c r="AP25" s="3">
        <f t="shared" si="3"/>
        <v>16</v>
      </c>
      <c r="AQ25" s="3">
        <f t="shared" si="3"/>
        <v>16</v>
      </c>
      <c r="AR25" s="3">
        <f t="shared" si="3"/>
        <v>16</v>
      </c>
      <c r="AT25" s="3">
        <v>8</v>
      </c>
      <c r="AU25" s="3"/>
      <c r="AV25" s="3">
        <v>8</v>
      </c>
      <c r="AW25" s="3"/>
      <c r="BB25" s="130"/>
      <c r="BC25" s="130"/>
      <c r="BD25" s="135">
        <v>4</v>
      </c>
      <c r="BE25" s="132">
        <f>+BE17/BD25</f>
        <v>5590475</v>
      </c>
      <c r="BF25" s="136">
        <f t="shared" si="1"/>
        <v>67085700</v>
      </c>
      <c r="BM25" s="3"/>
    </row>
    <row r="26" spans="1:65" outlineLevel="1">
      <c r="A26">
        <v>16</v>
      </c>
      <c r="B26" s="87">
        <f>+(I26*50000)*15</f>
        <v>60000000</v>
      </c>
      <c r="E26" s="3">
        <f>+E25*5</f>
        <v>40</v>
      </c>
      <c r="G26" s="3">
        <f>+G25*5</f>
        <v>40</v>
      </c>
      <c r="I26" s="3">
        <f>+I25*5</f>
        <v>80</v>
      </c>
      <c r="J26" s="3">
        <f t="shared" ref="J26:W26" si="4">+J25*5</f>
        <v>80</v>
      </c>
      <c r="K26" s="3">
        <f t="shared" si="4"/>
        <v>80</v>
      </c>
      <c r="L26" s="3">
        <f t="shared" si="4"/>
        <v>80</v>
      </c>
      <c r="M26" s="3">
        <f t="shared" si="4"/>
        <v>80</v>
      </c>
      <c r="N26" s="3">
        <f t="shared" si="4"/>
        <v>80</v>
      </c>
      <c r="O26" s="3">
        <f t="shared" si="4"/>
        <v>80</v>
      </c>
      <c r="P26" s="3">
        <f t="shared" si="4"/>
        <v>80</v>
      </c>
      <c r="Q26" s="3">
        <f t="shared" si="4"/>
        <v>80</v>
      </c>
      <c r="R26" s="3">
        <f t="shared" si="4"/>
        <v>80</v>
      </c>
      <c r="S26" s="3">
        <f t="shared" si="4"/>
        <v>80</v>
      </c>
      <c r="T26" s="3">
        <f t="shared" si="4"/>
        <v>80</v>
      </c>
      <c r="U26" s="3">
        <f t="shared" si="4"/>
        <v>80</v>
      </c>
      <c r="V26" s="3">
        <f t="shared" si="4"/>
        <v>80</v>
      </c>
      <c r="W26" s="3">
        <f t="shared" si="4"/>
        <v>80</v>
      </c>
      <c r="Y26" s="3">
        <f>+Y25*5</f>
        <v>40</v>
      </c>
      <c r="Z26" s="3"/>
      <c r="AB26" s="3">
        <f>+AB25*5</f>
        <v>40</v>
      </c>
      <c r="AC26" s="3"/>
      <c r="AD26" s="3">
        <f>+AD25*5</f>
        <v>80</v>
      </c>
      <c r="AE26" s="3">
        <f t="shared" ref="AE26" si="5">+AE25*5</f>
        <v>80</v>
      </c>
      <c r="AF26" s="3">
        <f t="shared" ref="AF26" si="6">+AF25*5</f>
        <v>80</v>
      </c>
      <c r="AG26" s="3">
        <f t="shared" ref="AG26" si="7">+AG25*5</f>
        <v>80</v>
      </c>
      <c r="AH26" s="3">
        <f t="shared" ref="AH26" si="8">+AH25*5</f>
        <v>80</v>
      </c>
      <c r="AI26" s="3">
        <f t="shared" ref="AI26" si="9">+AI25*5</f>
        <v>80</v>
      </c>
      <c r="AJ26" s="3">
        <f t="shared" ref="AJ26" si="10">+AJ25*5</f>
        <v>80</v>
      </c>
      <c r="AK26" s="3">
        <f t="shared" ref="AK26" si="11">+AK25*5</f>
        <v>80</v>
      </c>
      <c r="AL26" s="3">
        <f t="shared" ref="AL26" si="12">+AL25*5</f>
        <v>80</v>
      </c>
      <c r="AM26" s="3">
        <f t="shared" ref="AM26" si="13">+AM25*5</f>
        <v>80</v>
      </c>
      <c r="AN26" s="3">
        <f t="shared" ref="AN26" si="14">+AN25*5</f>
        <v>80</v>
      </c>
      <c r="AO26" s="3">
        <f t="shared" ref="AO26" si="15">+AO25*5</f>
        <v>80</v>
      </c>
      <c r="AP26" s="3">
        <f t="shared" ref="AP26" si="16">+AP25*5</f>
        <v>80</v>
      </c>
      <c r="AQ26" s="3">
        <f t="shared" ref="AQ26" si="17">+AQ25*5</f>
        <v>80</v>
      </c>
      <c r="AR26" s="3">
        <f t="shared" ref="AR26" si="18">+AR25*5</f>
        <v>80</v>
      </c>
      <c r="AT26" s="3">
        <f>+AT25*5</f>
        <v>40</v>
      </c>
      <c r="AU26" s="3"/>
      <c r="AV26" s="3">
        <f>+AV25*5</f>
        <v>40</v>
      </c>
      <c r="AW26" s="3"/>
      <c r="BB26" s="130"/>
      <c r="BC26" s="130"/>
      <c r="BD26" s="135">
        <v>5</v>
      </c>
      <c r="BE26" s="132">
        <f>+BE17/BD26</f>
        <v>4472380</v>
      </c>
      <c r="BF26" s="136">
        <f t="shared" si="1"/>
        <v>53668560</v>
      </c>
      <c r="BM26" s="86"/>
    </row>
    <row r="27" spans="1:65" outlineLevel="1">
      <c r="S27" s="3"/>
      <c r="T27" s="3"/>
      <c r="U27" s="3"/>
      <c r="V27" s="3"/>
      <c r="W27" s="3"/>
      <c r="AD27" s="3"/>
      <c r="AE27" s="3"/>
      <c r="AF27" s="3"/>
      <c r="AG27" s="3"/>
      <c r="AH27" s="3"/>
      <c r="AI27" s="3"/>
      <c r="AJ27" s="3"/>
      <c r="AK27" s="3"/>
      <c r="AL27" s="3"/>
      <c r="AM27" s="3"/>
      <c r="AN27" s="3"/>
      <c r="AO27" s="3"/>
      <c r="AP27" s="3"/>
      <c r="AQ27" s="3"/>
      <c r="AR27" s="3"/>
      <c r="BC27" s="1"/>
    </row>
    <row r="28" spans="1:65" outlineLevel="2">
      <c r="A28" s="81" t="s">
        <v>270</v>
      </c>
      <c r="B28" s="22"/>
      <c r="C28" s="82"/>
      <c r="E28" s="3">
        <v>7</v>
      </c>
      <c r="F28" s="3">
        <v>2</v>
      </c>
      <c r="G28" s="3">
        <v>7</v>
      </c>
      <c r="H28" s="3">
        <v>2</v>
      </c>
      <c r="I28" s="22">
        <f>+COUNTA(I8:I23)/2</f>
        <v>8</v>
      </c>
      <c r="J28" s="22">
        <f t="shared" ref="J28:W28" si="19">+COUNTA(J8:J23)/2</f>
        <v>8</v>
      </c>
      <c r="K28" s="22">
        <f t="shared" si="19"/>
        <v>8</v>
      </c>
      <c r="L28" s="22">
        <f t="shared" si="19"/>
        <v>8</v>
      </c>
      <c r="M28" s="22">
        <f t="shared" si="19"/>
        <v>8</v>
      </c>
      <c r="N28" s="22">
        <f t="shared" si="19"/>
        <v>8</v>
      </c>
      <c r="O28" s="22">
        <f t="shared" si="19"/>
        <v>8</v>
      </c>
      <c r="P28" s="22">
        <f t="shared" si="19"/>
        <v>8</v>
      </c>
      <c r="Q28" s="22">
        <f t="shared" si="19"/>
        <v>8</v>
      </c>
      <c r="R28" s="22">
        <f t="shared" si="19"/>
        <v>8</v>
      </c>
      <c r="S28" s="22">
        <f t="shared" si="19"/>
        <v>8</v>
      </c>
      <c r="T28" s="22">
        <f t="shared" si="19"/>
        <v>8</v>
      </c>
      <c r="U28" s="22">
        <f t="shared" si="19"/>
        <v>8</v>
      </c>
      <c r="V28" s="22">
        <f t="shared" si="19"/>
        <v>8</v>
      </c>
      <c r="W28" s="22">
        <f t="shared" si="19"/>
        <v>8</v>
      </c>
      <c r="Y28" s="3">
        <v>7</v>
      </c>
      <c r="Z28" s="3">
        <v>2</v>
      </c>
      <c r="AB28" s="3">
        <v>7</v>
      </c>
      <c r="AC28" s="3">
        <v>2</v>
      </c>
      <c r="AD28" s="22">
        <f>+COUNTA(AD8:AD23)/2</f>
        <v>8</v>
      </c>
      <c r="AE28" s="22">
        <f t="shared" ref="AE28:AR28" si="20">+COUNTA(AE8:AE23)/2</f>
        <v>8</v>
      </c>
      <c r="AF28" s="22">
        <f t="shared" si="20"/>
        <v>8</v>
      </c>
      <c r="AG28" s="22">
        <f t="shared" si="20"/>
        <v>8</v>
      </c>
      <c r="AH28" s="22">
        <f t="shared" si="20"/>
        <v>8</v>
      </c>
      <c r="AI28" s="22">
        <f t="shared" si="20"/>
        <v>8</v>
      </c>
      <c r="AJ28" s="22">
        <f t="shared" si="20"/>
        <v>8</v>
      </c>
      <c r="AK28" s="22">
        <f t="shared" si="20"/>
        <v>8</v>
      </c>
      <c r="AL28" s="22">
        <f t="shared" si="20"/>
        <v>8</v>
      </c>
      <c r="AM28" s="22">
        <f t="shared" si="20"/>
        <v>8</v>
      </c>
      <c r="AN28" s="22">
        <f t="shared" si="20"/>
        <v>8</v>
      </c>
      <c r="AO28" s="22">
        <f t="shared" si="20"/>
        <v>8</v>
      </c>
      <c r="AP28" s="22">
        <f t="shared" si="20"/>
        <v>8</v>
      </c>
      <c r="AQ28" s="22">
        <f t="shared" si="20"/>
        <v>8</v>
      </c>
      <c r="AR28" s="22">
        <f t="shared" si="20"/>
        <v>8</v>
      </c>
      <c r="AT28" s="3">
        <v>7</v>
      </c>
      <c r="AU28" s="3">
        <v>2</v>
      </c>
      <c r="AV28" s="3">
        <v>7</v>
      </c>
      <c r="AW28" s="3">
        <v>2</v>
      </c>
    </row>
    <row r="29" spans="1:65" outlineLevel="2">
      <c r="A29" s="80" t="s">
        <v>271</v>
      </c>
      <c r="B29" s="80"/>
      <c r="I29" s="3">
        <v>2</v>
      </c>
      <c r="J29" s="3">
        <v>2</v>
      </c>
      <c r="K29" s="3">
        <v>2</v>
      </c>
      <c r="L29" s="3">
        <v>2</v>
      </c>
      <c r="M29" s="3">
        <v>2</v>
      </c>
      <c r="N29" s="3">
        <v>2</v>
      </c>
      <c r="O29" s="3">
        <v>2</v>
      </c>
      <c r="P29" s="3">
        <v>2</v>
      </c>
      <c r="Q29" s="3">
        <v>2</v>
      </c>
      <c r="R29" s="3">
        <v>2</v>
      </c>
      <c r="S29" s="3">
        <v>2</v>
      </c>
      <c r="T29" s="3">
        <v>2</v>
      </c>
      <c r="U29" s="3">
        <v>2</v>
      </c>
      <c r="V29" s="3">
        <v>2</v>
      </c>
      <c r="W29" s="3">
        <v>2</v>
      </c>
      <c r="Y29" s="3"/>
      <c r="Z29" s="3"/>
      <c r="AB29" s="3"/>
      <c r="AC29" s="3"/>
      <c r="AD29" s="3">
        <v>2</v>
      </c>
      <c r="AE29" s="3">
        <v>2</v>
      </c>
      <c r="AF29" s="3">
        <v>2</v>
      </c>
      <c r="AG29" s="3">
        <v>2</v>
      </c>
      <c r="AH29" s="3">
        <v>2</v>
      </c>
      <c r="AI29" s="3">
        <v>2</v>
      </c>
      <c r="AJ29" s="3">
        <v>2</v>
      </c>
      <c r="AK29" s="3">
        <v>2</v>
      </c>
      <c r="AL29" s="3">
        <v>2</v>
      </c>
      <c r="AM29" s="3">
        <v>2</v>
      </c>
      <c r="AN29" s="3">
        <v>2</v>
      </c>
      <c r="AO29" s="3">
        <v>2</v>
      </c>
      <c r="AP29" s="3">
        <v>2</v>
      </c>
      <c r="AQ29" s="3">
        <v>2</v>
      </c>
      <c r="AR29" s="3">
        <v>2</v>
      </c>
      <c r="AT29" s="3"/>
      <c r="AU29" s="3"/>
      <c r="AV29" s="3"/>
      <c r="AW29" s="3"/>
    </row>
    <row r="30" spans="1:65" outlineLevel="2">
      <c r="A30" s="80" t="s">
        <v>272</v>
      </c>
      <c r="B30" s="80"/>
      <c r="E30" s="3">
        <v>4</v>
      </c>
      <c r="F30" s="3">
        <v>2</v>
      </c>
      <c r="G30" s="3">
        <v>4</v>
      </c>
      <c r="H30" s="3">
        <v>2</v>
      </c>
      <c r="I30" s="3">
        <v>3</v>
      </c>
      <c r="J30" s="3">
        <v>3</v>
      </c>
      <c r="K30" s="3">
        <v>3</v>
      </c>
      <c r="L30" s="3">
        <v>3</v>
      </c>
      <c r="M30" s="3">
        <v>3</v>
      </c>
      <c r="N30" s="3">
        <v>3</v>
      </c>
      <c r="O30" s="3">
        <v>3</v>
      </c>
      <c r="P30" s="3">
        <v>3</v>
      </c>
      <c r="Q30" s="3">
        <v>3</v>
      </c>
      <c r="R30" s="3">
        <v>3</v>
      </c>
      <c r="S30" s="3">
        <v>3</v>
      </c>
      <c r="T30" s="3">
        <v>3</v>
      </c>
      <c r="U30" s="3">
        <v>3</v>
      </c>
      <c r="V30" s="3">
        <v>3</v>
      </c>
      <c r="W30" s="3">
        <v>3</v>
      </c>
      <c r="Y30" s="3">
        <v>4</v>
      </c>
      <c r="Z30" s="3">
        <v>2</v>
      </c>
      <c r="AB30" s="3">
        <v>4</v>
      </c>
      <c r="AC30" s="3">
        <v>2</v>
      </c>
      <c r="AD30" s="3">
        <v>3</v>
      </c>
      <c r="AE30" s="3">
        <v>3</v>
      </c>
      <c r="AF30" s="3">
        <v>3</v>
      </c>
      <c r="AG30" s="3">
        <v>3</v>
      </c>
      <c r="AH30" s="3">
        <v>3</v>
      </c>
      <c r="AI30" s="3">
        <v>3</v>
      </c>
      <c r="AJ30" s="3">
        <v>3</v>
      </c>
      <c r="AK30" s="3">
        <v>3</v>
      </c>
      <c r="AL30" s="3">
        <v>3</v>
      </c>
      <c r="AM30" s="3">
        <v>3</v>
      </c>
      <c r="AN30" s="3">
        <v>3</v>
      </c>
      <c r="AO30" s="3">
        <v>3</v>
      </c>
      <c r="AP30" s="3">
        <v>3</v>
      </c>
      <c r="AQ30" s="3">
        <v>3</v>
      </c>
      <c r="AR30" s="3">
        <v>3</v>
      </c>
      <c r="AT30" s="3">
        <v>4</v>
      </c>
      <c r="AU30" s="3">
        <v>2</v>
      </c>
      <c r="AV30" s="3">
        <v>4</v>
      </c>
      <c r="AW30" s="3">
        <v>2</v>
      </c>
      <c r="BD30" s="86"/>
    </row>
    <row r="31" spans="1:65" outlineLevel="2">
      <c r="A31" s="80" t="s">
        <v>273</v>
      </c>
      <c r="B31" s="80"/>
      <c r="E31" s="3">
        <v>3</v>
      </c>
      <c r="G31" s="3">
        <v>3</v>
      </c>
      <c r="I31" s="3">
        <v>3</v>
      </c>
      <c r="J31" s="3">
        <v>3</v>
      </c>
      <c r="K31" s="3">
        <v>3</v>
      </c>
      <c r="L31" s="3">
        <v>3</v>
      </c>
      <c r="M31" s="3">
        <v>3</v>
      </c>
      <c r="N31" s="3">
        <v>3</v>
      </c>
      <c r="O31" s="3">
        <v>3</v>
      </c>
      <c r="P31" s="3">
        <v>3</v>
      </c>
      <c r="Q31" s="3">
        <v>3</v>
      </c>
      <c r="R31" s="3">
        <v>3</v>
      </c>
      <c r="S31" s="3">
        <v>3</v>
      </c>
      <c r="T31" s="3">
        <v>3</v>
      </c>
      <c r="U31" s="3">
        <v>3</v>
      </c>
      <c r="V31" s="3">
        <v>3</v>
      </c>
      <c r="W31" s="3">
        <v>3</v>
      </c>
      <c r="Y31" s="3">
        <v>3</v>
      </c>
      <c r="Z31" s="3"/>
      <c r="AB31" s="3">
        <v>3</v>
      </c>
      <c r="AC31" s="3"/>
      <c r="AD31" s="3">
        <v>3</v>
      </c>
      <c r="AE31" s="3">
        <v>3</v>
      </c>
      <c r="AF31" s="3">
        <v>3</v>
      </c>
      <c r="AG31" s="3">
        <v>3</v>
      </c>
      <c r="AH31" s="3">
        <v>3</v>
      </c>
      <c r="AI31" s="3">
        <v>3</v>
      </c>
      <c r="AJ31" s="3">
        <v>3</v>
      </c>
      <c r="AK31" s="3">
        <v>3</v>
      </c>
      <c r="AL31" s="3">
        <v>3</v>
      </c>
      <c r="AM31" s="3">
        <v>3</v>
      </c>
      <c r="AN31" s="3">
        <v>3</v>
      </c>
      <c r="AO31" s="3">
        <v>3</v>
      </c>
      <c r="AP31" s="3">
        <v>3</v>
      </c>
      <c r="AQ31" s="3">
        <v>3</v>
      </c>
      <c r="AR31" s="3">
        <v>3</v>
      </c>
      <c r="AT31" s="3">
        <v>3</v>
      </c>
      <c r="AU31" s="3"/>
      <c r="AV31" s="3">
        <v>3</v>
      </c>
      <c r="AW31" s="3"/>
      <c r="BD31" s="86"/>
    </row>
    <row r="32" spans="1:65" outlineLevel="2">
      <c r="S32" s="3"/>
      <c r="T32" s="3"/>
      <c r="U32" s="3"/>
      <c r="V32" s="3"/>
      <c r="W32" s="3"/>
      <c r="AD32" s="3"/>
      <c r="AE32" s="3"/>
      <c r="AF32" s="3"/>
      <c r="AG32" s="3"/>
      <c r="AH32" s="3"/>
      <c r="AI32" s="3"/>
      <c r="AJ32" s="3"/>
      <c r="AK32" s="3"/>
      <c r="AL32" s="3"/>
      <c r="AM32" s="3"/>
      <c r="AN32" s="3"/>
      <c r="AO32" s="3"/>
      <c r="AP32" s="3"/>
      <c r="AQ32" s="3"/>
      <c r="AR32" s="3"/>
      <c r="BD32" s="86"/>
    </row>
    <row r="33" spans="1:58" outlineLevel="2">
      <c r="A33" s="80" t="s">
        <v>274</v>
      </c>
      <c r="B33" s="80"/>
      <c r="I33" s="3">
        <f>+I29*10</f>
        <v>20</v>
      </c>
      <c r="J33" s="3">
        <f t="shared" ref="J33:W33" si="21">+J29*10</f>
        <v>20</v>
      </c>
      <c r="K33" s="3">
        <f t="shared" si="21"/>
        <v>20</v>
      </c>
      <c r="L33" s="3">
        <f t="shared" si="21"/>
        <v>20</v>
      </c>
      <c r="M33" s="3">
        <f t="shared" si="21"/>
        <v>20</v>
      </c>
      <c r="N33" s="3">
        <f t="shared" si="21"/>
        <v>20</v>
      </c>
      <c r="O33" s="3">
        <f t="shared" si="21"/>
        <v>20</v>
      </c>
      <c r="P33" s="3">
        <f t="shared" si="21"/>
        <v>20</v>
      </c>
      <c r="Q33" s="3">
        <f t="shared" si="21"/>
        <v>20</v>
      </c>
      <c r="R33" s="3">
        <f t="shared" si="21"/>
        <v>20</v>
      </c>
      <c r="S33" s="3">
        <f t="shared" si="21"/>
        <v>20</v>
      </c>
      <c r="T33" s="3">
        <f t="shared" si="21"/>
        <v>20</v>
      </c>
      <c r="U33" s="3">
        <f t="shared" si="21"/>
        <v>20</v>
      </c>
      <c r="V33" s="3">
        <f t="shared" si="21"/>
        <v>20</v>
      </c>
      <c r="W33" s="3">
        <f t="shared" si="21"/>
        <v>20</v>
      </c>
      <c r="AD33" s="3">
        <f>+AD29*10</f>
        <v>20</v>
      </c>
      <c r="AE33" s="3">
        <f t="shared" ref="AE33:AR33" si="22">+AE29*10</f>
        <v>20</v>
      </c>
      <c r="AF33" s="3">
        <f t="shared" si="22"/>
        <v>20</v>
      </c>
      <c r="AG33" s="3">
        <f t="shared" si="22"/>
        <v>20</v>
      </c>
      <c r="AH33" s="3">
        <f t="shared" si="22"/>
        <v>20</v>
      </c>
      <c r="AI33" s="3">
        <f t="shared" si="22"/>
        <v>20</v>
      </c>
      <c r="AJ33" s="3">
        <f t="shared" si="22"/>
        <v>20</v>
      </c>
      <c r="AK33" s="3">
        <f t="shared" si="22"/>
        <v>20</v>
      </c>
      <c r="AL33" s="3">
        <f t="shared" si="22"/>
        <v>20</v>
      </c>
      <c r="AM33" s="3">
        <f t="shared" si="22"/>
        <v>20</v>
      </c>
      <c r="AN33" s="3">
        <f t="shared" si="22"/>
        <v>20</v>
      </c>
      <c r="AO33" s="3">
        <f t="shared" si="22"/>
        <v>20</v>
      </c>
      <c r="AP33" s="3">
        <f t="shared" si="22"/>
        <v>20</v>
      </c>
      <c r="AQ33" s="3">
        <f t="shared" si="22"/>
        <v>20</v>
      </c>
      <c r="AR33" s="3">
        <f t="shared" si="22"/>
        <v>20</v>
      </c>
    </row>
    <row r="34" spans="1:58" outlineLevel="2">
      <c r="A34" s="80" t="s">
        <v>275</v>
      </c>
      <c r="B34" s="80"/>
      <c r="E34" s="3">
        <f>+E30*10</f>
        <v>40</v>
      </c>
      <c r="F34" s="3">
        <f>+F30*10</f>
        <v>20</v>
      </c>
      <c r="G34" s="3">
        <f>+G30*10</f>
        <v>40</v>
      </c>
      <c r="H34" s="3">
        <f>+H30*10</f>
        <v>20</v>
      </c>
      <c r="I34" s="3">
        <f>+I30*10</f>
        <v>30</v>
      </c>
      <c r="J34" s="3">
        <f t="shared" ref="J34:W34" si="23">+J30*10</f>
        <v>30</v>
      </c>
      <c r="K34" s="3">
        <f t="shared" si="23"/>
        <v>30</v>
      </c>
      <c r="L34" s="3">
        <f t="shared" si="23"/>
        <v>30</v>
      </c>
      <c r="M34" s="3">
        <f t="shared" si="23"/>
        <v>30</v>
      </c>
      <c r="N34" s="3">
        <f t="shared" si="23"/>
        <v>30</v>
      </c>
      <c r="O34" s="3">
        <f t="shared" si="23"/>
        <v>30</v>
      </c>
      <c r="P34" s="3">
        <f t="shared" si="23"/>
        <v>30</v>
      </c>
      <c r="Q34" s="3">
        <f t="shared" si="23"/>
        <v>30</v>
      </c>
      <c r="R34" s="3">
        <f t="shared" si="23"/>
        <v>30</v>
      </c>
      <c r="S34" s="3">
        <f t="shared" si="23"/>
        <v>30</v>
      </c>
      <c r="T34" s="3">
        <f t="shared" si="23"/>
        <v>30</v>
      </c>
      <c r="U34" s="3">
        <f t="shared" si="23"/>
        <v>30</v>
      </c>
      <c r="V34" s="3">
        <f t="shared" si="23"/>
        <v>30</v>
      </c>
      <c r="W34" s="3">
        <f t="shared" si="23"/>
        <v>30</v>
      </c>
      <c r="Y34" s="3">
        <f>+Y30*10</f>
        <v>40</v>
      </c>
      <c r="Z34" s="3">
        <f>+Z30*10</f>
        <v>20</v>
      </c>
      <c r="AB34" s="3">
        <f>+AB30*10</f>
        <v>40</v>
      </c>
      <c r="AC34" s="3">
        <f>+AC30*10</f>
        <v>20</v>
      </c>
      <c r="AD34" s="3">
        <f>+AD30*10</f>
        <v>30</v>
      </c>
      <c r="AE34" s="3">
        <f t="shared" ref="AE34:AR34" si="24">+AE30*10</f>
        <v>30</v>
      </c>
      <c r="AF34" s="3">
        <f t="shared" si="24"/>
        <v>30</v>
      </c>
      <c r="AG34" s="3">
        <f t="shared" si="24"/>
        <v>30</v>
      </c>
      <c r="AH34" s="3">
        <f t="shared" si="24"/>
        <v>30</v>
      </c>
      <c r="AI34" s="3">
        <f t="shared" si="24"/>
        <v>30</v>
      </c>
      <c r="AJ34" s="3">
        <f t="shared" si="24"/>
        <v>30</v>
      </c>
      <c r="AK34" s="3">
        <f t="shared" si="24"/>
        <v>30</v>
      </c>
      <c r="AL34" s="3">
        <f t="shared" si="24"/>
        <v>30</v>
      </c>
      <c r="AM34" s="3">
        <f t="shared" si="24"/>
        <v>30</v>
      </c>
      <c r="AN34" s="3">
        <f t="shared" si="24"/>
        <v>30</v>
      </c>
      <c r="AO34" s="3">
        <f t="shared" si="24"/>
        <v>30</v>
      </c>
      <c r="AP34" s="3">
        <f t="shared" si="24"/>
        <v>30</v>
      </c>
      <c r="AQ34" s="3">
        <f t="shared" si="24"/>
        <v>30</v>
      </c>
      <c r="AR34" s="3">
        <f t="shared" si="24"/>
        <v>30</v>
      </c>
      <c r="AT34" s="3">
        <f>+AT30*10</f>
        <v>40</v>
      </c>
      <c r="AU34" s="3">
        <f>+AU30*10</f>
        <v>20</v>
      </c>
      <c r="AV34" s="3">
        <f>+AV30*10</f>
        <v>40</v>
      </c>
      <c r="AW34" s="3">
        <f>+AW30*10</f>
        <v>20</v>
      </c>
    </row>
    <row r="35" spans="1:58" outlineLevel="2">
      <c r="A35" s="80" t="s">
        <v>276</v>
      </c>
      <c r="B35" s="80"/>
      <c r="E35" s="3">
        <f>+E31*10</f>
        <v>30</v>
      </c>
      <c r="G35" s="3">
        <f>+G31*10</f>
        <v>30</v>
      </c>
      <c r="I35" s="3">
        <f>+I31*10</f>
        <v>30</v>
      </c>
      <c r="J35" s="3">
        <f t="shared" ref="J35:W35" si="25">+J31*10</f>
        <v>30</v>
      </c>
      <c r="K35" s="3">
        <f t="shared" si="25"/>
        <v>30</v>
      </c>
      <c r="L35" s="3">
        <f t="shared" si="25"/>
        <v>30</v>
      </c>
      <c r="M35" s="3">
        <f t="shared" si="25"/>
        <v>30</v>
      </c>
      <c r="N35" s="3">
        <f t="shared" si="25"/>
        <v>30</v>
      </c>
      <c r="O35" s="3">
        <f t="shared" si="25"/>
        <v>30</v>
      </c>
      <c r="P35" s="3">
        <f t="shared" si="25"/>
        <v>30</v>
      </c>
      <c r="Q35" s="3">
        <f t="shared" si="25"/>
        <v>30</v>
      </c>
      <c r="R35" s="3">
        <f t="shared" si="25"/>
        <v>30</v>
      </c>
      <c r="S35" s="3">
        <f t="shared" si="25"/>
        <v>30</v>
      </c>
      <c r="T35" s="3">
        <f t="shared" si="25"/>
        <v>30</v>
      </c>
      <c r="U35" s="3">
        <f t="shared" si="25"/>
        <v>30</v>
      </c>
      <c r="V35" s="3">
        <f t="shared" si="25"/>
        <v>30</v>
      </c>
      <c r="W35" s="3">
        <f t="shared" si="25"/>
        <v>30</v>
      </c>
      <c r="Y35" s="3">
        <f>+Y31*10</f>
        <v>30</v>
      </c>
      <c r="Z35" s="3"/>
      <c r="AB35" s="3">
        <f>+AB31*10</f>
        <v>30</v>
      </c>
      <c r="AC35" s="3"/>
      <c r="AD35" s="3">
        <f>+AD31*10</f>
        <v>30</v>
      </c>
      <c r="AE35" s="3">
        <f t="shared" ref="AE35:AR35" si="26">+AE31*10</f>
        <v>30</v>
      </c>
      <c r="AF35" s="3">
        <f t="shared" si="26"/>
        <v>30</v>
      </c>
      <c r="AG35" s="3">
        <f t="shared" si="26"/>
        <v>30</v>
      </c>
      <c r="AH35" s="3">
        <f t="shared" si="26"/>
        <v>30</v>
      </c>
      <c r="AI35" s="3">
        <f t="shared" si="26"/>
        <v>30</v>
      </c>
      <c r="AJ35" s="3">
        <f t="shared" si="26"/>
        <v>30</v>
      </c>
      <c r="AK35" s="3">
        <f t="shared" si="26"/>
        <v>30</v>
      </c>
      <c r="AL35" s="3">
        <f t="shared" si="26"/>
        <v>30</v>
      </c>
      <c r="AM35" s="3">
        <f t="shared" si="26"/>
        <v>30</v>
      </c>
      <c r="AN35" s="3">
        <f t="shared" si="26"/>
        <v>30</v>
      </c>
      <c r="AO35" s="3">
        <f t="shared" si="26"/>
        <v>30</v>
      </c>
      <c r="AP35" s="3">
        <f t="shared" si="26"/>
        <v>30</v>
      </c>
      <c r="AQ35" s="3">
        <f t="shared" si="26"/>
        <v>30</v>
      </c>
      <c r="AR35" s="3">
        <f t="shared" si="26"/>
        <v>30</v>
      </c>
      <c r="AT35" s="3">
        <f>+AT31*10</f>
        <v>30</v>
      </c>
      <c r="AU35" s="3"/>
      <c r="AV35" s="3">
        <f>+AV31*10</f>
        <v>30</v>
      </c>
      <c r="AW35" s="3"/>
    </row>
    <row r="36" spans="1:58" outlineLevel="2"/>
    <row r="37" spans="1:58" outlineLevel="2">
      <c r="I37" s="499" t="s">
        <v>277</v>
      </c>
      <c r="J37" s="499"/>
      <c r="K37" s="499"/>
      <c r="L37" s="499"/>
      <c r="M37" s="499"/>
      <c r="N37" s="499"/>
      <c r="O37" s="499"/>
      <c r="P37" s="499"/>
      <c r="Q37" s="499"/>
      <c r="R37" s="499"/>
      <c r="S37" s="499"/>
      <c r="T37" s="499"/>
      <c r="U37" s="499"/>
      <c r="V37" s="499"/>
      <c r="W37" s="499"/>
      <c r="AD37" s="499" t="s">
        <v>277</v>
      </c>
      <c r="AE37" s="499"/>
      <c r="AF37" s="499"/>
      <c r="AG37" s="499"/>
      <c r="AH37" s="499"/>
      <c r="AI37" s="499"/>
      <c r="AJ37" s="499"/>
      <c r="AK37" s="499"/>
      <c r="AL37" s="499"/>
      <c r="AM37" s="499"/>
      <c r="AN37" s="499"/>
      <c r="AO37" s="499"/>
      <c r="AP37" s="499"/>
      <c r="AQ37" s="499"/>
      <c r="AR37" s="499"/>
    </row>
    <row r="38" spans="1:58" outlineLevel="2">
      <c r="A38" s="80" t="s">
        <v>278</v>
      </c>
      <c r="B38" t="s">
        <v>279</v>
      </c>
      <c r="I38" s="3">
        <v>10</v>
      </c>
      <c r="J38" s="3">
        <v>10</v>
      </c>
      <c r="K38" s="3">
        <v>10</v>
      </c>
      <c r="L38" s="3">
        <v>10</v>
      </c>
      <c r="M38" s="3">
        <v>10</v>
      </c>
      <c r="N38" s="3">
        <v>10</v>
      </c>
      <c r="O38" s="3">
        <v>10</v>
      </c>
      <c r="P38" s="3">
        <v>10</v>
      </c>
      <c r="Q38" s="3">
        <v>10</v>
      </c>
      <c r="R38" s="3">
        <v>10</v>
      </c>
      <c r="S38" s="3">
        <v>10</v>
      </c>
      <c r="T38" s="3">
        <v>10</v>
      </c>
      <c r="U38" s="3">
        <v>10</v>
      </c>
      <c r="V38" s="3">
        <v>10</v>
      </c>
      <c r="W38" s="3">
        <v>10</v>
      </c>
      <c r="AD38" s="3">
        <v>10</v>
      </c>
      <c r="AE38" s="3">
        <v>10</v>
      </c>
      <c r="AF38" s="3">
        <v>10</v>
      </c>
      <c r="AG38" s="3">
        <v>10</v>
      </c>
      <c r="AH38" s="3">
        <v>10</v>
      </c>
      <c r="AI38" s="3">
        <v>10</v>
      </c>
      <c r="AJ38" s="3">
        <v>10</v>
      </c>
      <c r="AK38" s="3">
        <v>10</v>
      </c>
      <c r="AL38" s="3">
        <v>10</v>
      </c>
      <c r="AM38" s="3">
        <v>10</v>
      </c>
      <c r="AN38" s="3">
        <v>10</v>
      </c>
      <c r="AO38" s="3">
        <v>10</v>
      </c>
      <c r="AP38" s="3">
        <v>10</v>
      </c>
      <c r="AQ38" s="3">
        <v>10</v>
      </c>
      <c r="AR38" s="3">
        <v>10</v>
      </c>
    </row>
    <row r="39" spans="1:58" outlineLevel="2">
      <c r="A39" s="80" t="s">
        <v>278</v>
      </c>
      <c r="B39" t="s">
        <v>280</v>
      </c>
      <c r="I39" s="3">
        <v>10</v>
      </c>
      <c r="J39" s="3">
        <v>10</v>
      </c>
      <c r="K39" s="3">
        <v>10</v>
      </c>
      <c r="L39" s="3">
        <v>10</v>
      </c>
      <c r="M39" s="3">
        <v>10</v>
      </c>
      <c r="N39" s="3">
        <v>10</v>
      </c>
      <c r="O39" s="3">
        <v>10</v>
      </c>
      <c r="P39" s="3">
        <v>10</v>
      </c>
      <c r="Q39" s="3">
        <v>10</v>
      </c>
      <c r="R39" s="3">
        <v>10</v>
      </c>
      <c r="S39" s="3">
        <v>10</v>
      </c>
      <c r="T39" s="3">
        <v>10</v>
      </c>
      <c r="U39" s="3">
        <v>10</v>
      </c>
      <c r="V39" s="3">
        <v>10</v>
      </c>
      <c r="W39" s="3">
        <v>10</v>
      </c>
      <c r="AD39" s="3">
        <v>10</v>
      </c>
      <c r="AE39" s="3">
        <v>10</v>
      </c>
      <c r="AF39" s="3">
        <v>10</v>
      </c>
      <c r="AG39" s="3">
        <v>10</v>
      </c>
      <c r="AH39" s="3">
        <v>10</v>
      </c>
      <c r="AI39" s="3">
        <v>10</v>
      </c>
      <c r="AJ39" s="3">
        <v>10</v>
      </c>
      <c r="AK39" s="3">
        <v>10</v>
      </c>
      <c r="AL39" s="3">
        <v>10</v>
      </c>
      <c r="AM39" s="3">
        <v>10</v>
      </c>
      <c r="AN39" s="3">
        <v>10</v>
      </c>
      <c r="AO39" s="3">
        <v>10</v>
      </c>
      <c r="AP39" s="3">
        <v>10</v>
      </c>
      <c r="AQ39" s="3">
        <v>10</v>
      </c>
      <c r="AR39" s="3">
        <v>10</v>
      </c>
    </row>
    <row r="40" spans="1:58" outlineLevel="2">
      <c r="A40" s="85" t="s">
        <v>281</v>
      </c>
      <c r="B40" s="83" t="s">
        <v>282</v>
      </c>
      <c r="E40" s="3">
        <v>10</v>
      </c>
      <c r="G40" s="3">
        <v>10</v>
      </c>
      <c r="S40" s="3"/>
      <c r="T40" s="3"/>
      <c r="U40" s="3"/>
      <c r="V40" s="3"/>
      <c r="W40" s="3"/>
      <c r="Y40" s="3">
        <v>10</v>
      </c>
      <c r="Z40" s="3"/>
      <c r="AB40" s="3">
        <v>10</v>
      </c>
      <c r="AC40" s="3"/>
      <c r="AD40" s="3"/>
      <c r="AE40" s="3"/>
      <c r="AF40" s="3"/>
      <c r="AG40" s="3"/>
      <c r="AH40" s="3"/>
      <c r="AI40" s="3"/>
      <c r="AJ40" s="3"/>
      <c r="AK40" s="3"/>
      <c r="AL40" s="3"/>
      <c r="AM40" s="3"/>
      <c r="AN40" s="3"/>
      <c r="AO40" s="3"/>
      <c r="AP40" s="3"/>
      <c r="AQ40" s="3"/>
      <c r="AR40" s="3"/>
      <c r="AT40" s="3">
        <v>10</v>
      </c>
      <c r="AU40" s="3"/>
      <c r="AV40" s="3">
        <v>10</v>
      </c>
      <c r="AW40" s="3"/>
    </row>
    <row r="41" spans="1:58" outlineLevel="2">
      <c r="A41" s="85" t="s">
        <v>281</v>
      </c>
      <c r="B41" s="83" t="s">
        <v>283</v>
      </c>
      <c r="E41" s="3">
        <v>10</v>
      </c>
      <c r="G41" s="3">
        <v>10</v>
      </c>
      <c r="I41" s="3">
        <v>10</v>
      </c>
      <c r="J41" s="3">
        <v>10</v>
      </c>
      <c r="K41" s="3">
        <v>10</v>
      </c>
      <c r="L41" s="3">
        <v>10</v>
      </c>
      <c r="M41" s="3">
        <v>10</v>
      </c>
      <c r="N41" s="3">
        <v>10</v>
      </c>
      <c r="O41" s="3">
        <v>10</v>
      </c>
      <c r="P41" s="3">
        <v>10</v>
      </c>
      <c r="Q41" s="3">
        <v>10</v>
      </c>
      <c r="R41" s="3">
        <v>10</v>
      </c>
      <c r="S41" s="3">
        <v>10</v>
      </c>
      <c r="T41" s="3">
        <v>10</v>
      </c>
      <c r="U41" s="3">
        <v>10</v>
      </c>
      <c r="V41" s="3">
        <v>10</v>
      </c>
      <c r="W41" s="3">
        <v>10</v>
      </c>
      <c r="Y41" s="3">
        <v>10</v>
      </c>
      <c r="Z41" s="3"/>
      <c r="AB41" s="3">
        <v>10</v>
      </c>
      <c r="AC41" s="3"/>
      <c r="AD41" s="3">
        <v>10</v>
      </c>
      <c r="AE41" s="3">
        <v>10</v>
      </c>
      <c r="AF41" s="3">
        <v>10</v>
      </c>
      <c r="AG41" s="3">
        <v>10</v>
      </c>
      <c r="AH41" s="3">
        <v>10</v>
      </c>
      <c r="AI41" s="3">
        <v>10</v>
      </c>
      <c r="AJ41" s="3">
        <v>10</v>
      </c>
      <c r="AK41" s="3">
        <v>10</v>
      </c>
      <c r="AL41" s="3">
        <v>10</v>
      </c>
      <c r="AM41" s="3">
        <v>10</v>
      </c>
      <c r="AN41" s="3">
        <v>10</v>
      </c>
      <c r="AO41" s="3">
        <v>10</v>
      </c>
      <c r="AP41" s="3">
        <v>10</v>
      </c>
      <c r="AQ41" s="3">
        <v>10</v>
      </c>
      <c r="AR41" s="3">
        <v>10</v>
      </c>
      <c r="AT41" s="3">
        <v>10</v>
      </c>
      <c r="AU41" s="3"/>
      <c r="AV41" s="3">
        <v>10</v>
      </c>
      <c r="AW41" s="3"/>
    </row>
    <row r="42" spans="1:58" outlineLevel="2">
      <c r="A42" s="85" t="s">
        <v>281</v>
      </c>
      <c r="B42" s="83" t="s">
        <v>284</v>
      </c>
      <c r="E42" s="3">
        <v>10</v>
      </c>
      <c r="F42" s="3">
        <v>10</v>
      </c>
      <c r="G42" s="3">
        <v>10</v>
      </c>
      <c r="H42" s="3">
        <v>10</v>
      </c>
      <c r="I42" s="3">
        <v>10</v>
      </c>
      <c r="J42" s="3">
        <v>10</v>
      </c>
      <c r="K42" s="3">
        <v>10</v>
      </c>
      <c r="L42" s="3">
        <v>10</v>
      </c>
      <c r="M42" s="3">
        <v>10</v>
      </c>
      <c r="N42" s="3">
        <v>10</v>
      </c>
      <c r="O42" s="3">
        <v>10</v>
      </c>
      <c r="P42" s="3">
        <v>10</v>
      </c>
      <c r="Q42" s="3">
        <v>10</v>
      </c>
      <c r="R42" s="3">
        <v>10</v>
      </c>
      <c r="S42" s="3">
        <v>10</v>
      </c>
      <c r="T42" s="3">
        <v>10</v>
      </c>
      <c r="U42" s="3">
        <v>10</v>
      </c>
      <c r="V42" s="3">
        <v>10</v>
      </c>
      <c r="W42" s="3">
        <v>10</v>
      </c>
      <c r="Y42" s="3">
        <v>10</v>
      </c>
      <c r="Z42" s="3">
        <v>10</v>
      </c>
      <c r="AB42" s="3">
        <v>10</v>
      </c>
      <c r="AC42" s="3">
        <v>10</v>
      </c>
      <c r="AD42" s="3">
        <v>10</v>
      </c>
      <c r="AE42" s="3">
        <v>10</v>
      </c>
      <c r="AF42" s="3">
        <v>10</v>
      </c>
      <c r="AG42" s="3">
        <v>10</v>
      </c>
      <c r="AH42" s="3">
        <v>10</v>
      </c>
      <c r="AI42" s="3">
        <v>10</v>
      </c>
      <c r="AJ42" s="3">
        <v>10</v>
      </c>
      <c r="AK42" s="3">
        <v>10</v>
      </c>
      <c r="AL42" s="3">
        <v>10</v>
      </c>
      <c r="AM42" s="3">
        <v>10</v>
      </c>
      <c r="AN42" s="3">
        <v>10</v>
      </c>
      <c r="AO42" s="3">
        <v>10</v>
      </c>
      <c r="AP42" s="3">
        <v>10</v>
      </c>
      <c r="AQ42" s="3">
        <v>10</v>
      </c>
      <c r="AR42" s="3">
        <v>10</v>
      </c>
      <c r="AT42" s="3">
        <v>10</v>
      </c>
      <c r="AU42" s="3">
        <v>10</v>
      </c>
      <c r="AV42" s="3">
        <v>10</v>
      </c>
      <c r="AW42" s="3">
        <v>10</v>
      </c>
      <c r="BA42" s="86">
        <f>+BA45*BA43</f>
        <v>144000000</v>
      </c>
      <c r="BF42" s="86"/>
    </row>
    <row r="43" spans="1:58" outlineLevel="2">
      <c r="A43" s="85" t="s">
        <v>281</v>
      </c>
      <c r="B43" s="83" t="s">
        <v>285</v>
      </c>
      <c r="E43" s="3">
        <v>10</v>
      </c>
      <c r="F43" s="3">
        <v>10</v>
      </c>
      <c r="G43" s="3">
        <v>10</v>
      </c>
      <c r="H43" s="3">
        <v>10</v>
      </c>
      <c r="I43" s="3">
        <v>10</v>
      </c>
      <c r="J43" s="3">
        <v>10</v>
      </c>
      <c r="K43" s="3">
        <v>10</v>
      </c>
      <c r="L43" s="3">
        <v>10</v>
      </c>
      <c r="M43" s="3">
        <v>10</v>
      </c>
      <c r="N43" s="3">
        <v>10</v>
      </c>
      <c r="O43" s="3">
        <v>10</v>
      </c>
      <c r="P43" s="3">
        <v>10</v>
      </c>
      <c r="Q43" s="3">
        <v>10</v>
      </c>
      <c r="R43" s="3">
        <v>10</v>
      </c>
      <c r="S43" s="3">
        <v>10</v>
      </c>
      <c r="T43" s="3">
        <v>10</v>
      </c>
      <c r="U43" s="3">
        <v>10</v>
      </c>
      <c r="V43" s="3">
        <v>10</v>
      </c>
      <c r="W43" s="3">
        <v>10</v>
      </c>
      <c r="Y43" s="3">
        <v>10</v>
      </c>
      <c r="Z43" s="3">
        <v>10</v>
      </c>
      <c r="AB43" s="3">
        <v>10</v>
      </c>
      <c r="AC43" s="3">
        <v>10</v>
      </c>
      <c r="AD43" s="3">
        <v>10</v>
      </c>
      <c r="AE43" s="3">
        <v>10</v>
      </c>
      <c r="AF43" s="3">
        <v>10</v>
      </c>
      <c r="AG43" s="3">
        <v>10</v>
      </c>
      <c r="AH43" s="3">
        <v>10</v>
      </c>
      <c r="AI43" s="3">
        <v>10</v>
      </c>
      <c r="AJ43" s="3">
        <v>10</v>
      </c>
      <c r="AK43" s="3">
        <v>10</v>
      </c>
      <c r="AL43" s="3">
        <v>10</v>
      </c>
      <c r="AM43" s="3">
        <v>10</v>
      </c>
      <c r="AN43" s="3">
        <v>10</v>
      </c>
      <c r="AO43" s="3">
        <v>10</v>
      </c>
      <c r="AP43" s="3">
        <v>10</v>
      </c>
      <c r="AQ43" s="3">
        <v>10</v>
      </c>
      <c r="AR43" s="3">
        <v>10</v>
      </c>
      <c r="AT43" s="3">
        <v>10</v>
      </c>
      <c r="AU43" s="3">
        <v>10</v>
      </c>
      <c r="AV43" s="3">
        <v>10</v>
      </c>
      <c r="AW43" s="3">
        <v>10</v>
      </c>
      <c r="BA43">
        <v>80</v>
      </c>
    </row>
    <row r="44" spans="1:58" outlineLevel="2">
      <c r="A44" s="80" t="s">
        <v>286</v>
      </c>
      <c r="B44" s="84" t="s">
        <v>282</v>
      </c>
      <c r="E44" s="3">
        <v>10</v>
      </c>
      <c r="G44" s="3">
        <v>10</v>
      </c>
      <c r="I44" s="3">
        <v>10</v>
      </c>
      <c r="J44" s="3">
        <v>10</v>
      </c>
      <c r="K44" s="3">
        <v>10</v>
      </c>
      <c r="L44" s="3">
        <v>10</v>
      </c>
      <c r="M44" s="3">
        <v>10</v>
      </c>
      <c r="N44" s="3">
        <v>10</v>
      </c>
      <c r="O44" s="3">
        <v>10</v>
      </c>
      <c r="P44" s="3">
        <v>10</v>
      </c>
      <c r="Q44" s="3">
        <v>10</v>
      </c>
      <c r="R44" s="3">
        <v>10</v>
      </c>
      <c r="S44" s="3">
        <v>10</v>
      </c>
      <c r="T44" s="3">
        <v>10</v>
      </c>
      <c r="U44" s="3">
        <v>10</v>
      </c>
      <c r="V44" s="3">
        <v>10</v>
      </c>
      <c r="W44" s="3">
        <v>10</v>
      </c>
      <c r="Y44" s="3">
        <v>10</v>
      </c>
      <c r="Z44" s="3"/>
      <c r="AB44" s="3">
        <v>10</v>
      </c>
      <c r="AC44" s="3"/>
      <c r="AD44" s="3">
        <v>10</v>
      </c>
      <c r="AE44" s="3">
        <v>10</v>
      </c>
      <c r="AF44" s="3">
        <v>10</v>
      </c>
      <c r="AG44" s="3">
        <v>10</v>
      </c>
      <c r="AH44" s="3">
        <v>10</v>
      </c>
      <c r="AI44" s="3">
        <v>10</v>
      </c>
      <c r="AJ44" s="3">
        <v>10</v>
      </c>
      <c r="AK44" s="3">
        <v>10</v>
      </c>
      <c r="AL44" s="3">
        <v>10</v>
      </c>
      <c r="AM44" s="3">
        <v>10</v>
      </c>
      <c r="AN44" s="3">
        <v>10</v>
      </c>
      <c r="AO44" s="3">
        <v>10</v>
      </c>
      <c r="AP44" s="3">
        <v>10</v>
      </c>
      <c r="AQ44" s="3">
        <v>10</v>
      </c>
      <c r="AR44" s="3">
        <v>10</v>
      </c>
      <c r="AT44" s="3">
        <v>10</v>
      </c>
      <c r="AU44" s="3"/>
      <c r="AV44" s="3">
        <v>10</v>
      </c>
      <c r="AW44" s="3"/>
    </row>
    <row r="45" spans="1:58" outlineLevel="2">
      <c r="A45" s="80" t="s">
        <v>286</v>
      </c>
      <c r="B45" s="84" t="s">
        <v>287</v>
      </c>
      <c r="E45" s="3">
        <v>10</v>
      </c>
      <c r="G45" s="3">
        <v>10</v>
      </c>
      <c r="I45" s="3">
        <v>10</v>
      </c>
      <c r="J45" s="3">
        <v>10</v>
      </c>
      <c r="K45" s="3">
        <v>10</v>
      </c>
      <c r="L45" s="3">
        <v>10</v>
      </c>
      <c r="M45" s="3">
        <v>10</v>
      </c>
      <c r="N45" s="3">
        <v>10</v>
      </c>
      <c r="O45" s="3">
        <v>10</v>
      </c>
      <c r="P45" s="3">
        <v>10</v>
      </c>
      <c r="Q45" s="3">
        <v>10</v>
      </c>
      <c r="R45" s="3">
        <v>10</v>
      </c>
      <c r="S45" s="3">
        <v>10</v>
      </c>
      <c r="T45" s="3">
        <v>10</v>
      </c>
      <c r="U45" s="3">
        <v>10</v>
      </c>
      <c r="V45" s="3">
        <v>10</v>
      </c>
      <c r="W45" s="3">
        <v>10</v>
      </c>
      <c r="Y45" s="3">
        <v>10</v>
      </c>
      <c r="Z45" s="3"/>
      <c r="AB45" s="3">
        <v>10</v>
      </c>
      <c r="AC45" s="3"/>
      <c r="AD45" s="3">
        <v>10</v>
      </c>
      <c r="AE45" s="3">
        <v>10</v>
      </c>
      <c r="AF45" s="3">
        <v>10</v>
      </c>
      <c r="AG45" s="3">
        <v>10</v>
      </c>
      <c r="AH45" s="3">
        <v>10</v>
      </c>
      <c r="AI45" s="3">
        <v>10</v>
      </c>
      <c r="AJ45" s="3">
        <v>10</v>
      </c>
      <c r="AK45" s="3">
        <v>10</v>
      </c>
      <c r="AL45" s="3">
        <v>10</v>
      </c>
      <c r="AM45" s="3">
        <v>10</v>
      </c>
      <c r="AN45" s="3">
        <v>10</v>
      </c>
      <c r="AO45" s="3">
        <v>10</v>
      </c>
      <c r="AP45" s="3">
        <v>10</v>
      </c>
      <c r="AQ45" s="3">
        <v>10</v>
      </c>
      <c r="AR45" s="3">
        <v>10</v>
      </c>
      <c r="AT45" s="3">
        <v>10</v>
      </c>
      <c r="AU45" s="3"/>
      <c r="AV45" s="3">
        <v>10</v>
      </c>
      <c r="AW45" s="3"/>
      <c r="BA45" s="86">
        <f>+BA47*BA46</f>
        <v>1800000</v>
      </c>
    </row>
    <row r="46" spans="1:58" outlineLevel="2">
      <c r="A46" s="80" t="s">
        <v>286</v>
      </c>
      <c r="B46" s="84" t="s">
        <v>284</v>
      </c>
      <c r="E46" s="3">
        <v>10</v>
      </c>
      <c r="G46" s="3">
        <v>10</v>
      </c>
      <c r="I46" s="3">
        <v>10</v>
      </c>
      <c r="J46" s="3">
        <v>10</v>
      </c>
      <c r="K46" s="3">
        <v>10</v>
      </c>
      <c r="L46" s="3">
        <v>10</v>
      </c>
      <c r="M46" s="3">
        <v>10</v>
      </c>
      <c r="N46" s="3">
        <v>10</v>
      </c>
      <c r="O46" s="3">
        <v>10</v>
      </c>
      <c r="P46" s="3">
        <v>10</v>
      </c>
      <c r="Q46" s="3">
        <v>10</v>
      </c>
      <c r="R46" s="3">
        <v>10</v>
      </c>
      <c r="S46" s="3">
        <v>10</v>
      </c>
      <c r="T46" s="3">
        <v>10</v>
      </c>
      <c r="U46" s="3">
        <v>10</v>
      </c>
      <c r="V46" s="3">
        <v>10</v>
      </c>
      <c r="W46" s="3">
        <v>10</v>
      </c>
      <c r="Y46" s="3">
        <v>10</v>
      </c>
      <c r="Z46" s="3"/>
      <c r="AB46" s="3">
        <v>10</v>
      </c>
      <c r="AC46" s="3"/>
      <c r="AD46" s="3">
        <v>10</v>
      </c>
      <c r="AE46" s="3">
        <v>10</v>
      </c>
      <c r="AF46" s="3">
        <v>10</v>
      </c>
      <c r="AG46" s="3">
        <v>10</v>
      </c>
      <c r="AH46" s="3">
        <v>10</v>
      </c>
      <c r="AI46" s="3">
        <v>10</v>
      </c>
      <c r="AJ46" s="3">
        <v>10</v>
      </c>
      <c r="AK46" s="3">
        <v>10</v>
      </c>
      <c r="AL46" s="3">
        <v>10</v>
      </c>
      <c r="AM46" s="3">
        <v>10</v>
      </c>
      <c r="AN46" s="3">
        <v>10</v>
      </c>
      <c r="AO46" s="3">
        <v>10</v>
      </c>
      <c r="AP46" s="3">
        <v>10</v>
      </c>
      <c r="AQ46" s="3">
        <v>10</v>
      </c>
      <c r="AR46" s="3">
        <v>10</v>
      </c>
      <c r="AT46" s="3">
        <v>10</v>
      </c>
      <c r="AU46" s="3"/>
      <c r="AV46" s="3">
        <v>10</v>
      </c>
      <c r="AW46" s="3"/>
      <c r="BA46">
        <v>60000</v>
      </c>
    </row>
    <row r="47" spans="1:58" outlineLevel="1">
      <c r="BA47">
        <v>30</v>
      </c>
    </row>
    <row r="48" spans="1:58" outlineLevel="1"/>
    <row r="49" spans="53:79">
      <c r="BC49" s="100">
        <f>+BC50-1</f>
        <v>0.10000000000000009</v>
      </c>
      <c r="BD49" s="100">
        <f t="shared" ref="BD49:BF49" si="27">+BD50-1</f>
        <v>0.10000000000000009</v>
      </c>
      <c r="BE49" s="100">
        <f t="shared" si="27"/>
        <v>0.10000000000000009</v>
      </c>
      <c r="BF49" s="100">
        <f t="shared" si="27"/>
        <v>0.10000000000000009</v>
      </c>
      <c r="BJ49" s="100">
        <f>+BJ50-1</f>
        <v>4.0000000000000036E-2</v>
      </c>
      <c r="BK49" s="100">
        <f t="shared" ref="BK49:BM49" si="28">+BK50-1</f>
        <v>4.0000000000000036E-2</v>
      </c>
      <c r="BL49" s="100">
        <f t="shared" si="28"/>
        <v>4.0000000000000036E-2</v>
      </c>
      <c r="BM49" s="100">
        <f t="shared" si="28"/>
        <v>4.0000000000000036E-2</v>
      </c>
    </row>
    <row r="50" spans="53:79">
      <c r="BC50" s="101">
        <v>1.1000000000000001</v>
      </c>
      <c r="BD50" s="101">
        <v>1.1000000000000001</v>
      </c>
      <c r="BE50" s="101">
        <v>1.1000000000000001</v>
      </c>
      <c r="BF50" s="101">
        <v>1.1000000000000001</v>
      </c>
      <c r="BJ50" s="101">
        <v>1.04</v>
      </c>
      <c r="BK50" s="101">
        <v>1.04</v>
      </c>
      <c r="BL50" s="101">
        <v>1.04</v>
      </c>
      <c r="BM50" s="101">
        <v>1.04</v>
      </c>
    </row>
    <row r="51" spans="53:79">
      <c r="BA51" s="4"/>
      <c r="BB51" s="90" t="s">
        <v>288</v>
      </c>
      <c r="BC51" s="90" t="s">
        <v>10</v>
      </c>
      <c r="BD51" s="90" t="s">
        <v>11</v>
      </c>
      <c r="BE51" s="90" t="s">
        <v>12</v>
      </c>
      <c r="BF51" s="90" t="s">
        <v>13</v>
      </c>
      <c r="BH51" s="103"/>
      <c r="BI51" s="104" t="s">
        <v>288</v>
      </c>
      <c r="BJ51" s="104" t="s">
        <v>10</v>
      </c>
      <c r="BK51" s="104" t="s">
        <v>11</v>
      </c>
      <c r="BL51" s="104" t="s">
        <v>12</v>
      </c>
      <c r="BM51" s="104" t="s">
        <v>13</v>
      </c>
      <c r="BO51" s="108" t="s">
        <v>288</v>
      </c>
      <c r="BP51" s="108" t="s">
        <v>10</v>
      </c>
      <c r="BQ51" s="108" t="s">
        <v>11</v>
      </c>
      <c r="BR51" s="108" t="s">
        <v>12</v>
      </c>
      <c r="BS51" s="108" t="s">
        <v>13</v>
      </c>
      <c r="BT51" s="22"/>
      <c r="BV51" s="111"/>
      <c r="BW51" s="112" t="s">
        <v>288</v>
      </c>
      <c r="BX51" s="112" t="s">
        <v>10</v>
      </c>
      <c r="BY51" s="112" t="s">
        <v>11</v>
      </c>
      <c r="BZ51" s="112" t="s">
        <v>12</v>
      </c>
      <c r="CA51" s="112" t="s">
        <v>13</v>
      </c>
    </row>
    <row r="52" spans="53:79">
      <c r="BA52" s="94" t="s">
        <v>289</v>
      </c>
      <c r="BB52" s="89">
        <f>SUM(D26:AY26)</f>
        <v>2640</v>
      </c>
      <c r="BC52" s="89">
        <f>+BB52</f>
        <v>2640</v>
      </c>
      <c r="BD52" s="89">
        <f t="shared" ref="BD52:BE52" si="29">+BC52</f>
        <v>2640</v>
      </c>
      <c r="BE52" s="89">
        <f t="shared" si="29"/>
        <v>2640</v>
      </c>
      <c r="BF52" s="89">
        <f t="shared" ref="BF52" si="30">+BE52</f>
        <v>2640</v>
      </c>
      <c r="BH52" s="94" t="s">
        <v>290</v>
      </c>
      <c r="BI52" s="119">
        <v>0.05</v>
      </c>
      <c r="BJ52" s="119">
        <f>+BI52</f>
        <v>0.05</v>
      </c>
      <c r="BK52" s="119">
        <f t="shared" ref="BK52:BM52" si="31">+BJ52</f>
        <v>0.05</v>
      </c>
      <c r="BL52" s="119">
        <f t="shared" si="31"/>
        <v>0.05</v>
      </c>
      <c r="BM52" s="119">
        <f t="shared" si="31"/>
        <v>0.05</v>
      </c>
    </row>
    <row r="53" spans="53:79">
      <c r="BA53" s="73" t="s">
        <v>291</v>
      </c>
      <c r="BB53" s="91">
        <v>100000</v>
      </c>
      <c r="BC53" s="58">
        <f>+BB53*BC50</f>
        <v>110000.00000000001</v>
      </c>
      <c r="BD53" s="58">
        <f t="shared" ref="BD53:BE53" si="32">+BC53*BD50</f>
        <v>121000.00000000003</v>
      </c>
      <c r="BE53" s="58">
        <f t="shared" si="32"/>
        <v>133100.00000000003</v>
      </c>
      <c r="BF53" s="58">
        <f t="shared" ref="BF53" si="33">+BE53*BF50</f>
        <v>146410.00000000006</v>
      </c>
      <c r="BH53" s="73" t="s">
        <v>292</v>
      </c>
      <c r="BI53" s="91">
        <f>+BI52*BB54</f>
        <v>1100000</v>
      </c>
      <c r="BJ53" s="91">
        <f t="shared" ref="BJ53:BM53" si="34">+BJ52*BC54</f>
        <v>1210000.0000000002</v>
      </c>
      <c r="BK53" s="91">
        <f t="shared" si="34"/>
        <v>1331000.0000000002</v>
      </c>
      <c r="BL53" s="91">
        <f t="shared" si="34"/>
        <v>1464100.0000000002</v>
      </c>
      <c r="BM53" s="91">
        <f t="shared" si="34"/>
        <v>1610510.0000000009</v>
      </c>
    </row>
    <row r="54" spans="53:79">
      <c r="BA54" t="s">
        <v>293</v>
      </c>
      <c r="BB54" s="58">
        <f>+BB55/12</f>
        <v>22000000</v>
      </c>
      <c r="BC54" s="58">
        <f t="shared" ref="BC54:BF54" si="35">+BC55/12</f>
        <v>24200000.000000004</v>
      </c>
      <c r="BD54" s="58">
        <f t="shared" si="35"/>
        <v>26620000.000000004</v>
      </c>
      <c r="BE54" s="58">
        <f t="shared" si="35"/>
        <v>29282000.000000004</v>
      </c>
      <c r="BF54" s="58">
        <f t="shared" si="35"/>
        <v>32210200.000000015</v>
      </c>
      <c r="BH54" t="s">
        <v>293</v>
      </c>
      <c r="BI54" s="58">
        <f>+BI53</f>
        <v>1100000</v>
      </c>
      <c r="BJ54" s="58">
        <f t="shared" ref="BJ54:BM54" si="36">+BJ53</f>
        <v>1210000.0000000002</v>
      </c>
      <c r="BK54" s="58">
        <f t="shared" si="36"/>
        <v>1331000.0000000002</v>
      </c>
      <c r="BL54" s="58">
        <f t="shared" si="36"/>
        <v>1464100.0000000002</v>
      </c>
      <c r="BM54" s="58">
        <f t="shared" si="36"/>
        <v>1610510.0000000009</v>
      </c>
    </row>
    <row r="55" spans="53:79">
      <c r="BA55" s="4" t="s">
        <v>294</v>
      </c>
      <c r="BB55" s="92">
        <f>+BB52*BB53</f>
        <v>264000000</v>
      </c>
      <c r="BC55" s="92">
        <f>+BC52*BC53</f>
        <v>290400000.00000006</v>
      </c>
      <c r="BD55" s="92">
        <f>+BD52*BD53</f>
        <v>319440000.00000006</v>
      </c>
      <c r="BE55" s="92">
        <f>+BE52*BE53</f>
        <v>351384000.00000006</v>
      </c>
      <c r="BF55" s="92">
        <f>+BF52*BF53</f>
        <v>386522400.00000018</v>
      </c>
      <c r="BH55" s="4" t="s">
        <v>294</v>
      </c>
      <c r="BI55" s="92">
        <f>+BI54*12</f>
        <v>13200000</v>
      </c>
      <c r="BJ55" s="92">
        <f t="shared" ref="BJ55:BM55" si="37">+BJ54*12</f>
        <v>14520000.000000004</v>
      </c>
      <c r="BK55" s="92">
        <f t="shared" si="37"/>
        <v>15972000.000000004</v>
      </c>
      <c r="BL55" s="92">
        <f t="shared" si="37"/>
        <v>17569200.000000004</v>
      </c>
      <c r="BM55" s="92">
        <f t="shared" si="37"/>
        <v>19326120.000000011</v>
      </c>
      <c r="BO55" s="110">
        <f>+BB55-BI55-(BV106*12)</f>
        <v>157800000</v>
      </c>
      <c r="BP55" s="110">
        <f>+BC55-BJ55-(BV106*12)</f>
        <v>182880000.00000006</v>
      </c>
      <c r="BQ55" s="110">
        <f>+BD55-BK55-(BV106*12)</f>
        <v>210468000.00000006</v>
      </c>
      <c r="BR55" s="110">
        <f>+BE55-BL55-(BV106*12)</f>
        <v>240814800.00000006</v>
      </c>
      <c r="BS55" s="110">
        <f>+BF55-BM55-(BV106*12)</f>
        <v>274196280.00000018</v>
      </c>
      <c r="BT55" s="109"/>
    </row>
    <row r="56" spans="53:79">
      <c r="BH56" t="s">
        <v>295</v>
      </c>
      <c r="BI56" s="58">
        <f>+BI55/BB52</f>
        <v>5000</v>
      </c>
      <c r="BJ56" s="58">
        <f t="shared" ref="BJ56:BM56" si="38">+BJ55/BC52</f>
        <v>5500.0000000000018</v>
      </c>
      <c r="BK56" s="58">
        <f t="shared" si="38"/>
        <v>6050.0000000000018</v>
      </c>
      <c r="BL56" s="58">
        <f t="shared" si="38"/>
        <v>6655.0000000000018</v>
      </c>
      <c r="BM56" s="58">
        <f t="shared" si="38"/>
        <v>7320.5000000000045</v>
      </c>
      <c r="BO56" s="105">
        <f>+BO55/BB55</f>
        <v>0.59772727272727277</v>
      </c>
      <c r="BP56" s="105">
        <f t="shared" ref="BP56:BS56" si="39">+BP55/BC55</f>
        <v>0.62975206611570256</v>
      </c>
      <c r="BQ56" s="105">
        <f t="shared" si="39"/>
        <v>0.6588655146506387</v>
      </c>
      <c r="BR56" s="105">
        <f t="shared" si="39"/>
        <v>0.68533228604603513</v>
      </c>
      <c r="BS56" s="105">
        <f t="shared" si="39"/>
        <v>0.70939298731457745</v>
      </c>
      <c r="BT56" s="121"/>
    </row>
    <row r="57" spans="53:79">
      <c r="BI57" s="105">
        <f>+BI56/BB53</f>
        <v>0.05</v>
      </c>
      <c r="BJ57" s="105">
        <f>+BJ56/BC53</f>
        <v>5.000000000000001E-2</v>
      </c>
      <c r="BK57" s="105">
        <f>+BK56/BD53</f>
        <v>0.05</v>
      </c>
      <c r="BL57" s="105">
        <f>+BL56/BE53</f>
        <v>0.05</v>
      </c>
      <c r="BM57" s="105">
        <f>+BM56/BF53</f>
        <v>5.000000000000001E-2</v>
      </c>
    </row>
    <row r="58" spans="53:79">
      <c r="BC58" s="100">
        <f>+BC59-1</f>
        <v>0.10000000000000009</v>
      </c>
      <c r="BD58" s="100">
        <f t="shared" ref="BD58" si="40">+BD59-1</f>
        <v>0.10000000000000009</v>
      </c>
      <c r="BE58" s="100">
        <f t="shared" ref="BE58" si="41">+BE59-1</f>
        <v>0.10000000000000009</v>
      </c>
      <c r="BF58" s="100">
        <f t="shared" ref="BF58" si="42">+BF59-1</f>
        <v>0.10000000000000009</v>
      </c>
      <c r="BJ58" s="100"/>
      <c r="BK58" s="100"/>
      <c r="BL58" s="100"/>
      <c r="BM58" s="100"/>
    </row>
    <row r="59" spans="53:79">
      <c r="BB59">
        <v>2</v>
      </c>
      <c r="BC59" s="101">
        <v>1.1000000000000001</v>
      </c>
      <c r="BD59" s="101">
        <v>1.1000000000000001</v>
      </c>
      <c r="BE59" s="101">
        <v>1.1000000000000001</v>
      </c>
      <c r="BF59" s="101">
        <v>1.1000000000000001</v>
      </c>
      <c r="BJ59" s="101"/>
      <c r="BK59" s="101"/>
      <c r="BL59" s="101"/>
      <c r="BM59" s="101"/>
    </row>
    <row r="60" spans="53:79">
      <c r="BA60" s="4"/>
      <c r="BB60" s="90" t="s">
        <v>288</v>
      </c>
      <c r="BC60" s="90" t="s">
        <v>10</v>
      </c>
      <c r="BD60" s="90" t="s">
        <v>11</v>
      </c>
      <c r="BE60" s="90" t="s">
        <v>12</v>
      </c>
      <c r="BF60" s="90" t="s">
        <v>13</v>
      </c>
      <c r="BH60" s="103"/>
      <c r="BI60" s="104" t="s">
        <v>288</v>
      </c>
      <c r="BJ60" s="104" t="s">
        <v>10</v>
      </c>
      <c r="BK60" s="104" t="s">
        <v>11</v>
      </c>
      <c r="BL60" s="104" t="s">
        <v>12</v>
      </c>
      <c r="BM60" s="104" t="s">
        <v>13</v>
      </c>
    </row>
    <row r="61" spans="53:79">
      <c r="BA61" s="94" t="s">
        <v>296</v>
      </c>
      <c r="BB61" s="89">
        <f>+BB52*BB59</f>
        <v>5280</v>
      </c>
      <c r="BC61" s="89">
        <f>+BC52*BB59</f>
        <v>5280</v>
      </c>
      <c r="BD61" s="89">
        <f>+BD52*BB59</f>
        <v>5280</v>
      </c>
      <c r="BE61" s="89">
        <f>+BE52*BB59</f>
        <v>5280</v>
      </c>
      <c r="BF61" s="89">
        <f>+BF52*BB59</f>
        <v>5280</v>
      </c>
      <c r="BH61" s="94" t="s">
        <v>297</v>
      </c>
      <c r="BI61" s="89">
        <v>1</v>
      </c>
      <c r="BJ61" s="89">
        <f>+BI61</f>
        <v>1</v>
      </c>
      <c r="BK61" s="89">
        <f t="shared" ref="BK61" si="43">+BJ61</f>
        <v>1</v>
      </c>
      <c r="BL61" s="89">
        <f t="shared" ref="BL61" si="44">+BK61</f>
        <v>1</v>
      </c>
      <c r="BM61" s="89">
        <f t="shared" ref="BM61" si="45">+BL61</f>
        <v>1</v>
      </c>
    </row>
    <row r="62" spans="53:79">
      <c r="BA62" s="73" t="s">
        <v>291</v>
      </c>
      <c r="BB62" s="91">
        <v>10000</v>
      </c>
      <c r="BC62" s="58">
        <f>+BB62*BC59</f>
        <v>11000</v>
      </c>
      <c r="BD62" s="58">
        <f>+BC62*BD59</f>
        <v>12100.000000000002</v>
      </c>
      <c r="BE62" s="58">
        <f>+BD62*BE59</f>
        <v>13310.000000000004</v>
      </c>
      <c r="BF62" s="58">
        <f>+BE62*BF59</f>
        <v>14641.000000000005</v>
      </c>
      <c r="BH62" s="73" t="s">
        <v>298</v>
      </c>
      <c r="BI62" s="91">
        <f>+BC4</f>
        <v>1774800</v>
      </c>
      <c r="BJ62" s="58">
        <f>+BI62*BJ50</f>
        <v>1845792</v>
      </c>
      <c r="BK62" s="58">
        <f>+BJ62*BK50</f>
        <v>1919623.6800000002</v>
      </c>
      <c r="BL62" s="58">
        <f>+BK62*BL50</f>
        <v>1996408.6272000002</v>
      </c>
      <c r="BM62" s="58">
        <f>+BL62*BM50</f>
        <v>2076264.9722880004</v>
      </c>
    </row>
    <row r="63" spans="53:79">
      <c r="BA63" t="s">
        <v>293</v>
      </c>
      <c r="BB63" s="58">
        <f>+BB64/12</f>
        <v>4400000</v>
      </c>
      <c r="BC63" s="58">
        <f t="shared" ref="BC63:BF63" si="46">+BC64/12</f>
        <v>4840000</v>
      </c>
      <c r="BD63" s="58">
        <f t="shared" si="46"/>
        <v>5324000.0000000009</v>
      </c>
      <c r="BE63" s="58">
        <f t="shared" si="46"/>
        <v>5856400.0000000009</v>
      </c>
      <c r="BF63" s="58">
        <f t="shared" si="46"/>
        <v>6442040.0000000028</v>
      </c>
      <c r="BH63" t="s">
        <v>293</v>
      </c>
      <c r="BI63" s="58">
        <f>+BI61*BI62</f>
        <v>1774800</v>
      </c>
      <c r="BJ63" s="58">
        <f t="shared" ref="BJ63" si="47">+BJ61*BJ62</f>
        <v>1845792</v>
      </c>
      <c r="BK63" s="58">
        <f t="shared" ref="BK63" si="48">+BK61*BK62</f>
        <v>1919623.6800000002</v>
      </c>
      <c r="BL63" s="58">
        <f t="shared" ref="BL63" si="49">+BL61*BL62</f>
        <v>1996408.6272000002</v>
      </c>
      <c r="BM63" s="58">
        <f t="shared" ref="BM63" si="50">+BM61*BM62</f>
        <v>2076264.9722880004</v>
      </c>
    </row>
    <row r="64" spans="53:79">
      <c r="BA64" s="4" t="s">
        <v>294</v>
      </c>
      <c r="BB64" s="92">
        <f>+BB61*BB62</f>
        <v>52800000</v>
      </c>
      <c r="BC64" s="92">
        <f>+BC61*BC62</f>
        <v>58080000</v>
      </c>
      <c r="BD64" s="92">
        <f>+BD61*BD62</f>
        <v>63888000.000000007</v>
      </c>
      <c r="BE64" s="92">
        <f>+BE61*BE62</f>
        <v>70276800.000000015</v>
      </c>
      <c r="BF64" s="92">
        <f>+BF61*BF62</f>
        <v>77304480.00000003</v>
      </c>
      <c r="BH64" s="4" t="s">
        <v>294</v>
      </c>
      <c r="BI64" s="92">
        <f>+BI63*12</f>
        <v>21297600</v>
      </c>
      <c r="BJ64" s="92">
        <f t="shared" ref="BJ64" si="51">+BJ63*12</f>
        <v>22149504</v>
      </c>
      <c r="BK64" s="92">
        <f t="shared" ref="BK64" si="52">+BK63*12</f>
        <v>23035484.160000004</v>
      </c>
      <c r="BL64" s="92">
        <f t="shared" ref="BL64" si="53">+BL63*12</f>
        <v>23956903.526400004</v>
      </c>
      <c r="BM64" s="92">
        <f t="shared" ref="BM64" si="54">+BM63*12</f>
        <v>24915179.667456005</v>
      </c>
      <c r="BO64" s="110">
        <f>+BB64-BI64</f>
        <v>31502400</v>
      </c>
      <c r="BP64" s="110">
        <f t="shared" ref="BP64" si="55">+BC64-BJ64</f>
        <v>35930496</v>
      </c>
      <c r="BQ64" s="110">
        <f t="shared" ref="BQ64" si="56">+BD64-BK64</f>
        <v>40852515.840000004</v>
      </c>
      <c r="BR64" s="110">
        <f t="shared" ref="BR64" si="57">+BE64-BL64</f>
        <v>46319896.473600015</v>
      </c>
      <c r="BS64" s="110">
        <f t="shared" ref="BS64" si="58">+BF64-BM64</f>
        <v>52389300.332544029</v>
      </c>
      <c r="BT64" s="109"/>
    </row>
    <row r="65" spans="53:72">
      <c r="BH65" t="s">
        <v>295</v>
      </c>
      <c r="BI65" s="58">
        <f>+BI64/BB61</f>
        <v>4033.6363636363635</v>
      </c>
      <c r="BJ65" s="58">
        <f t="shared" ref="BJ65" si="59">+BJ64/BC61</f>
        <v>4194.9818181818182</v>
      </c>
      <c r="BK65" s="58">
        <f t="shared" ref="BK65" si="60">+BK64/BD61</f>
        <v>4362.7810909090913</v>
      </c>
      <c r="BL65" s="58">
        <f t="shared" ref="BL65" si="61">+BL64/BE61</f>
        <v>4537.2923345454556</v>
      </c>
      <c r="BM65" s="58">
        <f t="shared" ref="BM65" si="62">+BM64/BF61</f>
        <v>4718.7840279272732</v>
      </c>
      <c r="BO65" s="105">
        <f>+BO64/BB64</f>
        <v>0.59663636363636363</v>
      </c>
      <c r="BP65" s="105">
        <f t="shared" ref="BP65" si="63">+BP64/BC64</f>
        <v>0.61863801652892558</v>
      </c>
      <c r="BQ65" s="105">
        <f t="shared" ref="BQ65" si="64">+BQ64/BD64</f>
        <v>0.63943957926371142</v>
      </c>
      <c r="BR65" s="105">
        <f t="shared" ref="BR65" si="65">+BR64/BE64</f>
        <v>0.65910651130387277</v>
      </c>
      <c r="BS65" s="105">
        <f t="shared" ref="BS65" si="66">+BS64/BF64</f>
        <v>0.67770070159638884</v>
      </c>
      <c r="BT65" s="121"/>
    </row>
    <row r="66" spans="53:72">
      <c r="BI66" s="105">
        <f>+BI65/BB62</f>
        <v>0.40336363636363637</v>
      </c>
      <c r="BJ66" s="105">
        <f>+BJ65/BC62</f>
        <v>0.38136198347107436</v>
      </c>
      <c r="BK66" s="105">
        <f>+BK65/BD62</f>
        <v>0.36056042073628847</v>
      </c>
      <c r="BL66" s="105">
        <f>+BL65/BE62</f>
        <v>0.34089348869612729</v>
      </c>
      <c r="BM66" s="105">
        <f>+BM65/BF62</f>
        <v>0.32229929840361121</v>
      </c>
    </row>
    <row r="67" spans="53:72">
      <c r="BC67" s="100">
        <f>+BC68-1</f>
        <v>0.10000000000000009</v>
      </c>
      <c r="BD67" s="100">
        <f t="shared" ref="BD67" si="67">+BD68-1</f>
        <v>0.10000000000000009</v>
      </c>
      <c r="BE67" s="100">
        <f t="shared" ref="BE67" si="68">+BE68-1</f>
        <v>0.10000000000000009</v>
      </c>
      <c r="BF67" s="100">
        <f t="shared" ref="BF67" si="69">+BF68-1</f>
        <v>0.10000000000000009</v>
      </c>
      <c r="BI67" s="105"/>
    </row>
    <row r="68" spans="53:72">
      <c r="BC68" s="101">
        <v>1.1000000000000001</v>
      </c>
      <c r="BD68" s="101">
        <v>1.1000000000000001</v>
      </c>
      <c r="BE68" s="101">
        <v>1.1000000000000001</v>
      </c>
      <c r="BF68" s="101">
        <v>1.1000000000000001</v>
      </c>
    </row>
    <row r="69" spans="53:72">
      <c r="BA69" s="4"/>
      <c r="BB69" s="90" t="s">
        <v>288</v>
      </c>
      <c r="BC69" s="90" t="s">
        <v>10</v>
      </c>
      <c r="BD69" s="90" t="s">
        <v>11</v>
      </c>
      <c r="BE69" s="90" t="s">
        <v>12</v>
      </c>
      <c r="BF69" s="90" t="s">
        <v>13</v>
      </c>
      <c r="BH69" s="103"/>
      <c r="BI69" s="104" t="s">
        <v>288</v>
      </c>
      <c r="BJ69" s="104" t="s">
        <v>10</v>
      </c>
      <c r="BK69" s="104" t="s">
        <v>11</v>
      </c>
      <c r="BL69" s="104" t="s">
        <v>12</v>
      </c>
      <c r="BM69" s="104" t="s">
        <v>13</v>
      </c>
    </row>
    <row r="70" spans="53:72">
      <c r="BA70" s="94" t="s">
        <v>299</v>
      </c>
      <c r="BB70" s="89">
        <f>+BB61</f>
        <v>5280</v>
      </c>
      <c r="BC70" s="89">
        <f>+BC61</f>
        <v>5280</v>
      </c>
      <c r="BD70" s="89">
        <f>+BD61</f>
        <v>5280</v>
      </c>
      <c r="BE70" s="89">
        <f>+BE61</f>
        <v>5280</v>
      </c>
      <c r="BF70" s="89">
        <f>+BF61</f>
        <v>5280</v>
      </c>
      <c r="BH70" s="94" t="s">
        <v>297</v>
      </c>
      <c r="BI70" s="89">
        <v>1</v>
      </c>
      <c r="BJ70" s="89">
        <f>+BI70</f>
        <v>1</v>
      </c>
      <c r="BK70" s="89">
        <f t="shared" ref="BK70" si="70">+BJ70</f>
        <v>1</v>
      </c>
      <c r="BL70" s="89">
        <f t="shared" ref="BL70" si="71">+BK70</f>
        <v>1</v>
      </c>
      <c r="BM70" s="89">
        <f t="shared" ref="BM70" si="72">+BL70</f>
        <v>1</v>
      </c>
    </row>
    <row r="71" spans="53:72">
      <c r="BA71" s="73" t="s">
        <v>300</v>
      </c>
      <c r="BB71" s="91">
        <v>15000</v>
      </c>
      <c r="BC71" s="58">
        <f>+BB71*BC68</f>
        <v>16500</v>
      </c>
      <c r="BD71" s="58">
        <f t="shared" ref="BD71:BF71" si="73">+BC71*BD68</f>
        <v>18150</v>
      </c>
      <c r="BE71" s="58">
        <f t="shared" si="73"/>
        <v>19965</v>
      </c>
      <c r="BF71" s="58">
        <f t="shared" si="73"/>
        <v>21961.5</v>
      </c>
      <c r="BH71" s="73" t="s">
        <v>298</v>
      </c>
      <c r="BI71" s="91">
        <f>+BC4</f>
        <v>1774800</v>
      </c>
      <c r="BJ71" s="58">
        <f>+BI71*BJ50</f>
        <v>1845792</v>
      </c>
      <c r="BK71" s="58">
        <f t="shared" ref="BK71:BM71" si="74">+BJ71*BK50</f>
        <v>1919623.6800000002</v>
      </c>
      <c r="BL71" s="58">
        <f t="shared" si="74"/>
        <v>1996408.6272000002</v>
      </c>
      <c r="BM71" s="58">
        <f t="shared" si="74"/>
        <v>2076264.9722880004</v>
      </c>
    </row>
    <row r="72" spans="53:72">
      <c r="BA72" t="s">
        <v>301</v>
      </c>
      <c r="BB72" s="2">
        <v>0.35</v>
      </c>
      <c r="BC72" s="2">
        <v>0.4</v>
      </c>
      <c r="BD72" s="2">
        <v>0.4</v>
      </c>
      <c r="BE72" s="2">
        <v>0.4</v>
      </c>
      <c r="BF72" s="2">
        <v>0.4</v>
      </c>
      <c r="BH72" t="s">
        <v>293</v>
      </c>
      <c r="BI72" s="58">
        <f>+BI70*BI71</f>
        <v>1774800</v>
      </c>
      <c r="BJ72" s="58">
        <f t="shared" ref="BJ72" si="75">+BJ70*BJ71</f>
        <v>1845792</v>
      </c>
      <c r="BK72" s="58">
        <f t="shared" ref="BK72" si="76">+BK70*BK71</f>
        <v>1919623.6800000002</v>
      </c>
      <c r="BL72" s="58">
        <f t="shared" ref="BL72" si="77">+BL70*BL71</f>
        <v>1996408.6272000002</v>
      </c>
      <c r="BM72" s="58">
        <f t="shared" ref="BM72" si="78">+BM70*BM71</f>
        <v>2076264.9722880004</v>
      </c>
    </row>
    <row r="73" spans="53:72">
      <c r="BA73" t="s">
        <v>302</v>
      </c>
      <c r="BB73" s="58">
        <f>+BB71*BB72</f>
        <v>5250</v>
      </c>
      <c r="BC73" s="58">
        <f t="shared" ref="BC73:BF73" si="79">+BC71*BC72</f>
        <v>6600</v>
      </c>
      <c r="BD73" s="58">
        <f t="shared" si="79"/>
        <v>7260</v>
      </c>
      <c r="BE73" s="58">
        <f t="shared" si="79"/>
        <v>7986</v>
      </c>
      <c r="BF73" s="58">
        <f t="shared" si="79"/>
        <v>8784.6</v>
      </c>
      <c r="BO73" s="109"/>
      <c r="BP73" s="109"/>
      <c r="BQ73" s="109"/>
      <c r="BR73" s="109"/>
      <c r="BS73" s="109"/>
      <c r="BT73" s="109"/>
    </row>
    <row r="74" spans="53:72">
      <c r="BA74" t="s">
        <v>293</v>
      </c>
      <c r="BB74" s="58">
        <f>+BB75/12</f>
        <v>2310000</v>
      </c>
      <c r="BC74" s="58">
        <f t="shared" ref="BC74:BF74" si="80">+BC75/12</f>
        <v>2904000</v>
      </c>
      <c r="BD74" s="58">
        <f t="shared" si="80"/>
        <v>3194400</v>
      </c>
      <c r="BE74" s="58">
        <f t="shared" si="80"/>
        <v>3513840</v>
      </c>
      <c r="BF74" s="58">
        <f t="shared" si="80"/>
        <v>3865224</v>
      </c>
    </row>
    <row r="75" spans="53:72">
      <c r="BA75" s="4" t="s">
        <v>294</v>
      </c>
      <c r="BB75" s="92">
        <f>+BB70*BB73</f>
        <v>27720000</v>
      </c>
      <c r="BC75" s="92">
        <f>+BC70*BC73</f>
        <v>34848000</v>
      </c>
      <c r="BD75" s="92">
        <f>+BD70*BD73</f>
        <v>38332800</v>
      </c>
      <c r="BE75" s="92">
        <f>+BE70*BE73</f>
        <v>42166080</v>
      </c>
      <c r="BF75" s="92">
        <f>+BF70*BF73</f>
        <v>46382688</v>
      </c>
      <c r="BH75" s="4" t="s">
        <v>294</v>
      </c>
      <c r="BI75" s="92">
        <f>+BI72*12</f>
        <v>21297600</v>
      </c>
      <c r="BJ75" s="92">
        <f>+BJ72*12</f>
        <v>22149504</v>
      </c>
      <c r="BK75" s="92">
        <f>+BK72*12</f>
        <v>23035484.160000004</v>
      </c>
      <c r="BL75" s="92">
        <f>+BL72*12</f>
        <v>23956903.526400004</v>
      </c>
      <c r="BM75" s="92">
        <f>+BM72*12</f>
        <v>24915179.667456005</v>
      </c>
      <c r="BO75" s="110">
        <f>+BB75-BI75</f>
        <v>6422400</v>
      </c>
      <c r="BP75" s="110">
        <f t="shared" ref="BP75" si="81">+BC75-BJ75</f>
        <v>12698496</v>
      </c>
      <c r="BQ75" s="110">
        <f t="shared" ref="BQ75" si="82">+BD75-BK75</f>
        <v>15297315.839999996</v>
      </c>
      <c r="BR75" s="110">
        <f t="shared" ref="BR75" si="83">+BE75-BL75</f>
        <v>18209176.473599996</v>
      </c>
      <c r="BS75" s="110">
        <f t="shared" ref="BS75" si="84">+BF75-BM75</f>
        <v>21467508.332543995</v>
      </c>
      <c r="BT75" s="109"/>
    </row>
    <row r="76" spans="53:72">
      <c r="BH76" t="s">
        <v>295</v>
      </c>
      <c r="BI76" s="58">
        <f t="shared" ref="BI76:BM77" si="85">+BI75/BB70</f>
        <v>4033.6363636363635</v>
      </c>
      <c r="BJ76" s="58">
        <f t="shared" si="85"/>
        <v>4194.9818181818182</v>
      </c>
      <c r="BK76" s="58">
        <f t="shared" si="85"/>
        <v>4362.7810909090913</v>
      </c>
      <c r="BL76" s="58">
        <f t="shared" si="85"/>
        <v>4537.2923345454556</v>
      </c>
      <c r="BM76" s="58">
        <f t="shared" si="85"/>
        <v>4718.7840279272732</v>
      </c>
      <c r="BO76" s="105">
        <f>+BO75/BB75</f>
        <v>0.23168831168831169</v>
      </c>
      <c r="BP76" s="105">
        <f t="shared" ref="BP76" si="86">+BP75/BC75</f>
        <v>0.36439669421487603</v>
      </c>
      <c r="BQ76" s="105">
        <f t="shared" ref="BQ76" si="87">+BQ75/BD75</f>
        <v>0.39906596543951905</v>
      </c>
      <c r="BR76" s="105">
        <f t="shared" ref="BR76" si="88">+BR75/BE75</f>
        <v>0.43184418550645437</v>
      </c>
      <c r="BS76" s="105">
        <f t="shared" ref="BS76" si="89">+BS75/BF75</f>
        <v>0.46283450266064774</v>
      </c>
      <c r="BT76" s="121"/>
    </row>
    <row r="77" spans="53:72">
      <c r="BC77" s="100">
        <f>+BC78-1</f>
        <v>0.10000000000000009</v>
      </c>
      <c r="BD77" s="100">
        <f t="shared" ref="BD77" si="90">+BD78-1</f>
        <v>0.10000000000000009</v>
      </c>
      <c r="BE77" s="100">
        <f t="shared" ref="BE77" si="91">+BE78-1</f>
        <v>0.10000000000000009</v>
      </c>
      <c r="BF77" s="100">
        <f t="shared" ref="BF77" si="92">+BF78-1</f>
        <v>0.10000000000000009</v>
      </c>
      <c r="BI77" s="105">
        <f t="shared" si="85"/>
        <v>0.26890909090909088</v>
      </c>
      <c r="BJ77" s="105">
        <f t="shared" si="85"/>
        <v>0.25424132231404961</v>
      </c>
      <c r="BK77" s="105">
        <f t="shared" si="85"/>
        <v>0.24037361382419237</v>
      </c>
      <c r="BL77" s="105">
        <f t="shared" si="85"/>
        <v>0.22726232579741826</v>
      </c>
      <c r="BM77" s="105">
        <f t="shared" si="85"/>
        <v>0.21486619893574088</v>
      </c>
    </row>
    <row r="78" spans="53:72">
      <c r="BC78" s="101">
        <v>1.1000000000000001</v>
      </c>
      <c r="BD78" s="101">
        <v>1.1000000000000001</v>
      </c>
      <c r="BE78" s="101">
        <v>1.1000000000000001</v>
      </c>
      <c r="BF78" s="101">
        <v>1.1000000000000001</v>
      </c>
    </row>
    <row r="79" spans="53:72">
      <c r="BA79" s="4"/>
      <c r="BB79" s="90" t="s">
        <v>288</v>
      </c>
      <c r="BC79" s="90" t="s">
        <v>10</v>
      </c>
      <c r="BD79" s="90" t="s">
        <v>11</v>
      </c>
      <c r="BE79" s="90" t="s">
        <v>12</v>
      </c>
      <c r="BF79" s="90" t="s">
        <v>13</v>
      </c>
      <c r="BH79" s="103"/>
      <c r="BI79" s="104" t="s">
        <v>288</v>
      </c>
      <c r="BJ79" s="104" t="s">
        <v>10</v>
      </c>
      <c r="BK79" s="104" t="s">
        <v>11</v>
      </c>
      <c r="BL79" s="104" t="s">
        <v>12</v>
      </c>
      <c r="BM79" s="104" t="s">
        <v>13</v>
      </c>
    </row>
    <row r="80" spans="53:72">
      <c r="BA80" s="94" t="s">
        <v>303</v>
      </c>
      <c r="BB80" s="89">
        <v>12</v>
      </c>
      <c r="BC80" s="89">
        <v>12</v>
      </c>
      <c r="BD80" s="89">
        <v>12</v>
      </c>
      <c r="BE80" s="89">
        <v>12</v>
      </c>
      <c r="BF80" s="89">
        <v>12</v>
      </c>
      <c r="BH80" s="94" t="s">
        <v>290</v>
      </c>
      <c r="BI80" s="119">
        <v>0.06</v>
      </c>
      <c r="BJ80" s="119">
        <f>+BI80</f>
        <v>0.06</v>
      </c>
      <c r="BK80" s="119">
        <f t="shared" ref="BK80:BM80" si="93">+BJ80</f>
        <v>0.06</v>
      </c>
      <c r="BL80" s="119">
        <f t="shared" si="93"/>
        <v>0.06</v>
      </c>
      <c r="BM80" s="119">
        <f t="shared" si="93"/>
        <v>0.06</v>
      </c>
    </row>
    <row r="81" spans="52:74">
      <c r="AZ81" s="114"/>
      <c r="BA81" s="73" t="s">
        <v>304</v>
      </c>
      <c r="BB81" s="116">
        <v>5000000</v>
      </c>
      <c r="BC81" s="58">
        <f>+BB81*BC78</f>
        <v>5500000</v>
      </c>
      <c r="BD81" s="58">
        <f>+BC81*BD78</f>
        <v>6050000.0000000009</v>
      </c>
      <c r="BE81" s="58">
        <f>+BD81*BE78</f>
        <v>6655000.0000000019</v>
      </c>
      <c r="BF81" s="58">
        <f>+BE81*BF78</f>
        <v>7320500.0000000028</v>
      </c>
      <c r="BH81" s="73" t="s">
        <v>292</v>
      </c>
      <c r="BI81" s="91">
        <f>+BI80*BB83</f>
        <v>1200000</v>
      </c>
      <c r="BJ81" s="91">
        <f t="shared" ref="BJ81:BM81" si="94">+BJ80*BC83</f>
        <v>1320000</v>
      </c>
      <c r="BK81" s="91">
        <f t="shared" si="94"/>
        <v>1452000.0000000002</v>
      </c>
      <c r="BL81" s="91">
        <f t="shared" si="94"/>
        <v>1597200.0000000005</v>
      </c>
      <c r="BM81" s="91">
        <f t="shared" si="94"/>
        <v>1756920.0000000007</v>
      </c>
    </row>
    <row r="82" spans="52:74">
      <c r="BA82" s="73" t="s">
        <v>269</v>
      </c>
      <c r="BB82" s="115">
        <v>4</v>
      </c>
      <c r="BC82" s="1">
        <v>4</v>
      </c>
      <c r="BD82" s="1">
        <v>4</v>
      </c>
      <c r="BE82" s="1">
        <v>4</v>
      </c>
      <c r="BF82" s="1">
        <v>4</v>
      </c>
      <c r="BH82" t="s">
        <v>293</v>
      </c>
      <c r="BI82" s="58">
        <f>+BI81</f>
        <v>1200000</v>
      </c>
      <c r="BJ82" s="58">
        <f t="shared" ref="BJ82:BM82" si="95">+BJ81</f>
        <v>1320000</v>
      </c>
      <c r="BK82" s="58">
        <f t="shared" si="95"/>
        <v>1452000.0000000002</v>
      </c>
      <c r="BL82" s="58">
        <f t="shared" si="95"/>
        <v>1597200.0000000005</v>
      </c>
      <c r="BM82" s="58">
        <f t="shared" si="95"/>
        <v>1756920.0000000007</v>
      </c>
    </row>
    <row r="83" spans="52:74">
      <c r="BA83" s="73" t="s">
        <v>293</v>
      </c>
      <c r="BB83" s="68">
        <f>+BB81*BB82</f>
        <v>20000000</v>
      </c>
      <c r="BC83" s="68">
        <f t="shared" ref="BC83:BF83" si="96">+BC81*BC82</f>
        <v>22000000</v>
      </c>
      <c r="BD83" s="68">
        <f t="shared" si="96"/>
        <v>24200000.000000004</v>
      </c>
      <c r="BE83" s="68">
        <f t="shared" si="96"/>
        <v>26620000.000000007</v>
      </c>
      <c r="BF83" s="68">
        <f t="shared" si="96"/>
        <v>29282000.000000011</v>
      </c>
    </row>
    <row r="84" spans="52:74">
      <c r="BA84" s="4" t="s">
        <v>294</v>
      </c>
      <c r="BB84" s="92">
        <f>+BB80*BB83</f>
        <v>240000000</v>
      </c>
      <c r="BC84" s="92">
        <f t="shared" ref="BC84:BF84" si="97">+BC80*BC83</f>
        <v>264000000</v>
      </c>
      <c r="BD84" s="92">
        <f t="shared" si="97"/>
        <v>290400000.00000006</v>
      </c>
      <c r="BE84" s="92">
        <f t="shared" si="97"/>
        <v>319440000.00000012</v>
      </c>
      <c r="BF84" s="92">
        <f t="shared" si="97"/>
        <v>351384000.00000012</v>
      </c>
      <c r="BH84" s="4" t="s">
        <v>294</v>
      </c>
      <c r="BI84" s="92">
        <f>+BI82*12</f>
        <v>14400000</v>
      </c>
      <c r="BJ84" s="92">
        <f>+BJ82*12</f>
        <v>15840000</v>
      </c>
      <c r="BK84" s="92">
        <f>+BK82*12</f>
        <v>17424000.000000004</v>
      </c>
      <c r="BL84" s="92">
        <f>+BL82*12</f>
        <v>19166400.000000007</v>
      </c>
      <c r="BM84" s="92">
        <f>+BM82*12</f>
        <v>21083040.000000007</v>
      </c>
      <c r="BO84" s="110">
        <f>+BB84-BI84</f>
        <v>225600000</v>
      </c>
      <c r="BP84" s="110">
        <f t="shared" ref="BP84:BS84" si="98">+BC84-BJ84</f>
        <v>248160000</v>
      </c>
      <c r="BQ84" s="110">
        <f t="shared" si="98"/>
        <v>272976000.00000006</v>
      </c>
      <c r="BR84" s="110">
        <f t="shared" si="98"/>
        <v>300273600.00000012</v>
      </c>
      <c r="BS84" s="110">
        <f t="shared" si="98"/>
        <v>330300960.00000012</v>
      </c>
      <c r="BT84" s="109"/>
    </row>
    <row r="85" spans="52:74">
      <c r="BH85" t="s">
        <v>295</v>
      </c>
      <c r="BI85" s="58">
        <f>+BI82/BB82</f>
        <v>300000</v>
      </c>
      <c r="BJ85" s="58">
        <f>+BJ82/BC82</f>
        <v>330000</v>
      </c>
      <c r="BK85" s="58">
        <f>+BK82/BD82</f>
        <v>363000.00000000006</v>
      </c>
      <c r="BL85" s="58">
        <f>+BL82/BE82</f>
        <v>399300.00000000012</v>
      </c>
      <c r="BM85" s="58">
        <f>+BM82/BF82</f>
        <v>439230.00000000017</v>
      </c>
      <c r="BO85" s="105">
        <f>+BO84/BB84</f>
        <v>0.94</v>
      </c>
      <c r="BP85" s="105">
        <f t="shared" ref="BP85" si="99">+BP84/BC84</f>
        <v>0.94</v>
      </c>
      <c r="BQ85" s="105">
        <f t="shared" ref="BQ85" si="100">+BQ84/BD84</f>
        <v>0.94000000000000006</v>
      </c>
      <c r="BR85" s="105">
        <f t="shared" ref="BR85" si="101">+BR84/BE84</f>
        <v>0.94000000000000006</v>
      </c>
      <c r="BS85" s="105">
        <f t="shared" ref="BS85" si="102">+BS84/BF84</f>
        <v>0.94000000000000006</v>
      </c>
      <c r="BT85" s="121"/>
    </row>
    <row r="86" spans="52:74">
      <c r="BC86" s="100">
        <f>+BC87-1</f>
        <v>0.10000000000000009</v>
      </c>
      <c r="BD86" s="100">
        <f t="shared" ref="BD86" si="103">+BD87-1</f>
        <v>5.0000000000000044E-2</v>
      </c>
      <c r="BE86" s="100">
        <f t="shared" ref="BE86" si="104">+BE87-1</f>
        <v>5.0000000000000044E-2</v>
      </c>
      <c r="BF86" s="100">
        <f t="shared" ref="BF86" si="105">+BF87-1</f>
        <v>5.0000000000000044E-2</v>
      </c>
      <c r="BI86" s="105">
        <f>+BI85/BB81</f>
        <v>0.06</v>
      </c>
      <c r="BJ86" s="105">
        <f>+BJ85/BC81</f>
        <v>0.06</v>
      </c>
      <c r="BK86" s="105">
        <f>+BK85/BD81</f>
        <v>0.06</v>
      </c>
      <c r="BL86" s="105">
        <f>+BL85/BE81</f>
        <v>0.06</v>
      </c>
      <c r="BM86" s="105">
        <f>+BM85/BF81</f>
        <v>0.06</v>
      </c>
    </row>
    <row r="87" spans="52:74">
      <c r="BC87" s="101">
        <v>1.1000000000000001</v>
      </c>
      <c r="BD87" s="101">
        <v>1.05</v>
      </c>
      <c r="BE87" s="101">
        <v>1.05</v>
      </c>
      <c r="BF87" s="101">
        <v>1.05</v>
      </c>
    </row>
    <row r="88" spans="52:74">
      <c r="BA88" s="4"/>
      <c r="BB88" s="90" t="s">
        <v>288</v>
      </c>
      <c r="BC88" s="90" t="s">
        <v>10</v>
      </c>
      <c r="BD88" s="90" t="s">
        <v>11</v>
      </c>
      <c r="BE88" s="90" t="s">
        <v>12</v>
      </c>
      <c r="BF88" s="90" t="s">
        <v>13</v>
      </c>
      <c r="BH88" s="103"/>
      <c r="BI88" s="104" t="s">
        <v>288</v>
      </c>
      <c r="BJ88" s="104" t="s">
        <v>10</v>
      </c>
      <c r="BK88" s="104" t="s">
        <v>11</v>
      </c>
      <c r="BL88" s="104" t="s">
        <v>12</v>
      </c>
      <c r="BM88" s="104" t="s">
        <v>13</v>
      </c>
    </row>
    <row r="89" spans="52:74">
      <c r="BA89" s="94" t="s">
        <v>305</v>
      </c>
      <c r="BB89" s="89">
        <f>+BB80</f>
        <v>12</v>
      </c>
      <c r="BC89" s="89">
        <f>+BC80</f>
        <v>12</v>
      </c>
      <c r="BD89" s="89">
        <f>+BD80</f>
        <v>12</v>
      </c>
      <c r="BE89" s="89">
        <f>+BE80</f>
        <v>12</v>
      </c>
      <c r="BF89" s="89">
        <f>+BF80</f>
        <v>12</v>
      </c>
      <c r="BH89" s="94" t="s">
        <v>297</v>
      </c>
      <c r="BI89" s="89">
        <v>0</v>
      </c>
      <c r="BJ89" s="89">
        <f>+BI89</f>
        <v>0</v>
      </c>
      <c r="BK89" s="89">
        <f t="shared" ref="BK89" si="106">+BJ89</f>
        <v>0</v>
      </c>
      <c r="BL89" s="89">
        <f t="shared" ref="BL89" si="107">+BK89</f>
        <v>0</v>
      </c>
      <c r="BM89" s="89">
        <f t="shared" ref="BM89" si="108">+BL89</f>
        <v>0</v>
      </c>
    </row>
    <row r="90" spans="52:74">
      <c r="BA90" s="73" t="s">
        <v>306</v>
      </c>
      <c r="BB90" s="91">
        <v>15000000</v>
      </c>
      <c r="BC90" s="58">
        <f>+BB90*BC87</f>
        <v>16500000.000000002</v>
      </c>
      <c r="BD90" s="58">
        <f t="shared" ref="BD90:BF90" si="109">+BC90*BD87</f>
        <v>17325000.000000004</v>
      </c>
      <c r="BE90" s="58">
        <f t="shared" si="109"/>
        <v>18191250.000000004</v>
      </c>
      <c r="BF90" s="58">
        <f t="shared" si="109"/>
        <v>19100812.500000004</v>
      </c>
      <c r="BH90" s="73" t="s">
        <v>298</v>
      </c>
      <c r="BI90" s="91">
        <f>+BC4</f>
        <v>1774800</v>
      </c>
      <c r="BJ90" s="58">
        <f>+BI90*BJ50</f>
        <v>1845792</v>
      </c>
      <c r="BK90" s="58">
        <f t="shared" ref="BK90:BM90" si="110">+BJ90*BK50</f>
        <v>1919623.6800000002</v>
      </c>
      <c r="BL90" s="58">
        <f t="shared" si="110"/>
        <v>1996408.6272000002</v>
      </c>
      <c r="BM90" s="58">
        <f t="shared" si="110"/>
        <v>2076264.9722880004</v>
      </c>
      <c r="BU90" t="s">
        <v>49</v>
      </c>
    </row>
    <row r="91" spans="52:74">
      <c r="BA91" t="s">
        <v>301</v>
      </c>
      <c r="BB91" s="2">
        <v>0.2</v>
      </c>
      <c r="BC91" s="2">
        <v>0.2</v>
      </c>
      <c r="BD91" s="2">
        <v>0.2</v>
      </c>
      <c r="BE91" s="2">
        <v>0.2</v>
      </c>
      <c r="BF91" s="2">
        <v>0.2</v>
      </c>
      <c r="BH91" t="s">
        <v>293</v>
      </c>
      <c r="BI91" s="58">
        <f>+BI89*BI90</f>
        <v>0</v>
      </c>
      <c r="BJ91" s="58">
        <f t="shared" ref="BJ91" si="111">+BJ89*BJ90</f>
        <v>0</v>
      </c>
      <c r="BK91" s="58">
        <f t="shared" ref="BK91" si="112">+BK89*BK90</f>
        <v>0</v>
      </c>
      <c r="BL91" s="58">
        <f t="shared" ref="BL91" si="113">+BL89*BL90</f>
        <v>0</v>
      </c>
      <c r="BM91" s="58">
        <f t="shared" ref="BM91" si="114">+BM89*BM90</f>
        <v>0</v>
      </c>
      <c r="BV91" t="s">
        <v>51</v>
      </c>
    </row>
    <row r="92" spans="52:74">
      <c r="BA92" t="s">
        <v>302</v>
      </c>
      <c r="BB92" s="58">
        <f>+BB90*BB91</f>
        <v>3000000</v>
      </c>
      <c r="BC92" s="58">
        <f t="shared" ref="BC92" si="115">+BC90*BC91</f>
        <v>3300000.0000000005</v>
      </c>
      <c r="BD92" s="58">
        <f t="shared" ref="BD92" si="116">+BD90*BD91</f>
        <v>3465000.0000000009</v>
      </c>
      <c r="BE92" s="58">
        <f t="shared" ref="BE92" si="117">+BE90*BE91</f>
        <v>3638250.0000000009</v>
      </c>
      <c r="BF92" s="58">
        <f t="shared" ref="BF92" si="118">+BF90*BF91</f>
        <v>3820162.5000000009</v>
      </c>
      <c r="BU92" s="204" t="s">
        <v>52</v>
      </c>
      <c r="BV92" s="113">
        <v>75295536</v>
      </c>
    </row>
    <row r="93" spans="52:74">
      <c r="BA93" s="4" t="s">
        <v>28</v>
      </c>
      <c r="BB93" s="92">
        <f>+BB89*BB92</f>
        <v>36000000</v>
      </c>
      <c r="BC93" s="92">
        <f t="shared" ref="BC93" si="119">+BC89*BC92</f>
        <v>39600000.000000007</v>
      </c>
      <c r="BD93" s="92">
        <f t="shared" ref="BD93" si="120">+BD89*BD92</f>
        <v>41580000.000000015</v>
      </c>
      <c r="BE93" s="92">
        <f t="shared" ref="BE93" si="121">+BE89*BE92</f>
        <v>43659000.000000015</v>
      </c>
      <c r="BF93" s="92">
        <f t="shared" ref="BF93" si="122">+BF89*BF92</f>
        <v>45841950.000000015</v>
      </c>
      <c r="BH93" s="4" t="s">
        <v>294</v>
      </c>
      <c r="BI93" s="92">
        <f>+BI91*12</f>
        <v>0</v>
      </c>
      <c r="BJ93" s="92">
        <f>+BJ91*12</f>
        <v>0</v>
      </c>
      <c r="BK93" s="92">
        <f>+BK91*12</f>
        <v>0</v>
      </c>
      <c r="BL93" s="92">
        <f>+BL91*12</f>
        <v>0</v>
      </c>
      <c r="BM93" s="92">
        <f>+BM91*12</f>
        <v>0</v>
      </c>
      <c r="BO93" s="110">
        <f>+BB93-BI93</f>
        <v>36000000</v>
      </c>
      <c r="BP93" s="110">
        <f t="shared" ref="BP93" si="123">+BC93-BJ93</f>
        <v>39600000.000000007</v>
      </c>
      <c r="BQ93" s="110">
        <f t="shared" ref="BQ93" si="124">+BD93-BK93</f>
        <v>41580000.000000015</v>
      </c>
      <c r="BR93" s="110">
        <f t="shared" ref="BR93" si="125">+BE93-BL93</f>
        <v>43659000.000000015</v>
      </c>
      <c r="BS93" s="110">
        <f t="shared" ref="BS93" si="126">+BF93-BM93</f>
        <v>45841950.000000015</v>
      </c>
      <c r="BT93" s="109"/>
      <c r="BV93" s="86"/>
    </row>
    <row r="94" spans="52:74">
      <c r="BI94" s="98">
        <f>+BI93/BB93</f>
        <v>0</v>
      </c>
      <c r="BJ94" s="98">
        <f>+BJ93/BC93</f>
        <v>0</v>
      </c>
      <c r="BK94" s="98">
        <f>+BK93/BD93</f>
        <v>0</v>
      </c>
      <c r="BL94" s="98">
        <f>+BL93/BE93</f>
        <v>0</v>
      </c>
      <c r="BM94" s="98">
        <f>+BM93/BF93</f>
        <v>0</v>
      </c>
      <c r="BO94" s="105">
        <f>+BO93/BB93</f>
        <v>1</v>
      </c>
      <c r="BP94" s="105">
        <f t="shared" ref="BP94" si="127">+BP93/BC93</f>
        <v>1</v>
      </c>
      <c r="BQ94" s="105">
        <f t="shared" ref="BQ94" si="128">+BQ93/BD93</f>
        <v>1</v>
      </c>
      <c r="BR94" s="105">
        <f t="shared" ref="BR94" si="129">+BR93/BE93</f>
        <v>1</v>
      </c>
      <c r="BS94" s="105">
        <f t="shared" ref="BS94" si="130">+BS93/BF93</f>
        <v>1</v>
      </c>
      <c r="BT94" s="121"/>
      <c r="BU94" s="203" t="s">
        <v>55</v>
      </c>
      <c r="BV94" s="202">
        <v>185037720</v>
      </c>
    </row>
    <row r="95" spans="52:74">
      <c r="BC95" s="100">
        <f>+BC96-1</f>
        <v>0.10000000000000009</v>
      </c>
      <c r="BD95" s="100">
        <f t="shared" ref="BD95" si="131">+BD96-1</f>
        <v>0.10000000000000009</v>
      </c>
      <c r="BE95" s="100">
        <f t="shared" ref="BE95" si="132">+BE96-1</f>
        <v>0.10000000000000009</v>
      </c>
      <c r="BF95" s="100">
        <f t="shared" ref="BF95" si="133">+BF96-1</f>
        <v>0.10000000000000009</v>
      </c>
      <c r="BV95" s="86"/>
    </row>
    <row r="96" spans="52:74">
      <c r="BC96" s="101">
        <v>1.1000000000000001</v>
      </c>
      <c r="BD96" s="101">
        <v>1.1000000000000001</v>
      </c>
      <c r="BE96" s="101">
        <v>1.1000000000000001</v>
      </c>
      <c r="BF96" s="101">
        <v>1.1000000000000001</v>
      </c>
      <c r="BU96" s="205" t="s">
        <v>58</v>
      </c>
      <c r="BV96" s="206">
        <v>148030176</v>
      </c>
    </row>
    <row r="97" spans="53:82">
      <c r="BA97" s="4"/>
      <c r="BB97" s="90" t="s">
        <v>288</v>
      </c>
      <c r="BC97" s="90" t="s">
        <v>10</v>
      </c>
      <c r="BD97" s="90" t="s">
        <v>11</v>
      </c>
      <c r="BE97" s="90" t="s">
        <v>12</v>
      </c>
      <c r="BF97" s="90" t="s">
        <v>13</v>
      </c>
      <c r="BH97" s="103"/>
      <c r="BI97" s="104" t="s">
        <v>288</v>
      </c>
      <c r="BJ97" s="104" t="s">
        <v>10</v>
      </c>
      <c r="BK97" s="104" t="s">
        <v>11</v>
      </c>
      <c r="BL97" s="104" t="s">
        <v>12</v>
      </c>
      <c r="BM97" s="104" t="s">
        <v>13</v>
      </c>
      <c r="BU97" t="s">
        <v>60</v>
      </c>
      <c r="BV97" s="201">
        <v>408363432</v>
      </c>
    </row>
    <row r="98" spans="53:82">
      <c r="BA98" s="94" t="s">
        <v>307</v>
      </c>
      <c r="BB98" s="89">
        <v>12</v>
      </c>
      <c r="BC98" s="89">
        <v>12</v>
      </c>
      <c r="BD98" s="89">
        <v>12</v>
      </c>
      <c r="BE98" s="89">
        <v>12</v>
      </c>
      <c r="BF98" s="89">
        <v>12</v>
      </c>
      <c r="BH98" s="94" t="s">
        <v>297</v>
      </c>
      <c r="BI98" s="89">
        <v>1</v>
      </c>
      <c r="BJ98" s="89">
        <f>+BI98</f>
        <v>1</v>
      </c>
      <c r="BK98" s="89">
        <f t="shared" ref="BK98" si="134">+BJ98</f>
        <v>1</v>
      </c>
      <c r="BL98" s="89">
        <f t="shared" ref="BL98" si="135">+BK98</f>
        <v>1</v>
      </c>
      <c r="BM98" s="89">
        <f t="shared" ref="BM98" si="136">+BL98</f>
        <v>1</v>
      </c>
      <c r="BV98" s="86"/>
    </row>
    <row r="99" spans="53:82">
      <c r="BA99" s="73" t="s">
        <v>308</v>
      </c>
      <c r="BB99" s="91">
        <v>1000000</v>
      </c>
      <c r="BC99" s="58">
        <f>+BB99*BC96</f>
        <v>1100000</v>
      </c>
      <c r="BD99" s="58">
        <f>+BC99*BD96</f>
        <v>1210000</v>
      </c>
      <c r="BE99" s="58">
        <f>+BD99*BE96</f>
        <v>1331000</v>
      </c>
      <c r="BF99" s="58">
        <f>+BE99*BF96</f>
        <v>1464100.0000000002</v>
      </c>
      <c r="BH99" s="73" t="s">
        <v>298</v>
      </c>
      <c r="BI99" s="91">
        <f>+BC5</f>
        <v>3060000</v>
      </c>
      <c r="BJ99" s="58">
        <f>+BI99*BJ50</f>
        <v>3182400</v>
      </c>
      <c r="BK99" s="58">
        <f t="shared" ref="BK99:BM99" si="137">+BJ99*BK50</f>
        <v>3309696</v>
      </c>
      <c r="BL99" s="58">
        <f t="shared" si="137"/>
        <v>3442083.8400000003</v>
      </c>
      <c r="BM99" s="58">
        <f t="shared" si="137"/>
        <v>3579767.1936000003</v>
      </c>
    </row>
    <row r="100" spans="53:82">
      <c r="BA100" s="73" t="s">
        <v>308</v>
      </c>
      <c r="BB100" s="93">
        <v>10</v>
      </c>
      <c r="BC100" s="68">
        <v>10</v>
      </c>
      <c r="BD100" s="68">
        <v>10</v>
      </c>
      <c r="BE100" s="68">
        <v>10</v>
      </c>
      <c r="BF100" s="68">
        <v>10</v>
      </c>
      <c r="BH100" t="s">
        <v>293</v>
      </c>
      <c r="BI100" s="58">
        <f>+BI98*BI99</f>
        <v>3060000</v>
      </c>
      <c r="BJ100" s="58">
        <f t="shared" ref="BJ100" si="138">+BJ98*BJ99</f>
        <v>3182400</v>
      </c>
      <c r="BK100" s="58">
        <f t="shared" ref="BK100" si="139">+BK98*BK99</f>
        <v>3309696</v>
      </c>
      <c r="BL100" s="58">
        <f t="shared" ref="BL100" si="140">+BL98*BL99</f>
        <v>3442083.8400000003</v>
      </c>
      <c r="BM100" s="58">
        <f t="shared" ref="BM100" si="141">+BM98*BM99</f>
        <v>3579767.1936000003</v>
      </c>
    </row>
    <row r="101" spans="53:82">
      <c r="BA101" s="73" t="s">
        <v>293</v>
      </c>
      <c r="BB101" s="68">
        <f>+BB99*BB100</f>
        <v>10000000</v>
      </c>
      <c r="BC101" s="68">
        <f t="shared" ref="BC101:BF101" si="142">+BC99*BC100</f>
        <v>11000000</v>
      </c>
      <c r="BD101" s="68">
        <f t="shared" si="142"/>
        <v>12100000</v>
      </c>
      <c r="BE101" s="68">
        <f t="shared" si="142"/>
        <v>13310000</v>
      </c>
      <c r="BF101" s="68">
        <f t="shared" si="142"/>
        <v>14641000.000000002</v>
      </c>
    </row>
    <row r="102" spans="53:82">
      <c r="BA102" s="4" t="s">
        <v>294</v>
      </c>
      <c r="BB102" s="92">
        <f>+BB101*BB98</f>
        <v>120000000</v>
      </c>
      <c r="BC102" s="92">
        <f t="shared" ref="BC102:BF102" si="143">+BC101*BC98</f>
        <v>132000000</v>
      </c>
      <c r="BD102" s="92">
        <f t="shared" si="143"/>
        <v>145200000</v>
      </c>
      <c r="BE102" s="92">
        <f t="shared" si="143"/>
        <v>159720000</v>
      </c>
      <c r="BF102" s="92">
        <f t="shared" si="143"/>
        <v>175692000.00000003</v>
      </c>
      <c r="BH102" s="4" t="s">
        <v>294</v>
      </c>
      <c r="BI102" s="92">
        <f>+BI100*12</f>
        <v>36720000</v>
      </c>
      <c r="BJ102" s="92">
        <f>+BJ100*12</f>
        <v>38188800</v>
      </c>
      <c r="BK102" s="92">
        <f>+BK100*12</f>
        <v>39716352</v>
      </c>
      <c r="BL102" s="92">
        <f>+BL100*12</f>
        <v>41305006.080000006</v>
      </c>
      <c r="BM102" s="92">
        <f>+BM100*12</f>
        <v>42957206.323200002</v>
      </c>
      <c r="BO102" s="110">
        <f>+BB102-BI102</f>
        <v>83280000</v>
      </c>
      <c r="BP102" s="110">
        <f>+BC102-BJ102</f>
        <v>93811200</v>
      </c>
      <c r="BQ102" s="110">
        <f>+BD102-BK102</f>
        <v>105483648</v>
      </c>
      <c r="BR102" s="110">
        <f>+BE102-BL102</f>
        <v>118414993.91999999</v>
      </c>
      <c r="BS102" s="110">
        <f>+BF102-BM102</f>
        <v>132734793.67680003</v>
      </c>
      <c r="BT102" s="109"/>
    </row>
    <row r="103" spans="53:82">
      <c r="BI103" s="98">
        <f>+BI102/BB102</f>
        <v>0.30599999999999999</v>
      </c>
      <c r="BJ103" s="98">
        <f>+BJ102/BC102</f>
        <v>0.2893090909090909</v>
      </c>
      <c r="BK103" s="98">
        <f>+BK102/BD102</f>
        <v>0.27352859504132232</v>
      </c>
      <c r="BL103" s="98">
        <f>+BL102/BE102</f>
        <v>0.25860885349361384</v>
      </c>
      <c r="BM103" s="98">
        <f>+BM102/BF102</f>
        <v>0.24450291603032576</v>
      </c>
      <c r="BO103" s="105">
        <f>+BO102/BB102</f>
        <v>0.69399999999999995</v>
      </c>
      <c r="BP103" s="105">
        <f t="shared" ref="BP103" si="144">+BP102/BC102</f>
        <v>0.71069090909090904</v>
      </c>
      <c r="BQ103" s="105">
        <f t="shared" ref="BQ103" si="145">+BQ102/BD102</f>
        <v>0.72647140495867768</v>
      </c>
      <c r="BR103" s="105">
        <f t="shared" ref="BR103" si="146">+BR102/BE102</f>
        <v>0.74139114650638605</v>
      </c>
      <c r="BS103" s="105">
        <f t="shared" ref="BS103" si="147">+BS102/BF102</f>
        <v>0.75549708396967419</v>
      </c>
      <c r="BT103" s="121"/>
    </row>
    <row r="104" spans="53:82">
      <c r="BX104" s="120"/>
      <c r="BY104" s="101">
        <v>1.04</v>
      </c>
      <c r="BZ104" s="101">
        <v>1.04</v>
      </c>
      <c r="CA104" s="101">
        <v>1.04</v>
      </c>
      <c r="CB104" s="101">
        <v>1.04</v>
      </c>
    </row>
    <row r="105" spans="53:82">
      <c r="BA105" s="106"/>
      <c r="BB105" s="107" t="s">
        <v>288</v>
      </c>
      <c r="BC105" s="107" t="s">
        <v>10</v>
      </c>
      <c r="BD105" s="107" t="s">
        <v>11</v>
      </c>
      <c r="BE105" s="107" t="s">
        <v>12</v>
      </c>
      <c r="BF105" s="107" t="s">
        <v>13</v>
      </c>
      <c r="BH105" s="103"/>
      <c r="BI105" s="104" t="s">
        <v>288</v>
      </c>
      <c r="BJ105" s="104" t="s">
        <v>10</v>
      </c>
      <c r="BK105" s="104" t="s">
        <v>11</v>
      </c>
      <c r="BL105" s="104" t="s">
        <v>12</v>
      </c>
      <c r="BM105" s="104" t="s">
        <v>13</v>
      </c>
      <c r="BV105" s="112" t="s">
        <v>183</v>
      </c>
      <c r="BW105" s="112" t="s">
        <v>19</v>
      </c>
      <c r="BX105" s="112" t="s">
        <v>288</v>
      </c>
      <c r="BY105" s="112" t="s">
        <v>10</v>
      </c>
      <c r="BZ105" s="112" t="s">
        <v>11</v>
      </c>
      <c r="CA105" s="112" t="s">
        <v>12</v>
      </c>
      <c r="CB105" s="112" t="s">
        <v>13</v>
      </c>
    </row>
    <row r="106" spans="53:82">
      <c r="BA106" t="s">
        <v>293</v>
      </c>
      <c r="BB106" s="58">
        <f>+BB107/12</f>
        <v>61710000</v>
      </c>
      <c r="BC106" s="58">
        <f t="shared" ref="BC106:BF106" si="148">+BC107/12</f>
        <v>68244000</v>
      </c>
      <c r="BD106" s="58">
        <f t="shared" si="148"/>
        <v>74903400.000000015</v>
      </c>
      <c r="BE106" s="58">
        <f t="shared" si="148"/>
        <v>82220490.000000015</v>
      </c>
      <c r="BF106" s="58">
        <f t="shared" si="148"/>
        <v>90260626.500000045</v>
      </c>
      <c r="BH106" t="s">
        <v>293</v>
      </c>
      <c r="BI106" s="58">
        <f>+BI107/12</f>
        <v>8909600</v>
      </c>
      <c r="BJ106" s="58">
        <f t="shared" ref="BJ106:BM106" si="149">+BJ107/12</f>
        <v>9403984</v>
      </c>
      <c r="BK106" s="58">
        <f t="shared" si="149"/>
        <v>9931943.3600000013</v>
      </c>
      <c r="BL106" s="58">
        <f t="shared" si="149"/>
        <v>10496201.094400004</v>
      </c>
      <c r="BM106" s="58">
        <f t="shared" si="149"/>
        <v>11099727.138176003</v>
      </c>
      <c r="BT106">
        <v>1</v>
      </c>
      <c r="BU106" t="s">
        <v>309</v>
      </c>
      <c r="BV106" s="86">
        <f>5000000*1.55</f>
        <v>7750000</v>
      </c>
      <c r="BW106" s="118">
        <f>+BV106*12</f>
        <v>93000000</v>
      </c>
      <c r="BX106" s="202">
        <f>+BW106</f>
        <v>93000000</v>
      </c>
      <c r="BY106" s="86">
        <f>+BX106*BY104</f>
        <v>96720000</v>
      </c>
      <c r="BZ106" s="86">
        <f t="shared" ref="BZ106:CB106" si="150">+BY106*BZ104</f>
        <v>100588800</v>
      </c>
      <c r="CA106" s="86">
        <f t="shared" si="150"/>
        <v>104612352</v>
      </c>
      <c r="CB106" s="86">
        <f t="shared" si="150"/>
        <v>108796846.08</v>
      </c>
      <c r="CC106" t="s">
        <v>310</v>
      </c>
      <c r="CD106">
        <v>1</v>
      </c>
    </row>
    <row r="107" spans="53:82">
      <c r="BA107" t="s">
        <v>294</v>
      </c>
      <c r="BB107" s="58">
        <f>+BB55+BB64+BB75+BB84+BB93+BB102</f>
        <v>740520000</v>
      </c>
      <c r="BC107" s="58">
        <f t="shared" ref="BC107:BF107" si="151">+BC55+BC64+BC75+BC84+BC93+BC102</f>
        <v>818928000</v>
      </c>
      <c r="BD107" s="58">
        <f t="shared" si="151"/>
        <v>898840800.00000012</v>
      </c>
      <c r="BE107" s="58">
        <f t="shared" si="151"/>
        <v>986645880.00000024</v>
      </c>
      <c r="BF107" s="58">
        <f t="shared" si="151"/>
        <v>1083127518.0000005</v>
      </c>
      <c r="BH107" t="s">
        <v>294</v>
      </c>
      <c r="BI107" s="58">
        <f>+BI55+BI64+BI75+BI84+BI93+BI102</f>
        <v>106915200</v>
      </c>
      <c r="BJ107" s="58">
        <f t="shared" ref="BJ107:BM107" si="152">+BJ55+BJ64+BJ75+BJ84+BJ93+BJ102</f>
        <v>112847808</v>
      </c>
      <c r="BK107" s="58">
        <f t="shared" si="152"/>
        <v>119183320.32000002</v>
      </c>
      <c r="BL107" s="58">
        <f t="shared" si="152"/>
        <v>125954413.13280004</v>
      </c>
      <c r="BM107" s="58">
        <f t="shared" si="152"/>
        <v>133196725.65811203</v>
      </c>
      <c r="BT107">
        <v>1</v>
      </c>
      <c r="BU107" t="s">
        <v>311</v>
      </c>
      <c r="BV107" s="95">
        <f>+BV106</f>
        <v>7750000</v>
      </c>
      <c r="BW107" s="118">
        <f>+BV107*12</f>
        <v>93000000</v>
      </c>
      <c r="BX107" s="202">
        <f>+BW107</f>
        <v>93000000</v>
      </c>
      <c r="BY107" s="86">
        <f>+BX107*BY104</f>
        <v>96720000</v>
      </c>
      <c r="BZ107" s="86">
        <f>+BY107*BZ104</f>
        <v>100588800</v>
      </c>
      <c r="CA107" s="86">
        <f>+BZ107*CA104</f>
        <v>104612352</v>
      </c>
      <c r="CB107" s="86">
        <f>+CA107*CB104</f>
        <v>108796846.08</v>
      </c>
      <c r="CC107" t="s">
        <v>310</v>
      </c>
      <c r="CD107">
        <v>1</v>
      </c>
    </row>
    <row r="108" spans="53:82">
      <c r="BB108" s="102">
        <f>+'1. Ventas y Premisas'!B32</f>
        <v>1248000000</v>
      </c>
      <c r="BC108" s="102">
        <f>+'1. Ventas y Premisas'!C32</f>
        <v>1323878400</v>
      </c>
      <c r="BD108" s="102">
        <f>+'1. Ventas y Premisas'!D32</f>
        <v>1404370206.72</v>
      </c>
      <c r="BE108" s="102">
        <f>+'1. Ventas y Premisas'!E32</f>
        <v>1489755915.2885759</v>
      </c>
      <c r="BF108" s="102">
        <f>+'1. Ventas y Premisas'!F32</f>
        <v>1580333074.9381216</v>
      </c>
      <c r="BI108" s="102">
        <f>+'1. Ventas y Premisas'!B33</f>
        <v>120000000</v>
      </c>
      <c r="BJ108" s="102">
        <f>+'1. Ventas y Premisas'!C33</f>
        <v>122400000</v>
      </c>
      <c r="BK108" s="102">
        <f>+'1. Ventas y Premisas'!D33</f>
        <v>124848000</v>
      </c>
      <c r="BL108" s="102">
        <f>+'1. Ventas y Premisas'!E33</f>
        <v>127344959.99999999</v>
      </c>
      <c r="BM108" s="102">
        <f>+'1. Ventas y Premisas'!F33</f>
        <v>129891859.2</v>
      </c>
      <c r="BO108" s="110">
        <f>+BB108-BI108</f>
        <v>1128000000</v>
      </c>
      <c r="BP108" s="110">
        <f>+BC108-BJ108</f>
        <v>1201478400</v>
      </c>
      <c r="BQ108" s="110">
        <f>+BD108-BK108</f>
        <v>1279522206.72</v>
      </c>
      <c r="BR108" s="110">
        <f>+BE108-BL108</f>
        <v>1362410955.2885759</v>
      </c>
      <c r="BS108" s="110">
        <f>+BF108-BM108</f>
        <v>1450441215.7381215</v>
      </c>
      <c r="BT108">
        <v>1</v>
      </c>
      <c r="BU108" t="s">
        <v>312</v>
      </c>
      <c r="BV108" s="86">
        <f>3000000*1.55</f>
        <v>4650000</v>
      </c>
      <c r="BW108" s="86">
        <f t="shared" ref="BW108:BW114" si="153">+BV108*12</f>
        <v>55800000</v>
      </c>
      <c r="BX108" s="113">
        <f>+BV108*4</f>
        <v>18600000</v>
      </c>
      <c r="BY108" s="113">
        <f>+BV108*BY104*4</f>
        <v>19344000</v>
      </c>
      <c r="BZ108" s="86">
        <f>+BW108*BZ104</f>
        <v>58032000</v>
      </c>
      <c r="CA108" s="86">
        <f>+BZ108*CA104</f>
        <v>60353280</v>
      </c>
      <c r="CB108" s="86">
        <f>+CA108*CB104</f>
        <v>62767411.200000003</v>
      </c>
      <c r="CC108" t="s">
        <v>313</v>
      </c>
      <c r="CD108">
        <v>1</v>
      </c>
    </row>
    <row r="109" spans="53:82">
      <c r="BB109" s="58">
        <f>+BB107-BB108</f>
        <v>-507480000</v>
      </c>
      <c r="BC109" s="58">
        <f t="shared" ref="BC109:BF109" si="154">+BC107-BC108</f>
        <v>-504950400</v>
      </c>
      <c r="BD109" s="58">
        <f t="shared" si="154"/>
        <v>-505529406.71999991</v>
      </c>
      <c r="BE109" s="58">
        <f t="shared" si="154"/>
        <v>-503110035.28857565</v>
      </c>
      <c r="BF109" s="58">
        <f t="shared" si="154"/>
        <v>-497205556.93812108</v>
      </c>
      <c r="BI109" s="58">
        <f>+BI107-BI108</f>
        <v>-13084800</v>
      </c>
      <c r="BJ109" s="58">
        <f t="shared" ref="BJ109:BM109" si="155">+BJ107-BJ108</f>
        <v>-9552192</v>
      </c>
      <c r="BK109" s="58">
        <f t="shared" si="155"/>
        <v>-5664679.6799999774</v>
      </c>
      <c r="BL109" s="58">
        <f t="shared" si="155"/>
        <v>-1390546.8671999425</v>
      </c>
      <c r="BM109" s="58">
        <f t="shared" si="155"/>
        <v>3304866.4581120312</v>
      </c>
      <c r="BO109" s="105">
        <f>+BO108/BB108</f>
        <v>0.90384615384615385</v>
      </c>
      <c r="BP109" s="105">
        <f t="shared" ref="BP109" si="156">+BP108/BC108</f>
        <v>0.90754437869822491</v>
      </c>
      <c r="BQ109" s="105">
        <f t="shared" ref="BQ109" si="157">+BQ108/BD108</f>
        <v>0.91110036413290851</v>
      </c>
      <c r="BR109" s="105">
        <f t="shared" ref="BR109" si="158">+BR108/BE108</f>
        <v>0.91451958089702745</v>
      </c>
      <c r="BS109" s="105">
        <f t="shared" ref="BS109" si="159">+BS108/BF108</f>
        <v>0.91780728932406475</v>
      </c>
      <c r="BT109">
        <v>1</v>
      </c>
      <c r="BU109" t="s">
        <v>314</v>
      </c>
      <c r="BV109" s="86">
        <f t="shared" ref="BV109:BV113" si="160">3000000*1.55</f>
        <v>4650000</v>
      </c>
      <c r="BW109" s="86">
        <f t="shared" si="153"/>
        <v>55800000</v>
      </c>
      <c r="BX109" s="113">
        <f>+BW109</f>
        <v>55800000</v>
      </c>
      <c r="BY109" s="86">
        <f>+BW109*BY104</f>
        <v>58032000</v>
      </c>
      <c r="BZ109" s="86">
        <f>+BY109*BZ104</f>
        <v>60353280</v>
      </c>
      <c r="CA109" s="86">
        <f>+BZ109*CA104</f>
        <v>62767411.200000003</v>
      </c>
      <c r="CB109" s="86">
        <f>+CA109*CB104</f>
        <v>65278107.648000002</v>
      </c>
      <c r="CC109" t="s">
        <v>313</v>
      </c>
      <c r="CD109">
        <v>1</v>
      </c>
    </row>
    <row r="110" spans="53:82">
      <c r="BB110" s="58"/>
      <c r="BC110" s="58"/>
      <c r="BD110" s="58"/>
      <c r="BE110" s="58"/>
      <c r="BF110" s="58"/>
      <c r="BI110" s="58"/>
      <c r="BJ110" s="58"/>
      <c r="BK110" s="58"/>
      <c r="BL110" s="58"/>
      <c r="BM110" s="58"/>
      <c r="BO110" s="105"/>
      <c r="BP110" s="105"/>
      <c r="BQ110" s="105"/>
      <c r="BR110" s="105"/>
      <c r="BS110" s="105"/>
      <c r="BT110">
        <v>1</v>
      </c>
      <c r="BU110" t="s">
        <v>315</v>
      </c>
      <c r="BV110" s="86"/>
      <c r="BW110" s="86"/>
      <c r="BX110" s="118"/>
      <c r="BY110" s="86"/>
      <c r="BZ110" s="86"/>
      <c r="CA110" s="86"/>
      <c r="CB110" s="86"/>
    </row>
    <row r="111" spans="53:82">
      <c r="BT111">
        <v>1</v>
      </c>
      <c r="BU111" s="117" t="s">
        <v>316</v>
      </c>
      <c r="BV111" s="86">
        <f t="shared" si="160"/>
        <v>4650000</v>
      </c>
      <c r="BW111" s="86">
        <f t="shared" si="153"/>
        <v>55800000</v>
      </c>
      <c r="BX111" s="206">
        <f>+BV111*4</f>
        <v>18600000</v>
      </c>
      <c r="BY111" s="113">
        <f>+BV111*BY104*4</f>
        <v>19344000</v>
      </c>
      <c r="BZ111" s="86">
        <f>+BW111*BZ104</f>
        <v>58032000</v>
      </c>
      <c r="CA111" s="86">
        <f>+BZ111*CA104</f>
        <v>60353280</v>
      </c>
      <c r="CB111" s="86">
        <f>+CA111*CB104</f>
        <v>62767411.200000003</v>
      </c>
      <c r="CC111" t="s">
        <v>317</v>
      </c>
      <c r="CD111">
        <v>1</v>
      </c>
    </row>
    <row r="112" spans="53:82">
      <c r="BT112">
        <v>1</v>
      </c>
      <c r="BU112" s="117" t="s">
        <v>318</v>
      </c>
      <c r="BV112" s="86">
        <f t="shared" si="160"/>
        <v>4650000</v>
      </c>
      <c r="BW112" s="86">
        <f t="shared" si="153"/>
        <v>55800000</v>
      </c>
      <c r="BX112" s="206">
        <f>+BV112*4</f>
        <v>18600000</v>
      </c>
      <c r="BY112" s="113">
        <f>+BV112*BY104*4</f>
        <v>19344000</v>
      </c>
      <c r="BZ112" s="86">
        <f>+BW112*BZ104</f>
        <v>58032000</v>
      </c>
      <c r="CA112" s="86">
        <f>+BZ112*CA104</f>
        <v>60353280</v>
      </c>
      <c r="CB112" s="86">
        <f>+CA112*CB104</f>
        <v>62767411.200000003</v>
      </c>
      <c r="CC112" t="s">
        <v>317</v>
      </c>
      <c r="CD112">
        <v>1</v>
      </c>
    </row>
    <row r="113" spans="59:82">
      <c r="BT113">
        <v>1</v>
      </c>
      <c r="BU113" s="117" t="s">
        <v>319</v>
      </c>
      <c r="BV113" s="86">
        <f t="shared" si="160"/>
        <v>4650000</v>
      </c>
      <c r="BW113" s="86">
        <f t="shared" si="153"/>
        <v>55800000</v>
      </c>
      <c r="BX113" s="206">
        <f t="shared" ref="BX113" si="161">+BW113</f>
        <v>55800000</v>
      </c>
      <c r="BY113" s="86">
        <f>+BX113*BY104</f>
        <v>58032000</v>
      </c>
      <c r="BZ113" s="86">
        <f>+BY113*BZ104</f>
        <v>60353280</v>
      </c>
      <c r="CA113" s="86">
        <f>+BZ113*CA104</f>
        <v>62767411.200000003</v>
      </c>
      <c r="CB113" s="86">
        <f>+CA113*CB104</f>
        <v>65278107.648000002</v>
      </c>
      <c r="CC113" t="s">
        <v>317</v>
      </c>
      <c r="CD113">
        <v>1</v>
      </c>
    </row>
    <row r="114" spans="59:82">
      <c r="BG114" s="2">
        <v>0.03</v>
      </c>
      <c r="BH114" t="s">
        <v>320</v>
      </c>
      <c r="BI114" s="86">
        <f>+BB107*$BG$114</f>
        <v>22215600</v>
      </c>
      <c r="BJ114" s="86">
        <f t="shared" ref="BJ114:BM114" si="162">+BC107*$BG$114</f>
        <v>24567840</v>
      </c>
      <c r="BK114" s="86">
        <f t="shared" si="162"/>
        <v>26965224.000000004</v>
      </c>
      <c r="BL114" s="86">
        <f t="shared" si="162"/>
        <v>29599376.400000006</v>
      </c>
      <c r="BM114" s="86">
        <f t="shared" si="162"/>
        <v>32493825.540000014</v>
      </c>
      <c r="BT114">
        <v>1</v>
      </c>
      <c r="BU114" s="117" t="s">
        <v>321</v>
      </c>
      <c r="BV114" s="86">
        <f>(3000000*1.55)*1</f>
        <v>4650000</v>
      </c>
      <c r="BW114" s="86">
        <f t="shared" si="153"/>
        <v>55800000</v>
      </c>
      <c r="BX114" s="206">
        <f>+(BV114*12)</f>
        <v>55800000</v>
      </c>
      <c r="BY114" s="86">
        <f>+BX114*BY104</f>
        <v>58032000</v>
      </c>
      <c r="BZ114" s="86">
        <f>+BY114*BZ104</f>
        <v>60353280</v>
      </c>
      <c r="CA114" s="86">
        <f>+BZ114*CA104</f>
        <v>62767411.200000003</v>
      </c>
      <c r="CB114" s="86">
        <f>+CA114*CB104</f>
        <v>65278107.648000002</v>
      </c>
      <c r="CC114" t="s">
        <v>317</v>
      </c>
      <c r="CD114">
        <v>1</v>
      </c>
    </row>
    <row r="115" spans="59:82">
      <c r="BT115">
        <f>SUM(BT106:BT114)</f>
        <v>9</v>
      </c>
      <c r="BV115" s="96">
        <f t="shared" ref="BV115:CB115" si="163">SUM(BV106:BV114)</f>
        <v>43400000</v>
      </c>
      <c r="BW115" s="207">
        <f t="shared" si="163"/>
        <v>520800000</v>
      </c>
      <c r="BX115" s="207">
        <f t="shared" si="163"/>
        <v>409200000</v>
      </c>
      <c r="BY115" s="96">
        <f t="shared" si="163"/>
        <v>425568000</v>
      </c>
      <c r="BZ115" s="96">
        <f t="shared" si="163"/>
        <v>556333440</v>
      </c>
      <c r="CA115" s="96">
        <f t="shared" si="163"/>
        <v>578586777.60000002</v>
      </c>
      <c r="CB115" s="96">
        <f t="shared" si="163"/>
        <v>601730248.704</v>
      </c>
    </row>
    <row r="118" spans="59:82">
      <c r="BU118">
        <v>200</v>
      </c>
      <c r="BV118" s="86">
        <v>100000</v>
      </c>
      <c r="BW118" s="95">
        <f>+BU118*BV118</f>
        <v>20000000</v>
      </c>
    </row>
  </sheetData>
  <mergeCells count="39">
    <mergeCell ref="E1:F1"/>
    <mergeCell ref="X3:AA3"/>
    <mergeCell ref="D4:G4"/>
    <mergeCell ref="H4:K4"/>
    <mergeCell ref="L4:O4"/>
    <mergeCell ref="P4:S4"/>
    <mergeCell ref="T4:W4"/>
    <mergeCell ref="X4:AA4"/>
    <mergeCell ref="D3:G3"/>
    <mergeCell ref="H3:K3"/>
    <mergeCell ref="L3:O3"/>
    <mergeCell ref="P3:S3"/>
    <mergeCell ref="T3:W3"/>
    <mergeCell ref="E2:F2"/>
    <mergeCell ref="I2:W2"/>
    <mergeCell ref="G1:H1"/>
    <mergeCell ref="AV3:AY3"/>
    <mergeCell ref="AB4:AE4"/>
    <mergeCell ref="AF4:AI4"/>
    <mergeCell ref="AJ4:AM4"/>
    <mergeCell ref="AV4:AY4"/>
    <mergeCell ref="I37:W37"/>
    <mergeCell ref="AD37:AR37"/>
    <mergeCell ref="AB3:AE3"/>
    <mergeCell ref="AF3:AI3"/>
    <mergeCell ref="AJ3:AM3"/>
    <mergeCell ref="AN4:AQ4"/>
    <mergeCell ref="AR4:AU4"/>
    <mergeCell ref="AN3:AQ3"/>
    <mergeCell ref="AR3:AU3"/>
    <mergeCell ref="G2:H2"/>
    <mergeCell ref="BB1:BF1"/>
    <mergeCell ref="AT2:AU2"/>
    <mergeCell ref="AV2:AW2"/>
    <mergeCell ref="Y1:AB1"/>
    <mergeCell ref="AT1:AW1"/>
    <mergeCell ref="AD2:AR2"/>
    <mergeCell ref="Y2:Z2"/>
    <mergeCell ref="AB2:AC2"/>
  </mergeCells>
  <phoneticPr fontId="17" type="noConversion"/>
  <conditionalFormatting sqref="I8:W8">
    <cfRule type="duplicateValues" dxfId="31" priority="1"/>
  </conditionalFormatting>
  <conditionalFormatting sqref="I9:W9">
    <cfRule type="duplicateValues" dxfId="30" priority="2"/>
  </conditionalFormatting>
  <conditionalFormatting sqref="I10:W10">
    <cfRule type="duplicateValues" dxfId="29" priority="3"/>
  </conditionalFormatting>
  <conditionalFormatting sqref="I11:W11">
    <cfRule type="duplicateValues" dxfId="28" priority="4"/>
  </conditionalFormatting>
  <conditionalFormatting sqref="I12:W12">
    <cfRule type="duplicateValues" dxfId="27" priority="5"/>
  </conditionalFormatting>
  <conditionalFormatting sqref="I13:W13">
    <cfRule type="duplicateValues" dxfId="26" priority="6"/>
  </conditionalFormatting>
  <conditionalFormatting sqref="I14:W14">
    <cfRule type="duplicateValues" dxfId="25" priority="7"/>
  </conditionalFormatting>
  <conditionalFormatting sqref="I15:W15">
    <cfRule type="duplicateValues" dxfId="24" priority="8"/>
  </conditionalFormatting>
  <conditionalFormatting sqref="I16:W16">
    <cfRule type="duplicateValues" dxfId="23" priority="9"/>
  </conditionalFormatting>
  <conditionalFormatting sqref="I17:W17">
    <cfRule type="duplicateValues" dxfId="22" priority="10"/>
  </conditionalFormatting>
  <conditionalFormatting sqref="I18:W18">
    <cfRule type="duplicateValues" dxfId="21" priority="11"/>
  </conditionalFormatting>
  <conditionalFormatting sqref="I19:W19">
    <cfRule type="duplicateValues" dxfId="20" priority="12"/>
  </conditionalFormatting>
  <conditionalFormatting sqref="I20:W20">
    <cfRule type="duplicateValues" dxfId="19" priority="13"/>
  </conditionalFormatting>
  <conditionalFormatting sqref="I21:W21">
    <cfRule type="duplicateValues" dxfId="18" priority="14"/>
  </conditionalFormatting>
  <conditionalFormatting sqref="I22:W22">
    <cfRule type="duplicateValues" dxfId="17" priority="15"/>
  </conditionalFormatting>
  <conditionalFormatting sqref="I23:W23">
    <cfRule type="duplicateValues" dxfId="16" priority="16"/>
  </conditionalFormatting>
  <conditionalFormatting sqref="AD8:AR8 C8">
    <cfRule type="duplicateValues" dxfId="15" priority="126"/>
  </conditionalFormatting>
  <conditionalFormatting sqref="AD9:AR9 C9">
    <cfRule type="duplicateValues" dxfId="14" priority="128"/>
  </conditionalFormatting>
  <conditionalFormatting sqref="AD10:AR10 C10">
    <cfRule type="duplicateValues" dxfId="13" priority="130"/>
  </conditionalFormatting>
  <conditionalFormatting sqref="AD11:AR11 C11">
    <cfRule type="duplicateValues" dxfId="12" priority="132"/>
  </conditionalFormatting>
  <conditionalFormatting sqref="AD12:AR12 C12">
    <cfRule type="duplicateValues" dxfId="11" priority="134"/>
  </conditionalFormatting>
  <conditionalFormatting sqref="AD13:AR13 C13">
    <cfRule type="duplicateValues" dxfId="10" priority="136"/>
  </conditionalFormatting>
  <conditionalFormatting sqref="AD14:AR14 C14">
    <cfRule type="duplicateValues" dxfId="9" priority="138"/>
  </conditionalFormatting>
  <conditionalFormatting sqref="AD15:AR15 C15">
    <cfRule type="duplicateValues" dxfId="8" priority="140"/>
  </conditionalFormatting>
  <conditionalFormatting sqref="AD16:AR16 C16">
    <cfRule type="duplicateValues" dxfId="7" priority="142"/>
  </conditionalFormatting>
  <conditionalFormatting sqref="AD17:AR17 C17">
    <cfRule type="duplicateValues" dxfId="6" priority="144"/>
  </conditionalFormatting>
  <conditionalFormatting sqref="AD18:AR18 C18">
    <cfRule type="duplicateValues" dxfId="5" priority="146"/>
  </conditionalFormatting>
  <conditionalFormatting sqref="AD19:AR19 C19">
    <cfRule type="duplicateValues" dxfId="4" priority="148"/>
  </conditionalFormatting>
  <conditionalFormatting sqref="AD20:AR20 C20">
    <cfRule type="duplicateValues" dxfId="3" priority="150"/>
  </conditionalFormatting>
  <conditionalFormatting sqref="AD21:AR21 C21">
    <cfRule type="duplicateValues" dxfId="2" priority="152"/>
  </conditionalFormatting>
  <conditionalFormatting sqref="AD22:AR22 C22">
    <cfRule type="duplicateValues" dxfId="1" priority="154"/>
  </conditionalFormatting>
  <conditionalFormatting sqref="AD23:AR23 C23">
    <cfRule type="duplicateValues" dxfId="0" priority="156"/>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DE45-F773-4069-9013-FBBBBBEAB15F}">
  <sheetPr codeName="Hoja10"/>
  <dimension ref="B6:K11"/>
  <sheetViews>
    <sheetView showGridLines="0" workbookViewId="0">
      <selection activeCell="F10" sqref="F10"/>
    </sheetView>
  </sheetViews>
  <sheetFormatPr baseColWidth="10" defaultRowHeight="15"/>
  <cols>
    <col min="2" max="3" width="14.5703125" customWidth="1"/>
    <col min="4" max="4" width="2.5703125" customWidth="1"/>
    <col min="5" max="7" width="11.7109375" customWidth="1"/>
    <col min="8" max="8" width="2.5703125" customWidth="1"/>
    <col min="9" max="9" width="9.42578125" customWidth="1"/>
    <col min="10" max="11" width="13.28515625" customWidth="1"/>
  </cols>
  <sheetData>
    <row r="6" spans="2:11" ht="15" customHeight="1">
      <c r="B6" s="513" t="s">
        <v>363</v>
      </c>
      <c r="C6" s="513"/>
      <c r="D6" s="513"/>
      <c r="E6" s="513"/>
      <c r="F6" s="513"/>
      <c r="G6" s="513"/>
      <c r="H6" s="513"/>
      <c r="I6" s="513"/>
      <c r="J6" s="513"/>
      <c r="K6" s="513"/>
    </row>
    <row r="7" spans="2:11">
      <c r="B7" s="513"/>
      <c r="C7" s="513"/>
      <c r="D7" s="513"/>
      <c r="E7" s="513"/>
      <c r="F7" s="513"/>
      <c r="G7" s="513"/>
      <c r="H7" s="513"/>
      <c r="I7" s="513"/>
      <c r="J7" s="513"/>
      <c r="K7" s="513"/>
    </row>
    <row r="8" spans="2:11" ht="15.75">
      <c r="B8" s="172"/>
      <c r="C8" s="173"/>
      <c r="D8" s="174"/>
      <c r="E8" s="174"/>
      <c r="F8" s="174"/>
      <c r="G8" s="174"/>
      <c r="H8" s="174"/>
      <c r="I8" s="174"/>
      <c r="J8" s="175"/>
      <c r="K8" s="172"/>
    </row>
    <row r="9" spans="2:11" ht="39" customHeight="1">
      <c r="B9" s="512" t="s">
        <v>365</v>
      </c>
      <c r="C9" s="512"/>
      <c r="D9" s="172"/>
      <c r="E9" s="512" t="s">
        <v>364</v>
      </c>
      <c r="F9" s="512"/>
      <c r="G9" s="512"/>
      <c r="H9" s="172"/>
      <c r="I9" s="512" t="s">
        <v>362</v>
      </c>
      <c r="J9" s="512"/>
      <c r="K9" s="512"/>
    </row>
    <row r="10" spans="2:11" ht="15.75">
      <c r="B10" s="176"/>
      <c r="C10" s="172"/>
      <c r="D10" s="172"/>
      <c r="E10" s="172"/>
      <c r="F10" s="172"/>
      <c r="G10" s="172"/>
      <c r="H10" s="172"/>
      <c r="I10" s="172"/>
      <c r="J10" s="172"/>
      <c r="K10" s="172"/>
    </row>
    <row r="11" spans="2:11" ht="31.5">
      <c r="B11" s="177" t="s">
        <v>355</v>
      </c>
      <c r="C11" s="177" t="s">
        <v>356</v>
      </c>
      <c r="D11" s="172"/>
      <c r="E11" s="177" t="s">
        <v>320</v>
      </c>
      <c r="F11" s="177" t="s">
        <v>357</v>
      </c>
      <c r="G11" s="177" t="s">
        <v>358</v>
      </c>
      <c r="H11" s="172"/>
      <c r="I11" s="177" t="s">
        <v>359</v>
      </c>
      <c r="J11" s="177" t="s">
        <v>360</v>
      </c>
      <c r="K11" s="177" t="s">
        <v>361</v>
      </c>
    </row>
  </sheetData>
  <mergeCells count="4">
    <mergeCell ref="B9:C9"/>
    <mergeCell ref="E9:G9"/>
    <mergeCell ref="I9:K9"/>
    <mergeCell ref="B6:K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CCC1-A9B3-49EF-BF23-E2FC28301166}">
  <sheetPr codeName="Hoja11"/>
  <dimension ref="B1:CG218"/>
  <sheetViews>
    <sheetView topLeftCell="BY207" zoomScale="50" zoomScaleNormal="50" workbookViewId="0">
      <selection activeCell="CJ217" sqref="CJ217"/>
    </sheetView>
  </sheetViews>
  <sheetFormatPr baseColWidth="10" defaultRowHeight="15"/>
  <cols>
    <col min="1" max="1" width="11.42578125" style="181"/>
    <col min="2" max="2" width="34.5703125" style="181" customWidth="1"/>
    <col min="3" max="3" width="11" style="184" bestFit="1" customWidth="1"/>
    <col min="4" max="4" width="15.42578125" style="181" customWidth="1"/>
    <col min="5" max="5" width="15.5703125" style="187" customWidth="1"/>
    <col min="6" max="6" width="11.42578125" style="181"/>
    <col min="7" max="7" width="32.7109375" style="181" customWidth="1"/>
    <col min="8" max="8" width="13" style="181" customWidth="1"/>
    <col min="9" max="9" width="17.140625" style="181" hidden="1" customWidth="1"/>
    <col min="10" max="10" width="15.42578125" style="181" customWidth="1"/>
    <col min="11" max="11" width="11.42578125" style="181"/>
    <col min="12" max="12" width="23.7109375" style="181" customWidth="1"/>
    <col min="13" max="17" width="18.28515625" style="181" customWidth="1"/>
    <col min="18" max="18" width="11.42578125" style="181"/>
    <col min="19" max="19" width="23" style="181" customWidth="1"/>
    <col min="20" max="20" width="14.85546875" style="187" customWidth="1"/>
    <col min="21" max="22" width="11.42578125" style="181"/>
    <col min="23" max="23" width="27.42578125" style="181" customWidth="1"/>
    <col min="24" max="24" width="48.140625" style="181" customWidth="1"/>
    <col min="25" max="25" width="20.42578125" style="181" customWidth="1"/>
    <col min="26" max="27" width="11.42578125" style="181"/>
    <col min="28" max="28" width="17" style="181" customWidth="1"/>
    <col min="29" max="29" width="20.5703125" style="416" customWidth="1"/>
    <col min="30" max="30" width="65.5703125" style="416" customWidth="1"/>
    <col min="31" max="32" width="11.42578125" style="181"/>
    <col min="33" max="33" width="30.5703125" style="181" customWidth="1"/>
    <col min="34" max="34" width="33.42578125" style="181" customWidth="1"/>
    <col min="35" max="35" width="36" style="181" customWidth="1"/>
    <col min="36" max="37" width="11.42578125" style="181"/>
    <col min="38" max="38" width="20.7109375" style="181" customWidth="1"/>
    <col min="39" max="39" width="40.140625" style="181" customWidth="1"/>
    <col min="40" max="40" width="48.28515625" style="181" customWidth="1"/>
    <col min="41" max="46" width="11.42578125" style="181"/>
    <col min="47" max="47" width="19.5703125" style="181" customWidth="1"/>
    <col min="48" max="48" width="18.42578125" style="181" customWidth="1"/>
    <col min="49" max="49" width="18.85546875" style="181" customWidth="1"/>
    <col min="50" max="50" width="16" style="181" customWidth="1"/>
    <col min="51" max="51" width="11.42578125" style="181"/>
    <col min="52" max="52" width="15" style="181" customWidth="1"/>
    <col min="53" max="56" width="11.42578125" style="181"/>
    <col min="57" max="57" width="71" style="181" customWidth="1"/>
    <col min="58" max="58" width="11.42578125" style="181"/>
    <col min="59" max="59" width="18.42578125" style="181" customWidth="1"/>
    <col min="60" max="60" width="38.28515625" style="181" customWidth="1"/>
    <col min="61" max="61" width="22.42578125" style="187" customWidth="1"/>
    <col min="62" max="62" width="13.28515625" style="181" customWidth="1"/>
    <col min="63" max="63" width="22.5703125" style="181" customWidth="1"/>
    <col min="64" max="64" width="53.42578125" style="181" customWidth="1"/>
    <col min="65" max="65" width="11.140625" style="181" customWidth="1"/>
    <col min="66" max="66" width="25.42578125" style="181" customWidth="1"/>
    <col min="67" max="68" width="56.7109375" style="181" customWidth="1"/>
    <col min="69" max="69" width="14.7109375" style="181" customWidth="1"/>
    <col min="70" max="70" width="50.42578125" style="181" customWidth="1"/>
    <col min="71" max="71" width="50.7109375" style="181" customWidth="1"/>
    <col min="72" max="74" width="11.140625" style="181" customWidth="1"/>
    <col min="75" max="75" width="37" style="181" customWidth="1"/>
    <col min="76" max="76" width="132.85546875" style="181" customWidth="1"/>
    <col min="77" max="78" width="11.140625" style="181" customWidth="1"/>
    <col min="79" max="79" width="30.140625" style="181" customWidth="1"/>
    <col min="80" max="80" width="50.140625" style="184" customWidth="1"/>
    <col min="81" max="81" width="53.85546875" style="184" customWidth="1"/>
    <col min="82" max="82" width="11.140625" style="181" customWidth="1"/>
    <col min="83" max="83" width="60.42578125" style="181" customWidth="1"/>
    <col min="84" max="84" width="97.140625" style="181" customWidth="1"/>
    <col min="85" max="85" width="17" style="181" customWidth="1"/>
    <col min="86" max="92" width="11.140625" style="181" customWidth="1"/>
    <col min="93" max="16384" width="11.42578125" style="181"/>
  </cols>
  <sheetData>
    <row r="1" spans="2:10" ht="15.75" thickBot="1"/>
    <row r="2" spans="2:10" ht="29.25" thickBot="1">
      <c r="B2" s="182" t="s">
        <v>366</v>
      </c>
      <c r="C2" s="182" t="s">
        <v>367</v>
      </c>
      <c r="D2" s="182" t="s">
        <v>368</v>
      </c>
      <c r="E2" s="188" t="s">
        <v>369</v>
      </c>
    </row>
    <row r="3" spans="2:10" ht="29.25" thickBot="1">
      <c r="B3" s="191" t="s">
        <v>18</v>
      </c>
      <c r="C3" s="193">
        <v>2640</v>
      </c>
      <c r="D3" s="186">
        <v>100000</v>
      </c>
      <c r="E3" s="189" t="s">
        <v>370</v>
      </c>
    </row>
    <row r="4" spans="2:10" ht="15.75" thickBot="1">
      <c r="B4" s="191" t="s">
        <v>20</v>
      </c>
      <c r="C4" s="193">
        <v>5280</v>
      </c>
      <c r="D4" s="186">
        <v>10000</v>
      </c>
      <c r="E4" s="189" t="s">
        <v>371</v>
      </c>
    </row>
    <row r="5" spans="2:10" ht="29.25" thickBot="1">
      <c r="B5" s="191" t="s">
        <v>381</v>
      </c>
      <c r="C5" s="193">
        <v>5280</v>
      </c>
      <c r="D5" s="186">
        <v>5250</v>
      </c>
      <c r="E5" s="189" t="s">
        <v>372</v>
      </c>
    </row>
    <row r="6" spans="2:10" ht="15.75" thickBot="1">
      <c r="B6" s="191" t="s">
        <v>382</v>
      </c>
      <c r="C6" s="193">
        <v>12</v>
      </c>
      <c r="D6" s="186" t="s">
        <v>373</v>
      </c>
      <c r="E6" s="189" t="s">
        <v>374</v>
      </c>
    </row>
    <row r="7" spans="2:10" ht="15.75" thickBot="1">
      <c r="B7" s="191" t="s">
        <v>383</v>
      </c>
      <c r="C7" s="193">
        <v>12</v>
      </c>
      <c r="D7" s="186" t="s">
        <v>375</v>
      </c>
      <c r="E7" s="189" t="s">
        <v>376</v>
      </c>
    </row>
    <row r="8" spans="2:10" ht="15.75" thickBot="1">
      <c r="B8" s="191" t="s">
        <v>384</v>
      </c>
      <c r="C8" s="193">
        <v>12</v>
      </c>
      <c r="D8" s="186" t="s">
        <v>377</v>
      </c>
      <c r="E8" s="189" t="s">
        <v>378</v>
      </c>
    </row>
    <row r="9" spans="2:10" ht="15.75" thickBot="1">
      <c r="B9" s="192" t="s">
        <v>379</v>
      </c>
      <c r="C9" s="185"/>
      <c r="D9" s="186"/>
      <c r="E9" s="190" t="s">
        <v>380</v>
      </c>
    </row>
    <row r="11" spans="2:10" ht="15.75" thickBot="1"/>
    <row r="12" spans="2:10" ht="43.5" thickBot="1">
      <c r="G12" s="182" t="s">
        <v>30</v>
      </c>
      <c r="H12" s="182" t="s">
        <v>6</v>
      </c>
      <c r="I12" s="182" t="s">
        <v>385</v>
      </c>
      <c r="J12" s="183" t="s">
        <v>31</v>
      </c>
    </row>
    <row r="13" spans="2:10" ht="29.25" thickBot="1">
      <c r="G13" s="191" t="s">
        <v>18</v>
      </c>
      <c r="H13" s="193">
        <v>2640</v>
      </c>
      <c r="I13" s="186">
        <v>5000</v>
      </c>
      <c r="J13" s="194">
        <v>13200000</v>
      </c>
    </row>
    <row r="14" spans="2:10" ht="15.75" thickBot="1">
      <c r="G14" s="191" t="s">
        <v>20</v>
      </c>
      <c r="H14" s="193">
        <v>5280</v>
      </c>
      <c r="I14" s="186">
        <v>4033.6363636363635</v>
      </c>
      <c r="J14" s="195">
        <v>21297600</v>
      </c>
    </row>
    <row r="15" spans="2:10" ht="29.25" thickBot="1">
      <c r="G15" s="191" t="s">
        <v>22</v>
      </c>
      <c r="H15" s="193">
        <v>5280</v>
      </c>
      <c r="I15" s="186">
        <v>4033.6363636363635</v>
      </c>
      <c r="J15" s="195">
        <v>21297600</v>
      </c>
    </row>
    <row r="16" spans="2:10" ht="15.75" thickBot="1">
      <c r="G16" s="191" t="s">
        <v>24</v>
      </c>
      <c r="H16" s="193">
        <v>12</v>
      </c>
      <c r="I16" s="186">
        <v>1200000</v>
      </c>
      <c r="J16" s="195">
        <v>14400000</v>
      </c>
    </row>
    <row r="17" spans="7:17" ht="15.75" thickBot="1">
      <c r="G17" s="191" t="s">
        <v>25</v>
      </c>
      <c r="H17" s="193">
        <v>12</v>
      </c>
      <c r="I17" s="186">
        <v>0</v>
      </c>
      <c r="J17" s="195">
        <v>0</v>
      </c>
    </row>
    <row r="18" spans="7:17" ht="15.75" thickBot="1">
      <c r="G18" s="191" t="s">
        <v>27</v>
      </c>
      <c r="H18" s="193">
        <v>12</v>
      </c>
      <c r="I18" s="186">
        <v>3060000</v>
      </c>
      <c r="J18" s="195">
        <v>36720000</v>
      </c>
    </row>
    <row r="19" spans="7:17" ht="15.75" thickBot="1">
      <c r="G19" s="192"/>
      <c r="H19" s="193">
        <v>0</v>
      </c>
      <c r="I19" s="186">
        <v>0</v>
      </c>
      <c r="J19" s="195">
        <v>0</v>
      </c>
    </row>
    <row r="20" spans="7:17" ht="15.75" thickBot="1">
      <c r="G20" s="191"/>
      <c r="H20" s="193">
        <v>0</v>
      </c>
      <c r="I20" s="186">
        <v>0</v>
      </c>
      <c r="J20" s="195">
        <v>0</v>
      </c>
    </row>
    <row r="21" spans="7:17" ht="15.75" thickBot="1">
      <c r="G21" s="191"/>
      <c r="H21" s="193">
        <v>0</v>
      </c>
      <c r="I21" s="186">
        <v>0</v>
      </c>
      <c r="J21" s="195">
        <v>0</v>
      </c>
    </row>
    <row r="22" spans="7:17" ht="15.75" thickBot="1">
      <c r="G22" s="191"/>
      <c r="H22" s="193">
        <v>0</v>
      </c>
      <c r="I22" s="186">
        <v>0</v>
      </c>
      <c r="J22" s="195">
        <v>0</v>
      </c>
    </row>
    <row r="23" spans="7:17" ht="15.75" thickBot="1">
      <c r="G23" s="192" t="s">
        <v>28</v>
      </c>
      <c r="H23" s="193"/>
      <c r="I23" s="186"/>
      <c r="J23" s="196">
        <v>106915200</v>
      </c>
    </row>
    <row r="26" spans="7:17" ht="15.75" thickBot="1"/>
    <row r="27" spans="7:17" ht="15.75" thickBot="1">
      <c r="L27" s="182" t="s">
        <v>19</v>
      </c>
      <c r="M27" s="182">
        <v>2024</v>
      </c>
      <c r="N27" s="182">
        <v>2025</v>
      </c>
      <c r="O27" s="183">
        <v>2026</v>
      </c>
      <c r="P27" s="182">
        <v>2027</v>
      </c>
      <c r="Q27" s="198">
        <v>2028</v>
      </c>
    </row>
    <row r="28" spans="7:17" ht="15.75" thickBot="1">
      <c r="L28" s="191" t="s">
        <v>33</v>
      </c>
      <c r="M28" s="195">
        <v>740520000</v>
      </c>
      <c r="N28" s="195">
        <v>847154880</v>
      </c>
      <c r="O28" s="195">
        <v>967003614.72000015</v>
      </c>
      <c r="P28" s="195">
        <v>1103913542.9836802</v>
      </c>
      <c r="Q28" s="195">
        <v>1260323350.4297786</v>
      </c>
    </row>
    <row r="29" spans="7:17" ht="15.75" thickBot="1">
      <c r="L29" s="191" t="s">
        <v>34</v>
      </c>
      <c r="M29" s="195">
        <v>106915200</v>
      </c>
      <c r="N29" s="195">
        <v>117606720.00000001</v>
      </c>
      <c r="O29" s="195">
        <v>129367392.00000003</v>
      </c>
      <c r="P29" s="195">
        <v>142304131.20000005</v>
      </c>
      <c r="Q29" s="195">
        <v>156534544.32000005</v>
      </c>
    </row>
    <row r="30" spans="7:17" ht="15.75" thickBot="1">
      <c r="L30" s="197" t="s">
        <v>35</v>
      </c>
      <c r="M30" s="196">
        <v>633604800</v>
      </c>
      <c r="N30" s="196">
        <v>729548160</v>
      </c>
      <c r="O30" s="196">
        <v>837636222.72000015</v>
      </c>
      <c r="P30" s="196">
        <v>961609411.7836802</v>
      </c>
      <c r="Q30" s="196">
        <v>1103788806.1097784</v>
      </c>
    </row>
    <row r="32" spans="7:17">
      <c r="N32" s="199">
        <f>+N28/M28-1</f>
        <v>0.14399999999999991</v>
      </c>
      <c r="O32" s="199">
        <f t="shared" ref="O32:Q32" si="0">+O28/N28-1</f>
        <v>0.14147204666990776</v>
      </c>
      <c r="P32" s="199">
        <f t="shared" si="0"/>
        <v>0.14158160960269317</v>
      </c>
      <c r="Q32" s="199">
        <f t="shared" si="0"/>
        <v>0.14168664606047932</v>
      </c>
    </row>
    <row r="33" spans="14:25">
      <c r="N33" s="199">
        <f>+N29/M29-1</f>
        <v>0.10000000000000009</v>
      </c>
      <c r="O33" s="199">
        <f t="shared" ref="O33:Q33" si="1">+O29/N29-1</f>
        <v>0.10000000000000009</v>
      </c>
      <c r="P33" s="199">
        <f t="shared" si="1"/>
        <v>0.10000000000000009</v>
      </c>
      <c r="Q33" s="199">
        <f t="shared" si="1"/>
        <v>0.10000000000000009</v>
      </c>
    </row>
    <row r="34" spans="14:25">
      <c r="N34" s="199">
        <f>+N30/M30-1</f>
        <v>0.15142461041961797</v>
      </c>
      <c r="O34" s="199">
        <f t="shared" ref="O34:Q34" si="2">+O30/N30-1</f>
        <v>0.14815754277277615</v>
      </c>
      <c r="P34" s="199">
        <f t="shared" si="2"/>
        <v>0.14800361505512516</v>
      </c>
      <c r="Q34" s="199">
        <f t="shared" si="2"/>
        <v>0.14785566008798834</v>
      </c>
    </row>
    <row r="37" spans="14:25" ht="15.75" thickBot="1"/>
    <row r="38" spans="14:25" ht="15.75" thickBot="1">
      <c r="S38" s="178" t="s">
        <v>386</v>
      </c>
      <c r="T38" s="200" t="s">
        <v>387</v>
      </c>
    </row>
    <row r="39" spans="14:25" ht="15.75" thickBot="1">
      <c r="S39" s="179" t="s">
        <v>388</v>
      </c>
      <c r="T39" s="189" t="s">
        <v>389</v>
      </c>
    </row>
    <row r="40" spans="14:25" ht="29.25" thickBot="1">
      <c r="S40" s="179" t="s">
        <v>390</v>
      </c>
      <c r="T40" s="189" t="s">
        <v>377</v>
      </c>
    </row>
    <row r="41" spans="14:25" ht="15.75" thickBot="1">
      <c r="S41" s="179" t="s">
        <v>391</v>
      </c>
      <c r="T41" s="189" t="s">
        <v>392</v>
      </c>
    </row>
    <row r="42" spans="14:25" ht="15.75" thickBot="1">
      <c r="S42" s="179" t="s">
        <v>393</v>
      </c>
      <c r="T42" s="189" t="s">
        <v>394</v>
      </c>
    </row>
    <row r="43" spans="14:25" ht="15.75" thickBot="1">
      <c r="S43" s="180" t="s">
        <v>395</v>
      </c>
      <c r="T43" s="190" t="s">
        <v>396</v>
      </c>
    </row>
    <row r="45" spans="14:25" ht="42.75">
      <c r="W45" s="415" t="s">
        <v>552</v>
      </c>
      <c r="X45" s="413" t="s">
        <v>545</v>
      </c>
      <c r="Y45" s="413" t="s">
        <v>546</v>
      </c>
    </row>
    <row r="46" spans="14:25" ht="103.5">
      <c r="W46" s="414" t="s">
        <v>555</v>
      </c>
      <c r="X46" s="411"/>
      <c r="Y46" s="411" t="s">
        <v>547</v>
      </c>
    </row>
    <row r="47" spans="14:25" ht="88.5">
      <c r="W47" s="414" t="s">
        <v>554</v>
      </c>
      <c r="Y47" s="411" t="s">
        <v>548</v>
      </c>
    </row>
    <row r="48" spans="14:25" ht="89.25">
      <c r="W48" s="414" t="s">
        <v>556</v>
      </c>
      <c r="Y48" s="411" t="s">
        <v>558</v>
      </c>
    </row>
    <row r="49" spans="23:30" ht="74.25">
      <c r="W49" s="414" t="s">
        <v>557</v>
      </c>
      <c r="X49" s="411"/>
      <c r="Y49" s="411" t="s">
        <v>553</v>
      </c>
    </row>
    <row r="50" spans="23:30" ht="74.25">
      <c r="W50" s="414" t="s">
        <v>559</v>
      </c>
      <c r="X50" s="411"/>
      <c r="Y50" s="411" t="s">
        <v>549</v>
      </c>
    </row>
    <row r="51" spans="23:30" ht="59.25">
      <c r="W51" s="414" t="s">
        <v>560</v>
      </c>
      <c r="X51" s="411"/>
      <c r="Y51" s="411" t="s">
        <v>550</v>
      </c>
    </row>
    <row r="52" spans="23:30" ht="88.5">
      <c r="W52" s="414" t="s">
        <v>561</v>
      </c>
      <c r="X52" s="411"/>
      <c r="Y52" s="411" t="s">
        <v>551</v>
      </c>
    </row>
    <row r="53" spans="23:30">
      <c r="AC53" s="419" t="s">
        <v>562</v>
      </c>
      <c r="AD53" s="419" t="s">
        <v>563</v>
      </c>
    </row>
    <row r="54" spans="23:30" ht="30" customHeight="1">
      <c r="AB54" s="515" t="s">
        <v>555</v>
      </c>
      <c r="AC54" s="417" t="s">
        <v>582</v>
      </c>
      <c r="AD54" s="418" t="s">
        <v>547</v>
      </c>
    </row>
    <row r="55" spans="23:30">
      <c r="AB55" s="515"/>
      <c r="AC55" s="417" t="s">
        <v>564</v>
      </c>
      <c r="AD55" s="418" t="s">
        <v>565</v>
      </c>
    </row>
    <row r="56" spans="23:30" ht="30">
      <c r="AB56" s="515"/>
      <c r="AC56" s="417" t="s">
        <v>566</v>
      </c>
      <c r="AD56" s="418" t="s">
        <v>567</v>
      </c>
    </row>
    <row r="57" spans="23:30" ht="30">
      <c r="AB57" s="515"/>
      <c r="AC57" s="417" t="s">
        <v>568</v>
      </c>
      <c r="AD57" s="418" t="s">
        <v>569</v>
      </c>
    </row>
    <row r="58" spans="23:30" ht="30">
      <c r="AB58" s="515"/>
      <c r="AC58" s="417" t="s">
        <v>570</v>
      </c>
      <c r="AD58" s="418" t="s">
        <v>580</v>
      </c>
    </row>
    <row r="59" spans="23:30" ht="30">
      <c r="AB59" s="515"/>
      <c r="AC59" s="417" t="s">
        <v>576</v>
      </c>
      <c r="AD59" s="418" t="s">
        <v>577</v>
      </c>
    </row>
    <row r="60" spans="23:30" ht="30">
      <c r="AB60" s="515"/>
      <c r="AC60" s="417" t="s">
        <v>571</v>
      </c>
      <c r="AD60" s="418" t="s">
        <v>581</v>
      </c>
    </row>
    <row r="61" spans="23:30" ht="30">
      <c r="AB61" s="515"/>
      <c r="AC61" s="417" t="s">
        <v>572</v>
      </c>
      <c r="AD61" s="418" t="s">
        <v>573</v>
      </c>
    </row>
    <row r="62" spans="23:30">
      <c r="AB62" s="515"/>
      <c r="AC62" s="417" t="s">
        <v>574</v>
      </c>
      <c r="AD62" s="418" t="s">
        <v>575</v>
      </c>
    </row>
    <row r="63" spans="23:30" ht="30">
      <c r="AB63" s="515"/>
      <c r="AC63" s="417" t="s">
        <v>578</v>
      </c>
      <c r="AD63" s="418" t="s">
        <v>579</v>
      </c>
    </row>
    <row r="66" spans="33:35">
      <c r="AG66" t="s">
        <v>583</v>
      </c>
      <c r="AH66"/>
      <c r="AI66"/>
    </row>
    <row r="67" spans="33:35">
      <c r="AG67" s="420"/>
      <c r="AH67"/>
      <c r="AI67"/>
    </row>
    <row r="68" spans="33:35">
      <c r="AG68" s="419" t="s">
        <v>562</v>
      </c>
      <c r="AH68" s="419" t="s">
        <v>625</v>
      </c>
      <c r="AI68" s="419" t="s">
        <v>626</v>
      </c>
    </row>
    <row r="69" spans="33:35">
      <c r="AG69" s="421" t="s">
        <v>584</v>
      </c>
      <c r="AH69" s="422" t="s">
        <v>585</v>
      </c>
      <c r="AI69" s="422" t="s">
        <v>617</v>
      </c>
    </row>
    <row r="70" spans="33:35" ht="30">
      <c r="AG70" s="421" t="s">
        <v>586</v>
      </c>
      <c r="AH70" s="422" t="s">
        <v>587</v>
      </c>
      <c r="AI70" s="422" t="s">
        <v>588</v>
      </c>
    </row>
    <row r="71" spans="33:35" ht="30">
      <c r="AG71" s="421" t="s">
        <v>589</v>
      </c>
      <c r="AH71" s="422" t="s">
        <v>618</v>
      </c>
      <c r="AI71" s="422" t="s">
        <v>590</v>
      </c>
    </row>
    <row r="72" spans="33:35" ht="30">
      <c r="AG72" s="421" t="s">
        <v>591</v>
      </c>
      <c r="AH72" s="422" t="s">
        <v>619</v>
      </c>
      <c r="AI72" s="422" t="s">
        <v>620</v>
      </c>
    </row>
    <row r="73" spans="33:35" ht="30">
      <c r="AG73" s="421" t="s">
        <v>592</v>
      </c>
      <c r="AH73" s="422" t="s">
        <v>621</v>
      </c>
      <c r="AI73" s="422" t="s">
        <v>622</v>
      </c>
    </row>
    <row r="74" spans="33:35">
      <c r="AG74" s="421" t="s">
        <v>593</v>
      </c>
      <c r="AH74" s="422" t="s">
        <v>594</v>
      </c>
      <c r="AI74" s="422" t="s">
        <v>595</v>
      </c>
    </row>
    <row r="75" spans="33:35">
      <c r="AG75" s="421" t="s">
        <v>596</v>
      </c>
      <c r="AH75" s="422" t="s">
        <v>597</v>
      </c>
      <c r="AI75" s="422" t="s">
        <v>598</v>
      </c>
    </row>
    <row r="76" spans="33:35">
      <c r="AG76" s="421" t="s">
        <v>599</v>
      </c>
      <c r="AH76" s="422" t="s">
        <v>600</v>
      </c>
      <c r="AI76" s="422" t="s">
        <v>601</v>
      </c>
    </row>
    <row r="77" spans="33:35">
      <c r="AG77" s="421" t="s">
        <v>602</v>
      </c>
      <c r="AH77" s="422" t="s">
        <v>603</v>
      </c>
      <c r="AI77" s="422" t="s">
        <v>604</v>
      </c>
    </row>
    <row r="78" spans="33:35">
      <c r="AG78" s="421" t="s">
        <v>605</v>
      </c>
      <c r="AH78" s="422" t="s">
        <v>606</v>
      </c>
      <c r="AI78" s="422" t="s">
        <v>607</v>
      </c>
    </row>
    <row r="79" spans="33:35">
      <c r="AG79" s="421" t="s">
        <v>608</v>
      </c>
      <c r="AH79" s="422" t="s">
        <v>609</v>
      </c>
      <c r="AI79" s="422" t="s">
        <v>610</v>
      </c>
    </row>
    <row r="80" spans="33:35">
      <c r="AG80" s="421" t="s">
        <v>611</v>
      </c>
      <c r="AH80" s="422" t="s">
        <v>612</v>
      </c>
      <c r="AI80" s="422" t="s">
        <v>613</v>
      </c>
    </row>
    <row r="81" spans="33:40">
      <c r="AG81" s="421" t="s">
        <v>614</v>
      </c>
      <c r="AH81" s="422" t="s">
        <v>615</v>
      </c>
      <c r="AI81" s="422" t="s">
        <v>616</v>
      </c>
    </row>
    <row r="82" spans="33:40" ht="28.5">
      <c r="AG82" s="421" t="s">
        <v>623</v>
      </c>
      <c r="AH82" s="422" t="s">
        <v>624</v>
      </c>
      <c r="AI82" s="422" t="s">
        <v>610</v>
      </c>
    </row>
    <row r="85" spans="33:40">
      <c r="AL85" s="413" t="s">
        <v>627</v>
      </c>
      <c r="AM85" s="413" t="s">
        <v>628</v>
      </c>
      <c r="AN85" s="413" t="s">
        <v>629</v>
      </c>
    </row>
    <row r="86" spans="33:40" ht="45">
      <c r="AL86" s="412" t="s">
        <v>424</v>
      </c>
      <c r="AM86" s="411" t="s">
        <v>630</v>
      </c>
      <c r="AN86" s="411" t="s">
        <v>631</v>
      </c>
    </row>
    <row r="87" spans="33:40" ht="45">
      <c r="AL87" s="412" t="s">
        <v>632</v>
      </c>
      <c r="AM87" s="411" t="s">
        <v>633</v>
      </c>
      <c r="AN87" s="411" t="s">
        <v>634</v>
      </c>
    </row>
    <row r="88" spans="33:40" ht="45">
      <c r="AL88" s="412" t="s">
        <v>635</v>
      </c>
      <c r="AM88" s="411" t="s">
        <v>636</v>
      </c>
      <c r="AN88" s="411" t="s">
        <v>637</v>
      </c>
    </row>
    <row r="89" spans="33:40" ht="30">
      <c r="AL89" s="412" t="s">
        <v>320</v>
      </c>
      <c r="AM89" s="411" t="s">
        <v>638</v>
      </c>
      <c r="AN89" s="411" t="s">
        <v>639</v>
      </c>
    </row>
    <row r="90" spans="33:40" ht="30">
      <c r="AL90" s="412" t="s">
        <v>537</v>
      </c>
      <c r="AM90" s="411" t="s">
        <v>640</v>
      </c>
      <c r="AN90" s="411" t="s">
        <v>641</v>
      </c>
    </row>
    <row r="91" spans="33:40" ht="45">
      <c r="AL91" s="412" t="s">
        <v>358</v>
      </c>
      <c r="AM91" s="411" t="s">
        <v>642</v>
      </c>
      <c r="AN91" s="411" t="s">
        <v>643</v>
      </c>
    </row>
    <row r="92" spans="33:40" ht="45">
      <c r="AL92" s="412" t="s">
        <v>421</v>
      </c>
      <c r="AM92" s="411" t="s">
        <v>644</v>
      </c>
      <c r="AN92" s="411" t="s">
        <v>645</v>
      </c>
    </row>
    <row r="93" spans="33:40" ht="45">
      <c r="AL93" s="412" t="s">
        <v>419</v>
      </c>
      <c r="AM93" s="411" t="s">
        <v>646</v>
      </c>
      <c r="AN93" s="411" t="s">
        <v>647</v>
      </c>
    </row>
    <row r="94" spans="33:40" ht="45">
      <c r="AL94" s="412" t="s">
        <v>648</v>
      </c>
      <c r="AM94" s="411" t="s">
        <v>649</v>
      </c>
      <c r="AN94" s="411" t="s">
        <v>650</v>
      </c>
    </row>
    <row r="95" spans="33:40" ht="57">
      <c r="AL95" s="412" t="s">
        <v>651</v>
      </c>
      <c r="AM95" s="411" t="s">
        <v>652</v>
      </c>
      <c r="AN95" s="411" t="s">
        <v>653</v>
      </c>
    </row>
    <row r="97" spans="43:49">
      <c r="AQ97" s="181" t="s">
        <v>432</v>
      </c>
      <c r="AS97" s="181">
        <v>104000000</v>
      </c>
    </row>
    <row r="98" spans="43:49">
      <c r="AQ98" s="181" t="s">
        <v>431</v>
      </c>
      <c r="AS98" s="181">
        <v>8</v>
      </c>
    </row>
    <row r="99" spans="43:49">
      <c r="AQ99" s="181" t="s">
        <v>430</v>
      </c>
      <c r="AS99" s="181">
        <v>13000000</v>
      </c>
    </row>
    <row r="101" spans="43:49" ht="30">
      <c r="AU101" s="424" t="s">
        <v>654</v>
      </c>
      <c r="AV101" s="424" t="s">
        <v>655</v>
      </c>
      <c r="AW101" s="424" t="s">
        <v>656</v>
      </c>
    </row>
    <row r="102" spans="43:49">
      <c r="AU102" s="418" t="s">
        <v>657</v>
      </c>
      <c r="AV102" s="425">
        <v>156000000</v>
      </c>
      <c r="AW102" s="425">
        <v>13000000</v>
      </c>
    </row>
    <row r="103" spans="43:49">
      <c r="AU103" s="418" t="s">
        <v>658</v>
      </c>
      <c r="AV103" s="425">
        <v>156000000</v>
      </c>
      <c r="AW103" s="425">
        <v>13000000</v>
      </c>
    </row>
    <row r="104" spans="43:49">
      <c r="AU104" s="418" t="s">
        <v>659</v>
      </c>
      <c r="AV104" s="425">
        <v>156000000</v>
      </c>
      <c r="AW104" s="425">
        <v>13000000</v>
      </c>
    </row>
    <row r="105" spans="43:49">
      <c r="AU105" s="418" t="s">
        <v>660</v>
      </c>
      <c r="AV105" s="425">
        <v>156000000</v>
      </c>
      <c r="AW105" s="425">
        <v>13000000</v>
      </c>
    </row>
    <row r="106" spans="43:49">
      <c r="AU106" s="418" t="s">
        <v>661</v>
      </c>
      <c r="AV106" s="425">
        <v>156000000</v>
      </c>
      <c r="AW106" s="425">
        <v>13000000</v>
      </c>
    </row>
    <row r="107" spans="43:49">
      <c r="AU107" s="418" t="s">
        <v>662</v>
      </c>
      <c r="AV107" s="425">
        <v>156000000</v>
      </c>
      <c r="AW107" s="425">
        <v>13000000</v>
      </c>
    </row>
    <row r="108" spans="43:49">
      <c r="AU108" s="418" t="s">
        <v>663</v>
      </c>
      <c r="AV108" s="425">
        <v>156000000</v>
      </c>
      <c r="AW108" s="425">
        <v>13000000</v>
      </c>
    </row>
    <row r="109" spans="43:49">
      <c r="AU109" s="418" t="s">
        <v>664</v>
      </c>
      <c r="AV109" s="425">
        <v>156000000</v>
      </c>
      <c r="AW109" s="425">
        <v>13000000</v>
      </c>
    </row>
    <row r="110" spans="43:49">
      <c r="AU110" s="426" t="s">
        <v>665</v>
      </c>
      <c r="AV110" s="427">
        <v>1248000000</v>
      </c>
      <c r="AW110" s="427">
        <v>104000000</v>
      </c>
    </row>
    <row r="113" spans="51:57" ht="30">
      <c r="AY113" s="424" t="s">
        <v>667</v>
      </c>
      <c r="AZ113" s="424" t="s">
        <v>666</v>
      </c>
      <c r="BA113" s="424" t="s">
        <v>668</v>
      </c>
    </row>
    <row r="114" spans="51:57">
      <c r="AY114" s="418" t="s">
        <v>497</v>
      </c>
      <c r="AZ114" s="425">
        <v>10000000</v>
      </c>
      <c r="BA114" s="428">
        <v>3</v>
      </c>
    </row>
    <row r="115" spans="51:57">
      <c r="AY115" s="418" t="s">
        <v>496</v>
      </c>
      <c r="AZ115" s="425">
        <v>10000000</v>
      </c>
      <c r="BA115" s="428">
        <v>3</v>
      </c>
    </row>
    <row r="116" spans="51:57">
      <c r="AY116" s="418" t="s">
        <v>495</v>
      </c>
      <c r="AZ116" s="425">
        <v>10000000</v>
      </c>
      <c r="BA116" s="428">
        <v>3</v>
      </c>
    </row>
    <row r="117" spans="51:57">
      <c r="AY117" s="418" t="s">
        <v>494</v>
      </c>
      <c r="AZ117" s="425">
        <v>10000000</v>
      </c>
      <c r="BA117" s="428">
        <v>3</v>
      </c>
    </row>
    <row r="118" spans="51:57">
      <c r="AY118" s="418" t="s">
        <v>493</v>
      </c>
      <c r="AZ118" s="425">
        <v>10000000</v>
      </c>
      <c r="BA118" s="428">
        <v>3</v>
      </c>
    </row>
    <row r="119" spans="51:57">
      <c r="AY119" s="418" t="s">
        <v>492</v>
      </c>
      <c r="AZ119" s="425">
        <v>10000000</v>
      </c>
      <c r="BA119" s="428">
        <v>3</v>
      </c>
    </row>
    <row r="120" spans="51:57">
      <c r="AY120" s="418" t="s">
        <v>491</v>
      </c>
      <c r="AZ120" s="425">
        <v>10000000</v>
      </c>
      <c r="BA120" s="428">
        <v>3</v>
      </c>
    </row>
    <row r="121" spans="51:57">
      <c r="AY121" s="418" t="s">
        <v>490</v>
      </c>
      <c r="AZ121" s="425">
        <v>10000000</v>
      </c>
      <c r="BA121" s="428">
        <v>3</v>
      </c>
    </row>
    <row r="122" spans="51:57">
      <c r="AY122" s="418" t="s">
        <v>489</v>
      </c>
      <c r="AZ122" s="425">
        <v>10000000</v>
      </c>
      <c r="BA122" s="428">
        <v>3</v>
      </c>
    </row>
    <row r="123" spans="51:57">
      <c r="AY123" s="418" t="s">
        <v>488</v>
      </c>
      <c r="AZ123" s="425">
        <v>10000000</v>
      </c>
      <c r="BA123" s="428">
        <v>3</v>
      </c>
    </row>
    <row r="124" spans="51:57">
      <c r="AY124" s="418" t="s">
        <v>487</v>
      </c>
      <c r="AZ124" s="425">
        <v>10000000</v>
      </c>
      <c r="BA124" s="428">
        <v>3</v>
      </c>
    </row>
    <row r="125" spans="51:57">
      <c r="AY125" s="418" t="s">
        <v>486</v>
      </c>
      <c r="AZ125" s="425">
        <v>10000000</v>
      </c>
      <c r="BA125" s="428">
        <v>3</v>
      </c>
    </row>
    <row r="126" spans="51:57">
      <c r="AY126" s="426" t="s">
        <v>379</v>
      </c>
      <c r="AZ126" s="427">
        <f>SUM(AZ114:AZ125)</f>
        <v>120000000</v>
      </c>
      <c r="BA126" s="429">
        <f>SUM(BA114:BA125)</f>
        <v>36</v>
      </c>
    </row>
    <row r="128" spans="51:57">
      <c r="BD128" s="413" t="s">
        <v>669</v>
      </c>
      <c r="BE128" s="413" t="s">
        <v>563</v>
      </c>
    </row>
    <row r="129" spans="56:65" ht="105">
      <c r="BD129" s="430" t="s">
        <v>670</v>
      </c>
      <c r="BE129" s="431" t="s">
        <v>675</v>
      </c>
    </row>
    <row r="130" spans="56:65" ht="75">
      <c r="BD130" s="430" t="s">
        <v>671</v>
      </c>
      <c r="BE130" s="431" t="s">
        <v>676</v>
      </c>
    </row>
    <row r="131" spans="56:65" ht="60">
      <c r="BD131" s="430" t="s">
        <v>672</v>
      </c>
      <c r="BE131" s="431" t="s">
        <v>677</v>
      </c>
    </row>
    <row r="132" spans="56:65" ht="105">
      <c r="BD132" s="430" t="s">
        <v>673</v>
      </c>
      <c r="BE132" s="431" t="s">
        <v>678</v>
      </c>
    </row>
    <row r="133" spans="56:65" ht="135">
      <c r="BD133" s="430" t="s">
        <v>674</v>
      </c>
      <c r="BE133" s="431" t="s">
        <v>679</v>
      </c>
    </row>
    <row r="135" spans="56:65">
      <c r="BG135" s="424" t="s">
        <v>680</v>
      </c>
      <c r="BH135" s="424" t="s">
        <v>681</v>
      </c>
      <c r="BI135" s="432" t="s">
        <v>682</v>
      </c>
    </row>
    <row r="136" spans="56:65" ht="45">
      <c r="BG136" s="417" t="s">
        <v>683</v>
      </c>
      <c r="BH136" s="433" t="s">
        <v>684</v>
      </c>
      <c r="BI136" s="425" t="s">
        <v>697</v>
      </c>
    </row>
    <row r="137" spans="56:65" ht="45">
      <c r="BG137" s="417" t="s">
        <v>685</v>
      </c>
      <c r="BH137" s="433" t="s">
        <v>686</v>
      </c>
      <c r="BI137" s="434" t="s">
        <v>687</v>
      </c>
    </row>
    <row r="138" spans="56:65" ht="45">
      <c r="BG138" s="417" t="s">
        <v>688</v>
      </c>
      <c r="BH138" s="433" t="s">
        <v>689</v>
      </c>
      <c r="BI138" s="434" t="s">
        <v>690</v>
      </c>
    </row>
    <row r="139" spans="56:65" ht="45">
      <c r="BG139" s="417" t="s">
        <v>691</v>
      </c>
      <c r="BH139" s="433" t="s">
        <v>692</v>
      </c>
      <c r="BI139" s="434" t="s">
        <v>693</v>
      </c>
      <c r="BK139" s="516" t="s">
        <v>700</v>
      </c>
      <c r="BL139" s="517" t="s">
        <v>701</v>
      </c>
    </row>
    <row r="140" spans="56:65">
      <c r="BG140" s="435"/>
      <c r="BH140" s="435"/>
      <c r="BI140" s="436"/>
      <c r="BK140" s="516"/>
      <c r="BL140" s="517"/>
    </row>
    <row r="141" spans="56:65" ht="45">
      <c r="BG141" s="417" t="s">
        <v>694</v>
      </c>
      <c r="BH141" s="433" t="s">
        <v>695</v>
      </c>
      <c r="BI141" s="434" t="s">
        <v>696</v>
      </c>
      <c r="BK141" s="516" t="s">
        <v>699</v>
      </c>
      <c r="BL141" s="411" t="s">
        <v>703</v>
      </c>
    </row>
    <row r="142" spans="56:65">
      <c r="BK142" s="516"/>
      <c r="BL142" s="411" t="s">
        <v>702</v>
      </c>
    </row>
    <row r="144" spans="56:65">
      <c r="BM144" s="415"/>
    </row>
    <row r="145" spans="63:71" ht="42.75" customHeight="1">
      <c r="BR145" s="57"/>
      <c r="BS145" s="57"/>
    </row>
    <row r="146" spans="63:71" ht="42.75" customHeight="1">
      <c r="BR146" s="57"/>
      <c r="BS146" s="57"/>
    </row>
    <row r="148" spans="63:71" ht="28.5">
      <c r="BK148" s="419" t="s">
        <v>698</v>
      </c>
      <c r="BL148" s="419" t="s">
        <v>726</v>
      </c>
      <c r="BQ148" s="57"/>
    </row>
    <row r="149" spans="63:71" ht="30">
      <c r="BK149" s="514" t="s">
        <v>704</v>
      </c>
      <c r="BL149" s="422" t="s">
        <v>729</v>
      </c>
    </row>
    <row r="150" spans="63:71">
      <c r="BK150" s="514"/>
      <c r="BL150" s="422" t="s">
        <v>705</v>
      </c>
    </row>
    <row r="151" spans="63:71">
      <c r="BK151" s="514" t="s">
        <v>706</v>
      </c>
      <c r="BL151" s="422" t="s">
        <v>707</v>
      </c>
      <c r="BP151" s="437"/>
      <c r="BQ151" s="57"/>
    </row>
    <row r="152" spans="63:71">
      <c r="BK152" s="514"/>
      <c r="BL152" s="422" t="s">
        <v>708</v>
      </c>
      <c r="BP152" s="437"/>
      <c r="BQ152" s="57"/>
    </row>
    <row r="153" spans="63:71">
      <c r="BK153" s="514"/>
      <c r="BL153" s="422" t="s">
        <v>709</v>
      </c>
      <c r="BP153" s="437"/>
      <c r="BQ153" s="57"/>
    </row>
    <row r="154" spans="63:71">
      <c r="BK154" s="514" t="s">
        <v>714</v>
      </c>
      <c r="BL154" s="422" t="s">
        <v>711</v>
      </c>
    </row>
    <row r="155" spans="63:71">
      <c r="BK155" s="514"/>
      <c r="BL155" s="422" t="s">
        <v>723</v>
      </c>
      <c r="BP155"/>
    </row>
    <row r="156" spans="63:71">
      <c r="BK156" s="514" t="s">
        <v>715</v>
      </c>
      <c r="BL156" s="422" t="s">
        <v>719</v>
      </c>
      <c r="BP156"/>
    </row>
    <row r="157" spans="63:71">
      <c r="BK157" s="514"/>
      <c r="BL157" s="422" t="s">
        <v>712</v>
      </c>
      <c r="BP157"/>
    </row>
    <row r="158" spans="63:71">
      <c r="BK158" s="514"/>
      <c r="BL158" s="422" t="s">
        <v>713</v>
      </c>
    </row>
    <row r="159" spans="63:71" ht="60">
      <c r="BK159" s="421" t="s">
        <v>722</v>
      </c>
      <c r="BL159" s="422" t="s">
        <v>724</v>
      </c>
    </row>
    <row r="160" spans="63:71" ht="45">
      <c r="BK160" s="421" t="s">
        <v>727</v>
      </c>
      <c r="BL160" s="422" t="s">
        <v>772</v>
      </c>
    </row>
    <row r="161" spans="58:67" ht="240">
      <c r="BK161" s="421" t="s">
        <v>725</v>
      </c>
      <c r="BL161" s="418" t="s">
        <v>730</v>
      </c>
    </row>
    <row r="162" spans="58:67">
      <c r="BK162" s="514" t="s">
        <v>710</v>
      </c>
      <c r="BL162" s="422" t="s">
        <v>716</v>
      </c>
    </row>
    <row r="163" spans="58:67">
      <c r="BJ163" s="181">
        <f>8*5</f>
        <v>40</v>
      </c>
      <c r="BK163" s="514"/>
      <c r="BL163" s="422" t="s">
        <v>717</v>
      </c>
    </row>
    <row r="164" spans="58:67" ht="28.5">
      <c r="BI164" s="439">
        <f>SUM(BI165:BI168)</f>
        <v>0.99999999999999989</v>
      </c>
      <c r="BJ164" s="440">
        <f>+BL164*BJ163</f>
        <v>4000000</v>
      </c>
      <c r="BK164" s="421" t="s">
        <v>728</v>
      </c>
      <c r="BL164" s="438">
        <v>100000</v>
      </c>
    </row>
    <row r="165" spans="58:67">
      <c r="BF165" s="447" t="s">
        <v>718</v>
      </c>
      <c r="BH165" s="443">
        <v>5</v>
      </c>
      <c r="BI165" s="441">
        <f>100%-BI166-BI167-BI168</f>
        <v>0</v>
      </c>
      <c r="BJ165" s="442">
        <f>+$BJ$164*BI165</f>
        <v>0</v>
      </c>
      <c r="BK165" s="421" t="s">
        <v>731</v>
      </c>
      <c r="BL165" s="438">
        <f>10000000/2</f>
        <v>5000000</v>
      </c>
    </row>
    <row r="166" spans="58:67" ht="45">
      <c r="BH166" s="57">
        <f>+BJ166/$BH$165</f>
        <v>480000</v>
      </c>
      <c r="BI166" s="437">
        <v>0.6</v>
      </c>
      <c r="BJ166" s="57">
        <f>+$BJ$164*BI166</f>
        <v>2400000</v>
      </c>
      <c r="BK166" s="421" t="s">
        <v>574</v>
      </c>
      <c r="BL166" s="418" t="s">
        <v>735</v>
      </c>
    </row>
    <row r="167" spans="58:67" ht="30">
      <c r="BH167" s="57">
        <f>+BJ167/$BH$165</f>
        <v>240000</v>
      </c>
      <c r="BI167" s="437">
        <v>0.3</v>
      </c>
      <c r="BJ167" s="57">
        <f t="shared" ref="BJ167:BJ168" si="3">+$BJ$164*BI167</f>
        <v>1200000</v>
      </c>
      <c r="BK167" s="421" t="s">
        <v>721</v>
      </c>
      <c r="BL167" s="422" t="s">
        <v>720</v>
      </c>
    </row>
    <row r="168" spans="58:67" ht="60">
      <c r="BH168" s="57">
        <f>+BJ168/$BH$165</f>
        <v>80000</v>
      </c>
      <c r="BI168" s="437">
        <v>0.1</v>
      </c>
      <c r="BJ168" s="57">
        <f t="shared" si="3"/>
        <v>400000</v>
      </c>
      <c r="BK168" s="421" t="s">
        <v>732</v>
      </c>
      <c r="BL168" s="422" t="s">
        <v>736</v>
      </c>
    </row>
    <row r="169" spans="58:67">
      <c r="BH169" s="181">
        <v>1</v>
      </c>
      <c r="BK169" s="421" t="s">
        <v>733</v>
      </c>
      <c r="BL169" s="422" t="s">
        <v>734</v>
      </c>
    </row>
    <row r="170" spans="58:67">
      <c r="BH170" s="181">
        <v>2</v>
      </c>
    </row>
    <row r="171" spans="58:67" ht="28.5">
      <c r="BH171" s="181">
        <v>3</v>
      </c>
      <c r="BN171" s="419" t="s">
        <v>698</v>
      </c>
      <c r="BO171" s="419" t="s">
        <v>762</v>
      </c>
    </row>
    <row r="172" spans="58:67" ht="28.5">
      <c r="BG172" s="57"/>
      <c r="BH172" s="187"/>
      <c r="BK172" s="412"/>
      <c r="BN172" s="421" t="s">
        <v>704</v>
      </c>
      <c r="BO172" s="422" t="s">
        <v>705</v>
      </c>
    </row>
    <row r="173" spans="58:67" ht="28.5">
      <c r="BN173" s="421" t="s">
        <v>706</v>
      </c>
      <c r="BO173" s="422" t="s">
        <v>763</v>
      </c>
    </row>
    <row r="174" spans="58:67" ht="28.5">
      <c r="BI174" s="437"/>
      <c r="BL174"/>
      <c r="BN174" s="421" t="s">
        <v>714</v>
      </c>
      <c r="BO174" s="422" t="s">
        <v>723</v>
      </c>
    </row>
    <row r="175" spans="58:67">
      <c r="BN175" s="421" t="s">
        <v>715</v>
      </c>
      <c r="BO175" s="422" t="s">
        <v>713</v>
      </c>
    </row>
    <row r="176" spans="58:67" ht="30">
      <c r="BK176" s="412"/>
      <c r="BL176" s="411"/>
      <c r="BM176" s="411"/>
      <c r="BN176" s="421" t="s">
        <v>722</v>
      </c>
      <c r="BO176" s="422" t="s">
        <v>765</v>
      </c>
    </row>
    <row r="177" spans="63:71" ht="72" customHeight="1">
      <c r="BK177" s="412"/>
      <c r="BL177" s="411"/>
      <c r="BM177" s="411"/>
      <c r="BN177" s="421" t="s">
        <v>727</v>
      </c>
      <c r="BO177" s="422" t="s">
        <v>780</v>
      </c>
    </row>
    <row r="178" spans="63:71" ht="365.25" customHeight="1">
      <c r="BK178" s="412"/>
      <c r="BL178" s="411"/>
      <c r="BM178" s="411"/>
      <c r="BN178" s="421" t="s">
        <v>725</v>
      </c>
      <c r="BO178" s="422" t="s">
        <v>766</v>
      </c>
    </row>
    <row r="179" spans="63:71">
      <c r="BK179" s="412"/>
      <c r="BL179" s="411"/>
      <c r="BM179" s="411"/>
      <c r="BN179" s="421" t="s">
        <v>710</v>
      </c>
      <c r="BO179" s="422" t="s">
        <v>767</v>
      </c>
    </row>
    <row r="180" spans="63:71" ht="28.5">
      <c r="BN180" s="421" t="s">
        <v>728</v>
      </c>
      <c r="BO180" s="438">
        <v>0</v>
      </c>
      <c r="BP180" s="423"/>
      <c r="BQ180" s="423"/>
    </row>
    <row r="181" spans="63:71">
      <c r="BN181" s="421" t="s">
        <v>731</v>
      </c>
      <c r="BO181" s="438" t="s">
        <v>768</v>
      </c>
      <c r="BP181" s="24"/>
      <c r="BQ181" s="24"/>
    </row>
    <row r="182" spans="63:71" ht="45">
      <c r="BN182" s="421" t="s">
        <v>769</v>
      </c>
      <c r="BO182" s="422" t="s">
        <v>770</v>
      </c>
    </row>
    <row r="183" spans="63:71" ht="60">
      <c r="BN183" s="421" t="s">
        <v>732</v>
      </c>
      <c r="BO183" s="422" t="s">
        <v>736</v>
      </c>
    </row>
    <row r="184" spans="63:71">
      <c r="BN184" s="421" t="s">
        <v>733</v>
      </c>
      <c r="BO184" s="422" t="s">
        <v>771</v>
      </c>
    </row>
    <row r="188" spans="63:71" ht="28.5">
      <c r="BQ188" s="419" t="s">
        <v>698</v>
      </c>
      <c r="BR188" s="419" t="s">
        <v>762</v>
      </c>
      <c r="BS188" s="419" t="s">
        <v>762</v>
      </c>
    </row>
    <row r="189" spans="63:71" ht="60">
      <c r="BQ189" s="421" t="s">
        <v>727</v>
      </c>
      <c r="BR189" s="422" t="s">
        <v>764</v>
      </c>
      <c r="BS189" s="422" t="s">
        <v>772</v>
      </c>
    </row>
    <row r="190" spans="63:71" ht="375">
      <c r="BQ190" s="421" t="s">
        <v>725</v>
      </c>
      <c r="BR190" s="422" t="s">
        <v>766</v>
      </c>
      <c r="BS190" s="418" t="s">
        <v>730</v>
      </c>
    </row>
    <row r="191" spans="63:71" ht="28.5">
      <c r="BQ191" s="421" t="s">
        <v>781</v>
      </c>
      <c r="BR191" s="422" t="s">
        <v>782</v>
      </c>
      <c r="BS191" s="452" t="s">
        <v>783</v>
      </c>
    </row>
    <row r="195" spans="75:81" ht="46.5">
      <c r="BW195" s="454" t="s">
        <v>794</v>
      </c>
      <c r="BX195" s="454" t="s">
        <v>795</v>
      </c>
    </row>
    <row r="196" spans="75:81" ht="126.75" customHeight="1">
      <c r="BW196" s="456" t="s">
        <v>784</v>
      </c>
      <c r="BX196" s="455" t="s">
        <v>785</v>
      </c>
    </row>
    <row r="197" spans="75:81" ht="126.75" customHeight="1">
      <c r="BW197" s="456" t="s">
        <v>786</v>
      </c>
      <c r="BX197" s="455" t="s">
        <v>787</v>
      </c>
    </row>
    <row r="198" spans="75:81" ht="126.75" customHeight="1">
      <c r="BW198" s="456" t="s">
        <v>788</v>
      </c>
      <c r="BX198" s="455" t="s">
        <v>789</v>
      </c>
    </row>
    <row r="199" spans="75:81" ht="126.75" customHeight="1">
      <c r="BW199" s="456" t="s">
        <v>790</v>
      </c>
      <c r="BX199" s="455" t="s">
        <v>791</v>
      </c>
    </row>
    <row r="200" spans="75:81" ht="126.75" customHeight="1">
      <c r="BW200" s="456" t="s">
        <v>792</v>
      </c>
      <c r="BX200" s="455" t="s">
        <v>793</v>
      </c>
    </row>
    <row r="202" spans="75:81" ht="73.5" customHeight="1">
      <c r="CA202" s="454" t="s">
        <v>804</v>
      </c>
      <c r="CB202" s="458" t="s">
        <v>802</v>
      </c>
      <c r="CC202" s="454" t="s">
        <v>803</v>
      </c>
    </row>
    <row r="203" spans="75:81" ht="171.75" customHeight="1">
      <c r="CA203" s="457" t="s">
        <v>806</v>
      </c>
      <c r="CB203" s="459" t="s">
        <v>817</v>
      </c>
      <c r="CC203" s="459" t="s">
        <v>816</v>
      </c>
    </row>
    <row r="204" spans="75:81" ht="105.75" customHeight="1">
      <c r="CA204" s="457" t="s">
        <v>807</v>
      </c>
      <c r="CB204" s="459" t="s">
        <v>815</v>
      </c>
      <c r="CC204" s="459" t="s">
        <v>796</v>
      </c>
    </row>
    <row r="205" spans="75:81" ht="67.5" customHeight="1">
      <c r="CA205" s="457" t="s">
        <v>808</v>
      </c>
      <c r="CB205" s="459" t="s">
        <v>798</v>
      </c>
      <c r="CC205" s="459" t="s">
        <v>798</v>
      </c>
    </row>
    <row r="206" spans="75:81" ht="112.5" customHeight="1">
      <c r="CA206" s="457" t="s">
        <v>809</v>
      </c>
      <c r="CB206" s="459" t="s">
        <v>799</v>
      </c>
      <c r="CC206" s="459" t="s">
        <v>833</v>
      </c>
    </row>
    <row r="207" spans="75:81" ht="139.5" customHeight="1">
      <c r="CA207" s="457" t="s">
        <v>810</v>
      </c>
      <c r="CB207" s="459" t="s">
        <v>805</v>
      </c>
      <c r="CC207" s="459" t="s">
        <v>813</v>
      </c>
    </row>
    <row r="208" spans="75:81" ht="84.75" customHeight="1">
      <c r="CA208" s="457" t="s">
        <v>811</v>
      </c>
      <c r="CB208" s="459" t="s">
        <v>797</v>
      </c>
      <c r="CC208" s="459" t="s">
        <v>800</v>
      </c>
    </row>
    <row r="209" spans="79:85" ht="61.5" customHeight="1">
      <c r="CA209" s="457" t="s">
        <v>812</v>
      </c>
      <c r="CB209" s="459" t="s">
        <v>801</v>
      </c>
      <c r="CC209" s="459" t="s">
        <v>814</v>
      </c>
    </row>
    <row r="211" spans="79:85">
      <c r="CE211" s="184" t="str">
        <f>+UPPER(CE212)</f>
        <v>OBJETIVO</v>
      </c>
      <c r="CF211" s="184" t="str">
        <f t="shared" ref="CF211:CG211" si="4">+UPPER(CF212)</f>
        <v>DESCRIPCIÓN</v>
      </c>
      <c r="CG211" s="184" t="str">
        <f t="shared" si="4"/>
        <v>ESTADO</v>
      </c>
    </row>
    <row r="212" spans="79:85" ht="49.5" customHeight="1">
      <c r="CE212" s="460" t="s">
        <v>806</v>
      </c>
      <c r="CF212" s="460" t="s">
        <v>825</v>
      </c>
      <c r="CG212" s="461" t="s">
        <v>826</v>
      </c>
    </row>
    <row r="213" spans="79:85" ht="82.5" customHeight="1">
      <c r="CE213" s="455" t="s">
        <v>819</v>
      </c>
      <c r="CF213" s="455" t="s">
        <v>827</v>
      </c>
      <c r="CG213" s="462" t="s">
        <v>818</v>
      </c>
    </row>
    <row r="214" spans="79:85" ht="82.5" customHeight="1">
      <c r="CE214" s="455" t="s">
        <v>820</v>
      </c>
      <c r="CF214" s="455" t="s">
        <v>828</v>
      </c>
      <c r="CG214" s="462" t="s">
        <v>818</v>
      </c>
    </row>
    <row r="215" spans="79:85" ht="82.5" customHeight="1">
      <c r="CE215" s="455" t="s">
        <v>821</v>
      </c>
      <c r="CF215" s="455" t="s">
        <v>829</v>
      </c>
      <c r="CG215" s="462" t="s">
        <v>818</v>
      </c>
    </row>
    <row r="216" spans="79:85" ht="82.5" customHeight="1">
      <c r="CE216" s="455" t="s">
        <v>822</v>
      </c>
      <c r="CF216" s="455" t="s">
        <v>830</v>
      </c>
      <c r="CG216" s="462" t="s">
        <v>818</v>
      </c>
    </row>
    <row r="217" spans="79:85" ht="82.5" customHeight="1">
      <c r="CE217" s="463" t="s">
        <v>823</v>
      </c>
      <c r="CF217" s="463" t="s">
        <v>831</v>
      </c>
      <c r="CG217" s="464" t="s">
        <v>818</v>
      </c>
    </row>
    <row r="218" spans="79:85" ht="106.5" customHeight="1">
      <c r="CE218" s="465" t="s">
        <v>824</v>
      </c>
      <c r="CF218" s="466" t="s">
        <v>832</v>
      </c>
      <c r="CG218" s="467" t="s">
        <v>818</v>
      </c>
    </row>
  </sheetData>
  <mergeCells count="9">
    <mergeCell ref="BL139:BL140"/>
    <mergeCell ref="BK141:BK142"/>
    <mergeCell ref="BK149:BK150"/>
    <mergeCell ref="BK151:BK153"/>
    <mergeCell ref="BK162:BK163"/>
    <mergeCell ref="BK154:BK155"/>
    <mergeCell ref="BK156:BK158"/>
    <mergeCell ref="AB54:AB63"/>
    <mergeCell ref="BK139:BK140"/>
  </mergeCells>
  <phoneticPr fontId="1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AC48-5273-498C-A931-F7829E170278}">
  <dimension ref="B2:AX18"/>
  <sheetViews>
    <sheetView zoomScale="70" zoomScaleNormal="70" workbookViewId="0">
      <selection activeCell="W29" sqref="W29"/>
    </sheetView>
  </sheetViews>
  <sheetFormatPr baseColWidth="10" defaultRowHeight="15"/>
  <cols>
    <col min="3" max="5" width="3.5703125" style="4" customWidth="1"/>
    <col min="6" max="49" width="3.5703125" customWidth="1"/>
    <col min="50" max="50" width="3.5703125" style="4" customWidth="1"/>
  </cols>
  <sheetData>
    <row r="2" spans="2:50" ht="15.75">
      <c r="B2" s="444">
        <f>+COUNTA(F8:AW18)</f>
        <v>352</v>
      </c>
      <c r="C2" s="5"/>
      <c r="D2" s="5"/>
      <c r="E2" s="494" t="s">
        <v>507</v>
      </c>
      <c r="F2" s="494"/>
      <c r="G2" s="494"/>
      <c r="H2" s="491" t="s">
        <v>162</v>
      </c>
      <c r="I2" s="491"/>
      <c r="J2" s="491"/>
      <c r="K2" s="491"/>
      <c r="L2" s="491"/>
      <c r="M2" s="491"/>
      <c r="N2" s="491"/>
      <c r="O2" s="491"/>
      <c r="P2" s="491"/>
      <c r="Q2" s="491"/>
      <c r="R2" s="491"/>
      <c r="S2" s="491"/>
      <c r="T2" s="491"/>
      <c r="U2" s="491"/>
      <c r="V2" s="491"/>
      <c r="W2" s="495" t="s">
        <v>506</v>
      </c>
      <c r="X2" s="495"/>
      <c r="Y2" s="495"/>
      <c r="Z2" s="494" t="s">
        <v>505</v>
      </c>
      <c r="AA2" s="494"/>
      <c r="AB2" s="494"/>
      <c r="AC2" s="491" t="s">
        <v>165</v>
      </c>
      <c r="AD2" s="491"/>
      <c r="AE2" s="491"/>
      <c r="AF2" s="491"/>
      <c r="AG2" s="491"/>
      <c r="AH2" s="491"/>
      <c r="AI2" s="491"/>
      <c r="AJ2" s="491"/>
      <c r="AK2" s="491"/>
      <c r="AL2" s="491"/>
      <c r="AM2" s="491"/>
      <c r="AN2" s="491"/>
      <c r="AO2" s="491"/>
      <c r="AP2" s="491"/>
      <c r="AQ2" s="491"/>
      <c r="AR2" s="495" t="s">
        <v>503</v>
      </c>
      <c r="AS2" s="495"/>
      <c r="AT2" s="495"/>
      <c r="AU2" s="494" t="s">
        <v>503</v>
      </c>
      <c r="AV2" s="494"/>
      <c r="AW2" s="494"/>
    </row>
    <row r="3" spans="2:50">
      <c r="C3" s="500" t="s">
        <v>168</v>
      </c>
      <c r="D3" s="500"/>
      <c r="E3" s="500"/>
      <c r="F3" s="500"/>
      <c r="G3" s="489" t="s">
        <v>169</v>
      </c>
      <c r="H3" s="489"/>
      <c r="I3" s="489"/>
      <c r="J3" s="489"/>
      <c r="K3" s="489" t="s">
        <v>170</v>
      </c>
      <c r="L3" s="489"/>
      <c r="M3" s="489"/>
      <c r="N3" s="489"/>
      <c r="O3" s="489" t="s">
        <v>171</v>
      </c>
      <c r="P3" s="489"/>
      <c r="Q3" s="489"/>
      <c r="R3" s="489"/>
      <c r="S3" s="489" t="s">
        <v>172</v>
      </c>
      <c r="T3" s="489"/>
      <c r="U3" s="489"/>
      <c r="V3" s="489"/>
      <c r="W3" s="489" t="s">
        <v>173</v>
      </c>
      <c r="X3" s="489"/>
      <c r="Y3" s="489"/>
      <c r="Z3" s="489"/>
      <c r="AA3" s="489" t="s">
        <v>174</v>
      </c>
      <c r="AB3" s="489"/>
      <c r="AC3" s="489"/>
      <c r="AD3" s="489"/>
      <c r="AE3" s="489" t="s">
        <v>175</v>
      </c>
      <c r="AF3" s="489"/>
      <c r="AG3" s="489"/>
      <c r="AH3" s="489"/>
      <c r="AI3" s="489" t="s">
        <v>176</v>
      </c>
      <c r="AJ3" s="489"/>
      <c r="AK3" s="489"/>
      <c r="AL3" s="489"/>
      <c r="AM3" s="489" t="s">
        <v>177</v>
      </c>
      <c r="AN3" s="489"/>
      <c r="AO3" s="489"/>
      <c r="AP3" s="489"/>
      <c r="AQ3" s="489" t="s">
        <v>178</v>
      </c>
      <c r="AR3" s="489"/>
      <c r="AS3" s="489"/>
      <c r="AT3" s="489"/>
      <c r="AU3" s="489" t="s">
        <v>179</v>
      </c>
      <c r="AV3" s="489"/>
      <c r="AW3" s="489"/>
      <c r="AX3" s="489"/>
    </row>
    <row r="4" spans="2:50">
      <c r="C4" s="492" t="s">
        <v>184</v>
      </c>
      <c r="D4" s="492"/>
      <c r="E4" s="492"/>
      <c r="F4" s="492"/>
      <c r="G4" s="493" t="s">
        <v>185</v>
      </c>
      <c r="H4" s="493"/>
      <c r="I4" s="493"/>
      <c r="J4" s="493"/>
      <c r="K4" s="492" t="s">
        <v>186</v>
      </c>
      <c r="L4" s="492"/>
      <c r="M4" s="492"/>
      <c r="N4" s="492"/>
      <c r="O4" s="493" t="s">
        <v>187</v>
      </c>
      <c r="P4" s="493"/>
      <c r="Q4" s="493"/>
      <c r="R4" s="493"/>
      <c r="S4" s="492" t="s">
        <v>188</v>
      </c>
      <c r="T4" s="492"/>
      <c r="U4" s="492"/>
      <c r="V4" s="492"/>
      <c r="W4" s="493" t="s">
        <v>189</v>
      </c>
      <c r="X4" s="493"/>
      <c r="Y4" s="493"/>
      <c r="Z4" s="493"/>
      <c r="AA4" s="492" t="s">
        <v>190</v>
      </c>
      <c r="AB4" s="492"/>
      <c r="AC4" s="492"/>
      <c r="AD4" s="492"/>
      <c r="AE4" s="493" t="s">
        <v>191</v>
      </c>
      <c r="AF4" s="493"/>
      <c r="AG4" s="493"/>
      <c r="AH4" s="493"/>
      <c r="AI4" s="492" t="s">
        <v>192</v>
      </c>
      <c r="AJ4" s="492"/>
      <c r="AK4" s="492"/>
      <c r="AL4" s="492"/>
      <c r="AM4" s="493" t="s">
        <v>193</v>
      </c>
      <c r="AN4" s="493"/>
      <c r="AO4" s="493"/>
      <c r="AP4" s="493"/>
      <c r="AQ4" s="492" t="s">
        <v>194</v>
      </c>
      <c r="AR4" s="492"/>
      <c r="AS4" s="492"/>
      <c r="AT4" s="492"/>
      <c r="AU4" s="493" t="s">
        <v>195</v>
      </c>
      <c r="AV4" s="493"/>
      <c r="AW4" s="493"/>
      <c r="AX4" s="493"/>
    </row>
    <row r="5" spans="2:50">
      <c r="C5" s="5" t="s">
        <v>196</v>
      </c>
      <c r="D5" s="5" t="s">
        <v>197</v>
      </c>
      <c r="E5" s="5" t="s">
        <v>198</v>
      </c>
      <c r="F5" s="76" t="s">
        <v>199</v>
      </c>
      <c r="G5" s="16" t="s">
        <v>200</v>
      </c>
      <c r="H5" s="16" t="s">
        <v>201</v>
      </c>
      <c r="I5" s="16" t="s">
        <v>202</v>
      </c>
      <c r="J5" s="16" t="s">
        <v>203</v>
      </c>
      <c r="K5" s="76" t="s">
        <v>204</v>
      </c>
      <c r="L5" s="76" t="s">
        <v>205</v>
      </c>
      <c r="M5" s="76" t="s">
        <v>206</v>
      </c>
      <c r="N5" s="76" t="s">
        <v>207</v>
      </c>
      <c r="O5" s="16" t="s">
        <v>208</v>
      </c>
      <c r="P5" s="16" t="s">
        <v>209</v>
      </c>
      <c r="Q5" s="16" t="s">
        <v>210</v>
      </c>
      <c r="R5" s="16" t="s">
        <v>211</v>
      </c>
      <c r="S5" s="76" t="s">
        <v>212</v>
      </c>
      <c r="T5" s="76" t="s">
        <v>213</v>
      </c>
      <c r="U5" s="76" t="s">
        <v>214</v>
      </c>
      <c r="V5" s="76" t="s">
        <v>215</v>
      </c>
      <c r="W5" s="16" t="s">
        <v>216</v>
      </c>
      <c r="X5" s="16" t="s">
        <v>217</v>
      </c>
      <c r="Y5" s="16" t="s">
        <v>218</v>
      </c>
      <c r="Z5" s="16" t="s">
        <v>219</v>
      </c>
      <c r="AA5" s="76" t="s">
        <v>220</v>
      </c>
      <c r="AB5" s="76" t="s">
        <v>221</v>
      </c>
      <c r="AC5" s="76" t="s">
        <v>222</v>
      </c>
      <c r="AD5" s="76" t="s">
        <v>223</v>
      </c>
      <c r="AE5" s="16" t="s">
        <v>224</v>
      </c>
      <c r="AF5" s="16" t="s">
        <v>225</v>
      </c>
      <c r="AG5" s="16" t="s">
        <v>226</v>
      </c>
      <c r="AH5" s="16" t="s">
        <v>227</v>
      </c>
      <c r="AI5" s="76" t="s">
        <v>228</v>
      </c>
      <c r="AJ5" s="76" t="s">
        <v>229</v>
      </c>
      <c r="AK5" s="76" t="s">
        <v>230</v>
      </c>
      <c r="AL5" s="76" t="s">
        <v>231</v>
      </c>
      <c r="AM5" s="16" t="s">
        <v>232</v>
      </c>
      <c r="AN5" s="16" t="s">
        <v>233</v>
      </c>
      <c r="AO5" s="16" t="s">
        <v>234</v>
      </c>
      <c r="AP5" s="16" t="s">
        <v>235</v>
      </c>
      <c r="AQ5" s="76" t="s">
        <v>236</v>
      </c>
      <c r="AR5" s="76" t="s">
        <v>237</v>
      </c>
      <c r="AS5" s="76" t="s">
        <v>238</v>
      </c>
      <c r="AT5" s="76" t="s">
        <v>239</v>
      </c>
      <c r="AU5" s="16" t="s">
        <v>240</v>
      </c>
      <c r="AV5" s="16" t="s">
        <v>241</v>
      </c>
      <c r="AW5" s="16" t="s">
        <v>242</v>
      </c>
      <c r="AX5" s="5" t="s">
        <v>243</v>
      </c>
    </row>
    <row r="6" spans="2:5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2:5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2:50">
      <c r="F8" s="3">
        <v>1</v>
      </c>
      <c r="G8" s="3">
        <v>1</v>
      </c>
      <c r="H8" s="3">
        <v>1</v>
      </c>
      <c r="I8" s="3">
        <v>1</v>
      </c>
      <c r="J8" s="3">
        <v>1</v>
      </c>
      <c r="K8" s="3">
        <v>1</v>
      </c>
      <c r="L8" s="3">
        <v>1</v>
      </c>
      <c r="M8" s="3">
        <v>1</v>
      </c>
      <c r="N8" s="3">
        <v>1</v>
      </c>
      <c r="O8" s="3">
        <v>1</v>
      </c>
      <c r="P8" s="3">
        <v>1</v>
      </c>
      <c r="Q8" s="3">
        <v>1</v>
      </c>
      <c r="R8" s="3">
        <v>1</v>
      </c>
      <c r="S8" s="3">
        <v>1</v>
      </c>
      <c r="T8" s="3">
        <v>1</v>
      </c>
      <c r="U8" s="3">
        <v>1</v>
      </c>
      <c r="V8" s="3">
        <v>1</v>
      </c>
      <c r="W8" s="3">
        <v>1</v>
      </c>
      <c r="X8" s="3">
        <v>1</v>
      </c>
      <c r="Y8" s="3">
        <v>1</v>
      </c>
      <c r="Z8" s="3">
        <v>1</v>
      </c>
      <c r="AA8" s="3">
        <v>1</v>
      </c>
      <c r="AB8" s="3">
        <v>1</v>
      </c>
      <c r="AC8" s="3">
        <v>1</v>
      </c>
      <c r="AD8" s="3">
        <v>1</v>
      </c>
      <c r="AE8" s="3">
        <v>1</v>
      </c>
      <c r="AF8" s="3">
        <v>1</v>
      </c>
      <c r="AG8" s="3">
        <v>1</v>
      </c>
      <c r="AH8" s="3">
        <v>1</v>
      </c>
      <c r="AI8" s="3">
        <v>1</v>
      </c>
      <c r="AJ8" s="3">
        <v>1</v>
      </c>
      <c r="AK8" s="3">
        <v>1</v>
      </c>
      <c r="AL8" s="3">
        <v>1</v>
      </c>
      <c r="AM8" s="3">
        <v>1</v>
      </c>
      <c r="AN8" s="3">
        <v>1</v>
      </c>
      <c r="AO8" s="3">
        <v>1</v>
      </c>
      <c r="AP8" s="3">
        <v>1</v>
      </c>
      <c r="AQ8" s="3">
        <v>1</v>
      </c>
      <c r="AR8" s="3">
        <v>1</v>
      </c>
      <c r="AS8" s="3">
        <v>1</v>
      </c>
      <c r="AT8" s="3">
        <v>1</v>
      </c>
      <c r="AU8" s="3">
        <v>1</v>
      </c>
      <c r="AV8" s="3">
        <v>1</v>
      </c>
      <c r="AW8" s="3">
        <v>1</v>
      </c>
    </row>
    <row r="9" spans="2:50">
      <c r="F9" s="3">
        <v>2</v>
      </c>
      <c r="G9" s="3">
        <v>2</v>
      </c>
      <c r="H9" s="3">
        <v>2</v>
      </c>
      <c r="I9" s="3">
        <v>2</v>
      </c>
      <c r="J9" s="3">
        <v>2</v>
      </c>
      <c r="K9" s="3">
        <v>2</v>
      </c>
      <c r="L9" s="3">
        <v>2</v>
      </c>
      <c r="M9" s="3">
        <v>2</v>
      </c>
      <c r="N9" s="3">
        <v>2</v>
      </c>
      <c r="O9" s="3">
        <v>2</v>
      </c>
      <c r="P9" s="3">
        <v>2</v>
      </c>
      <c r="Q9" s="3">
        <v>2</v>
      </c>
      <c r="R9" s="3">
        <v>2</v>
      </c>
      <c r="S9" s="3">
        <v>2</v>
      </c>
      <c r="T9" s="3">
        <v>2</v>
      </c>
      <c r="U9" s="3">
        <v>2</v>
      </c>
      <c r="V9" s="3">
        <v>2</v>
      </c>
      <c r="W9" s="3">
        <v>2</v>
      </c>
      <c r="X9" s="3">
        <v>2</v>
      </c>
      <c r="Y9" s="3">
        <v>2</v>
      </c>
      <c r="Z9" s="3">
        <v>2</v>
      </c>
      <c r="AA9" s="3">
        <v>2</v>
      </c>
      <c r="AB9" s="3">
        <v>2</v>
      </c>
      <c r="AC9" s="3">
        <v>2</v>
      </c>
      <c r="AD9" s="3">
        <v>2</v>
      </c>
      <c r="AE9" s="3">
        <v>2</v>
      </c>
      <c r="AF9" s="3">
        <v>2</v>
      </c>
      <c r="AG9" s="3">
        <v>2</v>
      </c>
      <c r="AH9" s="3">
        <v>2</v>
      </c>
      <c r="AI9" s="3">
        <v>2</v>
      </c>
      <c r="AJ9" s="3">
        <v>2</v>
      </c>
      <c r="AK9" s="3">
        <v>2</v>
      </c>
      <c r="AL9" s="3">
        <v>2</v>
      </c>
      <c r="AM9" s="3">
        <v>2</v>
      </c>
      <c r="AN9" s="3">
        <v>2</v>
      </c>
      <c r="AO9" s="3">
        <v>2</v>
      </c>
      <c r="AP9" s="3">
        <v>2</v>
      </c>
      <c r="AQ9" s="3">
        <v>2</v>
      </c>
      <c r="AR9" s="3">
        <v>2</v>
      </c>
      <c r="AS9" s="3">
        <v>2</v>
      </c>
      <c r="AT9" s="3">
        <v>2</v>
      </c>
      <c r="AU9" s="3">
        <v>2</v>
      </c>
      <c r="AV9" s="3">
        <v>2</v>
      </c>
      <c r="AW9" s="3">
        <v>2</v>
      </c>
    </row>
    <row r="10" spans="2:50">
      <c r="F10" s="3">
        <v>3</v>
      </c>
      <c r="G10" s="3">
        <v>3</v>
      </c>
      <c r="H10" s="3">
        <v>3</v>
      </c>
      <c r="I10" s="3">
        <v>3</v>
      </c>
      <c r="J10" s="3">
        <v>3</v>
      </c>
      <c r="K10" s="3">
        <v>3</v>
      </c>
      <c r="L10" s="3">
        <v>3</v>
      </c>
      <c r="M10" s="3">
        <v>3</v>
      </c>
      <c r="N10" s="3">
        <v>3</v>
      </c>
      <c r="O10" s="3">
        <v>3</v>
      </c>
      <c r="P10" s="3">
        <v>3</v>
      </c>
      <c r="Q10" s="3">
        <v>3</v>
      </c>
      <c r="R10" s="3">
        <v>3</v>
      </c>
      <c r="S10" s="3">
        <v>3</v>
      </c>
      <c r="T10" s="3">
        <v>3</v>
      </c>
      <c r="U10" s="3">
        <v>3</v>
      </c>
      <c r="V10" s="3">
        <v>3</v>
      </c>
      <c r="W10" s="3">
        <v>3</v>
      </c>
      <c r="X10" s="3">
        <v>3</v>
      </c>
      <c r="Y10" s="3">
        <v>3</v>
      </c>
      <c r="Z10" s="3">
        <v>3</v>
      </c>
      <c r="AA10" s="3">
        <v>3</v>
      </c>
      <c r="AB10" s="3">
        <v>3</v>
      </c>
      <c r="AC10" s="3">
        <v>3</v>
      </c>
      <c r="AD10" s="3">
        <v>3</v>
      </c>
      <c r="AE10" s="3">
        <v>3</v>
      </c>
      <c r="AF10" s="3">
        <v>3</v>
      </c>
      <c r="AG10" s="3">
        <v>3</v>
      </c>
      <c r="AH10" s="3">
        <v>3</v>
      </c>
      <c r="AI10" s="3">
        <v>3</v>
      </c>
      <c r="AJ10" s="3">
        <v>3</v>
      </c>
      <c r="AK10" s="3">
        <v>3</v>
      </c>
      <c r="AL10" s="3">
        <v>3</v>
      </c>
      <c r="AM10" s="3">
        <v>3</v>
      </c>
      <c r="AN10" s="3">
        <v>3</v>
      </c>
      <c r="AO10" s="3">
        <v>3</v>
      </c>
      <c r="AP10" s="3">
        <v>3</v>
      </c>
      <c r="AQ10" s="3">
        <v>3</v>
      </c>
      <c r="AR10" s="3">
        <v>3</v>
      </c>
      <c r="AS10" s="3">
        <v>3</v>
      </c>
      <c r="AT10" s="3">
        <v>3</v>
      </c>
      <c r="AU10" s="3">
        <v>3</v>
      </c>
      <c r="AV10" s="3">
        <v>3</v>
      </c>
      <c r="AW10" s="3">
        <v>3</v>
      </c>
    </row>
    <row r="11" spans="2:50">
      <c r="F11" s="3">
        <v>4</v>
      </c>
      <c r="G11" s="3">
        <v>4</v>
      </c>
      <c r="H11" s="3">
        <v>4</v>
      </c>
      <c r="I11" s="3">
        <v>4</v>
      </c>
      <c r="J11" s="3">
        <v>4</v>
      </c>
      <c r="K11" s="3">
        <v>4</v>
      </c>
      <c r="L11" s="3">
        <v>4</v>
      </c>
      <c r="M11" s="3">
        <v>4</v>
      </c>
      <c r="N11" s="3">
        <v>4</v>
      </c>
      <c r="O11" s="3">
        <v>4</v>
      </c>
      <c r="P11" s="3">
        <v>4</v>
      </c>
      <c r="Q11" s="3">
        <v>4</v>
      </c>
      <c r="R11" s="3">
        <v>4</v>
      </c>
      <c r="S11" s="3">
        <v>4</v>
      </c>
      <c r="T11" s="3">
        <v>4</v>
      </c>
      <c r="U11" s="3">
        <v>4</v>
      </c>
      <c r="V11" s="3">
        <v>4</v>
      </c>
      <c r="W11" s="3">
        <v>4</v>
      </c>
      <c r="X11" s="3">
        <v>4</v>
      </c>
      <c r="Y11" s="3">
        <v>4</v>
      </c>
      <c r="Z11" s="3">
        <v>4</v>
      </c>
      <c r="AA11" s="3">
        <v>4</v>
      </c>
      <c r="AB11" s="3">
        <v>4</v>
      </c>
      <c r="AC11" s="3">
        <v>4</v>
      </c>
      <c r="AD11" s="3">
        <v>4</v>
      </c>
      <c r="AE11" s="3">
        <v>4</v>
      </c>
      <c r="AF11" s="3">
        <v>4</v>
      </c>
      <c r="AG11" s="3">
        <v>4</v>
      </c>
      <c r="AH11" s="3">
        <v>4</v>
      </c>
      <c r="AI11" s="3">
        <v>4</v>
      </c>
      <c r="AJ11" s="3">
        <v>4</v>
      </c>
      <c r="AK11" s="3">
        <v>4</v>
      </c>
      <c r="AL11" s="3">
        <v>4</v>
      </c>
      <c r="AM11" s="3">
        <v>4</v>
      </c>
      <c r="AN11" s="3">
        <v>4</v>
      </c>
      <c r="AO11" s="3">
        <v>4</v>
      </c>
      <c r="AP11" s="3">
        <v>4</v>
      </c>
      <c r="AQ11" s="3">
        <v>4</v>
      </c>
      <c r="AR11" s="3">
        <v>4</v>
      </c>
      <c r="AS11" s="3">
        <v>4</v>
      </c>
      <c r="AT11" s="3">
        <v>4</v>
      </c>
      <c r="AU11" s="3">
        <v>4</v>
      </c>
      <c r="AV11" s="3">
        <v>4</v>
      </c>
      <c r="AW11" s="3">
        <v>4</v>
      </c>
    </row>
    <row r="12" spans="2:50">
      <c r="F12" s="3">
        <v>5</v>
      </c>
      <c r="G12" s="3">
        <v>5</v>
      </c>
      <c r="H12" s="3">
        <v>5</v>
      </c>
      <c r="I12" s="3">
        <v>5</v>
      </c>
      <c r="J12" s="3">
        <v>5</v>
      </c>
      <c r="K12" s="3">
        <v>5</v>
      </c>
      <c r="L12" s="3">
        <v>5</v>
      </c>
      <c r="M12" s="3">
        <v>5</v>
      </c>
      <c r="N12" s="3">
        <v>5</v>
      </c>
      <c r="O12" s="3">
        <v>5</v>
      </c>
      <c r="P12" s="3">
        <v>5</v>
      </c>
      <c r="Q12" s="3">
        <v>5</v>
      </c>
      <c r="R12" s="3">
        <v>5</v>
      </c>
      <c r="S12" s="3">
        <v>5</v>
      </c>
      <c r="T12" s="3">
        <v>5</v>
      </c>
      <c r="U12" s="3">
        <v>5</v>
      </c>
      <c r="V12" s="3">
        <v>5</v>
      </c>
      <c r="W12" s="3">
        <v>5</v>
      </c>
      <c r="X12" s="3">
        <v>5</v>
      </c>
      <c r="Y12" s="3">
        <v>5</v>
      </c>
      <c r="Z12" s="3">
        <v>5</v>
      </c>
      <c r="AA12" s="3">
        <v>5</v>
      </c>
      <c r="AB12" s="3">
        <v>5</v>
      </c>
      <c r="AC12" s="3">
        <v>5</v>
      </c>
      <c r="AD12" s="3">
        <v>5</v>
      </c>
      <c r="AE12" s="3">
        <v>5</v>
      </c>
      <c r="AF12" s="3">
        <v>5</v>
      </c>
      <c r="AG12" s="3">
        <v>5</v>
      </c>
      <c r="AH12" s="3">
        <v>5</v>
      </c>
      <c r="AI12" s="3">
        <v>5</v>
      </c>
      <c r="AJ12" s="3">
        <v>5</v>
      </c>
      <c r="AK12" s="3">
        <v>5</v>
      </c>
      <c r="AL12" s="3">
        <v>5</v>
      </c>
      <c r="AM12" s="3">
        <v>5</v>
      </c>
      <c r="AN12" s="3">
        <v>5</v>
      </c>
      <c r="AO12" s="3">
        <v>5</v>
      </c>
      <c r="AP12" s="3">
        <v>5</v>
      </c>
      <c r="AQ12" s="3">
        <v>5</v>
      </c>
      <c r="AR12" s="3">
        <v>5</v>
      </c>
      <c r="AS12" s="3">
        <v>5</v>
      </c>
      <c r="AT12" s="3">
        <v>5</v>
      </c>
      <c r="AU12" s="3">
        <v>5</v>
      </c>
      <c r="AV12" s="3">
        <v>5</v>
      </c>
      <c r="AW12" s="3">
        <v>5</v>
      </c>
    </row>
    <row r="13" spans="2:50">
      <c r="F13" s="3">
        <v>6</v>
      </c>
      <c r="H13" s="3">
        <v>6</v>
      </c>
      <c r="J13" s="3">
        <v>6</v>
      </c>
      <c r="L13" s="3">
        <v>6</v>
      </c>
      <c r="N13" s="3">
        <v>6</v>
      </c>
      <c r="P13" s="3">
        <v>6</v>
      </c>
      <c r="R13" s="3">
        <v>6</v>
      </c>
      <c r="T13" s="3">
        <v>6</v>
      </c>
      <c r="V13" s="3">
        <v>6</v>
      </c>
      <c r="X13" s="3">
        <v>6</v>
      </c>
      <c r="Z13" s="3">
        <v>6</v>
      </c>
      <c r="AB13" s="3">
        <v>6</v>
      </c>
      <c r="AD13" s="3">
        <v>6</v>
      </c>
      <c r="AF13" s="3">
        <v>6</v>
      </c>
      <c r="AH13" s="3">
        <v>6</v>
      </c>
      <c r="AJ13" s="3">
        <v>6</v>
      </c>
      <c r="AL13" s="3">
        <v>6</v>
      </c>
      <c r="AN13" s="3">
        <v>6</v>
      </c>
      <c r="AP13" s="3">
        <v>6</v>
      </c>
      <c r="AR13" s="3">
        <v>6</v>
      </c>
      <c r="AT13" s="3">
        <v>6</v>
      </c>
      <c r="AV13" s="3">
        <v>6</v>
      </c>
    </row>
    <row r="14" spans="2:50">
      <c r="F14" s="3">
        <v>7</v>
      </c>
      <c r="H14" s="3">
        <v>7</v>
      </c>
      <c r="J14" s="3">
        <v>7</v>
      </c>
      <c r="L14" s="3">
        <v>7</v>
      </c>
      <c r="N14" s="3">
        <v>7</v>
      </c>
      <c r="P14" s="3">
        <v>7</v>
      </c>
      <c r="R14" s="3">
        <v>7</v>
      </c>
      <c r="T14" s="3">
        <v>7</v>
      </c>
      <c r="V14" s="3">
        <v>7</v>
      </c>
      <c r="X14" s="3">
        <v>7</v>
      </c>
      <c r="Z14" s="3">
        <v>7</v>
      </c>
      <c r="AB14" s="3">
        <v>7</v>
      </c>
      <c r="AD14" s="3">
        <v>7</v>
      </c>
      <c r="AF14" s="3">
        <v>7</v>
      </c>
      <c r="AH14" s="3">
        <v>7</v>
      </c>
      <c r="AJ14" s="3">
        <v>7</v>
      </c>
      <c r="AL14" s="3">
        <v>7</v>
      </c>
      <c r="AN14" s="3">
        <v>7</v>
      </c>
      <c r="AP14" s="3">
        <v>7</v>
      </c>
      <c r="AR14" s="3">
        <v>7</v>
      </c>
      <c r="AT14" s="3">
        <v>7</v>
      </c>
      <c r="AV14" s="3">
        <v>7</v>
      </c>
    </row>
    <row r="15" spans="2:50">
      <c r="F15" s="3">
        <v>8</v>
      </c>
      <c r="H15" s="3">
        <v>8</v>
      </c>
      <c r="J15" s="3">
        <v>8</v>
      </c>
      <c r="L15" s="3">
        <v>8</v>
      </c>
      <c r="N15" s="3">
        <v>8</v>
      </c>
      <c r="P15" s="3">
        <v>8</v>
      </c>
      <c r="R15" s="3">
        <v>8</v>
      </c>
      <c r="T15" s="3">
        <v>8</v>
      </c>
      <c r="V15" s="3">
        <v>8</v>
      </c>
      <c r="X15" s="3">
        <v>8</v>
      </c>
      <c r="Z15" s="3">
        <v>8</v>
      </c>
      <c r="AB15" s="3">
        <v>8</v>
      </c>
      <c r="AD15" s="3">
        <v>8</v>
      </c>
      <c r="AF15" s="3">
        <v>8</v>
      </c>
      <c r="AH15" s="3">
        <v>8</v>
      </c>
      <c r="AJ15" s="3">
        <v>8</v>
      </c>
      <c r="AL15" s="3">
        <v>8</v>
      </c>
      <c r="AN15" s="3">
        <v>8</v>
      </c>
      <c r="AP15" s="3">
        <v>8</v>
      </c>
      <c r="AR15" s="3">
        <v>8</v>
      </c>
      <c r="AT15" s="3">
        <v>8</v>
      </c>
      <c r="AV15" s="3">
        <v>8</v>
      </c>
    </row>
    <row r="16" spans="2:50">
      <c r="F16" s="3">
        <v>9</v>
      </c>
      <c r="H16" s="3">
        <v>9</v>
      </c>
      <c r="J16" s="3">
        <v>9</v>
      </c>
      <c r="L16" s="3">
        <v>9</v>
      </c>
      <c r="N16" s="3">
        <v>9</v>
      </c>
      <c r="P16" s="3">
        <v>9</v>
      </c>
      <c r="R16" s="3">
        <v>9</v>
      </c>
      <c r="T16" s="3">
        <v>9</v>
      </c>
      <c r="V16" s="3">
        <v>9</v>
      </c>
      <c r="X16" s="3">
        <v>9</v>
      </c>
      <c r="Z16" s="3">
        <v>9</v>
      </c>
      <c r="AB16" s="3">
        <v>9</v>
      </c>
      <c r="AD16" s="3">
        <v>9</v>
      </c>
      <c r="AF16" s="3">
        <v>9</v>
      </c>
      <c r="AH16" s="3">
        <v>9</v>
      </c>
      <c r="AJ16" s="3">
        <v>9</v>
      </c>
      <c r="AL16" s="3">
        <v>9</v>
      </c>
      <c r="AN16" s="3">
        <v>9</v>
      </c>
      <c r="AP16" s="3">
        <v>9</v>
      </c>
      <c r="AR16" s="3">
        <v>9</v>
      </c>
      <c r="AT16" s="3">
        <v>9</v>
      </c>
      <c r="AV16" s="3">
        <v>9</v>
      </c>
    </row>
    <row r="17" spans="6:48">
      <c r="F17" s="3">
        <v>10</v>
      </c>
      <c r="H17" s="3">
        <v>10</v>
      </c>
      <c r="J17" s="3">
        <v>10</v>
      </c>
      <c r="L17" s="3">
        <v>10</v>
      </c>
      <c r="N17" s="3">
        <v>10</v>
      </c>
      <c r="P17" s="3">
        <v>10</v>
      </c>
      <c r="R17" s="3">
        <v>10</v>
      </c>
      <c r="T17" s="3">
        <v>10</v>
      </c>
      <c r="V17" s="3">
        <v>10</v>
      </c>
      <c r="X17" s="3">
        <v>10</v>
      </c>
      <c r="Z17" s="3">
        <v>10</v>
      </c>
      <c r="AB17" s="3">
        <v>10</v>
      </c>
      <c r="AD17" s="3">
        <v>10</v>
      </c>
      <c r="AF17" s="3">
        <v>10</v>
      </c>
      <c r="AH17" s="3">
        <v>10</v>
      </c>
      <c r="AJ17" s="3">
        <v>10</v>
      </c>
      <c r="AL17" s="3">
        <v>10</v>
      </c>
      <c r="AN17" s="3">
        <v>10</v>
      </c>
      <c r="AP17" s="3">
        <v>10</v>
      </c>
      <c r="AR17" s="3">
        <v>10</v>
      </c>
      <c r="AT17" s="3">
        <v>10</v>
      </c>
      <c r="AV17" s="3">
        <v>10</v>
      </c>
    </row>
    <row r="18" spans="6:48">
      <c r="F18" s="3">
        <v>11</v>
      </c>
      <c r="H18" s="3">
        <v>11</v>
      </c>
      <c r="J18" s="3">
        <v>11</v>
      </c>
      <c r="L18" s="3">
        <v>11</v>
      </c>
      <c r="N18" s="3">
        <v>11</v>
      </c>
      <c r="P18" s="3">
        <v>11</v>
      </c>
      <c r="R18" s="3">
        <v>11</v>
      </c>
      <c r="T18" s="3">
        <v>11</v>
      </c>
      <c r="V18" s="3">
        <v>11</v>
      </c>
      <c r="X18" s="3">
        <v>11</v>
      </c>
      <c r="Z18" s="3">
        <v>11</v>
      </c>
      <c r="AB18" s="3">
        <v>11</v>
      </c>
      <c r="AD18" s="3">
        <v>11</v>
      </c>
      <c r="AF18" s="3">
        <v>11</v>
      </c>
      <c r="AH18" s="3">
        <v>11</v>
      </c>
      <c r="AJ18" s="3">
        <v>11</v>
      </c>
      <c r="AL18" s="3">
        <v>11</v>
      </c>
      <c r="AN18" s="3">
        <v>11</v>
      </c>
      <c r="AP18" s="3">
        <v>11</v>
      </c>
      <c r="AR18" s="3">
        <v>11</v>
      </c>
      <c r="AT18" s="3">
        <v>11</v>
      </c>
      <c r="AV18" s="3">
        <v>11</v>
      </c>
    </row>
  </sheetData>
  <mergeCells count="31">
    <mergeCell ref="AM3:AP3"/>
    <mergeCell ref="AQ3:AT3"/>
    <mergeCell ref="AU3:AX3"/>
    <mergeCell ref="C4:F4"/>
    <mergeCell ref="G4:J4"/>
    <mergeCell ref="K4:N4"/>
    <mergeCell ref="O4:R4"/>
    <mergeCell ref="S4:V4"/>
    <mergeCell ref="W4:Z4"/>
    <mergeCell ref="AA4:AD4"/>
    <mergeCell ref="AE4:AH4"/>
    <mergeCell ref="AI4:AL4"/>
    <mergeCell ref="AM4:AP4"/>
    <mergeCell ref="AQ4:AT4"/>
    <mergeCell ref="AU4:AX4"/>
    <mergeCell ref="AU2:AW2"/>
    <mergeCell ref="C3:F3"/>
    <mergeCell ref="G3:J3"/>
    <mergeCell ref="K3:N3"/>
    <mergeCell ref="O3:R3"/>
    <mergeCell ref="S3:V3"/>
    <mergeCell ref="W3:Z3"/>
    <mergeCell ref="AA3:AD3"/>
    <mergeCell ref="AE3:AH3"/>
    <mergeCell ref="AI3:AL3"/>
    <mergeCell ref="E2:G2"/>
    <mergeCell ref="H2:V2"/>
    <mergeCell ref="W2:Y2"/>
    <mergeCell ref="Z2:AB2"/>
    <mergeCell ref="AC2:AQ2"/>
    <mergeCell ref="AR2:AT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5C19-7109-4D6E-AA40-36D4CF18EB2F}">
  <dimension ref="A1:AY38"/>
  <sheetViews>
    <sheetView zoomScale="70" zoomScaleNormal="70" workbookViewId="0">
      <selection activeCell="B9" sqref="B9"/>
    </sheetView>
  </sheetViews>
  <sheetFormatPr baseColWidth="10" defaultRowHeight="15"/>
  <cols>
    <col min="1" max="2" width="48.5703125" bestFit="1" customWidth="1"/>
    <col min="3" max="3" width="5.7109375" customWidth="1"/>
    <col min="4" max="6" width="3.5703125" style="4" customWidth="1"/>
    <col min="7" max="23" width="3.5703125" customWidth="1"/>
    <col min="24" max="24" width="4.5703125" customWidth="1"/>
    <col min="25" max="50" width="3.5703125" customWidth="1"/>
    <col min="51" max="51" width="3.5703125" style="4" customWidth="1"/>
  </cols>
  <sheetData>
    <row r="1" spans="1:51">
      <c r="A1" s="278" t="s">
        <v>773</v>
      </c>
      <c r="B1" s="450">
        <f>+COUNTA(I12:W19)/2</f>
        <v>56</v>
      </c>
    </row>
    <row r="2" spans="1:51" ht="60">
      <c r="A2" s="448" t="s">
        <v>775</v>
      </c>
      <c r="B2" s="450">
        <v>4</v>
      </c>
    </row>
    <row r="3" spans="1:51" ht="75">
      <c r="A3" s="448" t="s">
        <v>774</v>
      </c>
      <c r="B3" s="450">
        <v>7</v>
      </c>
    </row>
    <row r="4" spans="1:51">
      <c r="A4" t="s">
        <v>776</v>
      </c>
      <c r="B4" s="451">
        <f>SUM(B1:B3)</f>
        <v>67</v>
      </c>
    </row>
    <row r="5" spans="1:51">
      <c r="A5" t="s">
        <v>777</v>
      </c>
      <c r="B5" s="451">
        <v>67</v>
      </c>
      <c r="D5"/>
      <c r="E5"/>
      <c r="F5"/>
    </row>
    <row r="6" spans="1:51" ht="15.75">
      <c r="A6" s="75" t="s">
        <v>778</v>
      </c>
      <c r="B6" s="444">
        <f>+B4+B5</f>
        <v>134</v>
      </c>
      <c r="C6" s="449"/>
      <c r="D6" s="3"/>
      <c r="E6" s="3"/>
      <c r="F6" s="518"/>
      <c r="G6" s="518"/>
      <c r="H6" s="518"/>
      <c r="I6" s="491" t="s">
        <v>162</v>
      </c>
      <c r="J6" s="491"/>
      <c r="K6" s="491"/>
      <c r="L6" s="491"/>
      <c r="M6" s="491"/>
      <c r="N6" s="491"/>
      <c r="O6" s="491"/>
      <c r="P6" s="491"/>
      <c r="Q6" s="491"/>
      <c r="R6" s="491"/>
      <c r="S6" s="491"/>
      <c r="T6" s="491"/>
      <c r="U6" s="491"/>
      <c r="V6" s="491"/>
      <c r="W6" s="491"/>
      <c r="X6" s="518"/>
      <c r="Y6" s="518"/>
      <c r="Z6" s="518"/>
      <c r="AA6" s="518"/>
      <c r="AB6" s="518"/>
      <c r="AC6" s="518"/>
      <c r="AD6" s="491" t="s">
        <v>165</v>
      </c>
      <c r="AE6" s="491"/>
      <c r="AF6" s="491"/>
      <c r="AG6" s="491"/>
      <c r="AH6" s="491"/>
      <c r="AI6" s="491"/>
      <c r="AJ6" s="491"/>
      <c r="AK6" s="491"/>
      <c r="AL6" s="491"/>
      <c r="AM6" s="491"/>
      <c r="AN6" s="491"/>
      <c r="AO6" s="491"/>
      <c r="AP6" s="491"/>
      <c r="AQ6" s="491"/>
      <c r="AR6" s="491"/>
      <c r="AS6" s="518"/>
      <c r="AT6" s="518"/>
      <c r="AU6" s="518"/>
      <c r="AV6" s="518"/>
      <c r="AW6" s="518"/>
      <c r="AX6" s="518"/>
    </row>
    <row r="7" spans="1:51">
      <c r="A7" s="75"/>
      <c r="D7" s="500" t="s">
        <v>168</v>
      </c>
      <c r="E7" s="500"/>
      <c r="F7" s="500"/>
      <c r="G7" s="500"/>
      <c r="H7" s="489" t="s">
        <v>169</v>
      </c>
      <c r="I7" s="489"/>
      <c r="J7" s="489"/>
      <c r="K7" s="489"/>
      <c r="L7" s="489" t="s">
        <v>170</v>
      </c>
      <c r="M7" s="489"/>
      <c r="N7" s="489"/>
      <c r="O7" s="489"/>
      <c r="P7" s="489" t="s">
        <v>171</v>
      </c>
      <c r="Q7" s="489"/>
      <c r="R7" s="489"/>
      <c r="S7" s="489"/>
      <c r="T7" s="489" t="s">
        <v>172</v>
      </c>
      <c r="U7" s="489"/>
      <c r="V7" s="489"/>
      <c r="W7" s="489"/>
      <c r="X7" s="489" t="s">
        <v>173</v>
      </c>
      <c r="Y7" s="489"/>
      <c r="Z7" s="489"/>
      <c r="AA7" s="489"/>
      <c r="AB7" s="489" t="s">
        <v>174</v>
      </c>
      <c r="AC7" s="489"/>
      <c r="AD7" s="489"/>
      <c r="AE7" s="489"/>
      <c r="AF7" s="489" t="s">
        <v>175</v>
      </c>
      <c r="AG7" s="489"/>
      <c r="AH7" s="489"/>
      <c r="AI7" s="489"/>
      <c r="AJ7" s="489" t="s">
        <v>176</v>
      </c>
      <c r="AK7" s="489"/>
      <c r="AL7" s="489"/>
      <c r="AM7" s="489"/>
      <c r="AN7" s="489" t="s">
        <v>177</v>
      </c>
      <c r="AO7" s="489"/>
      <c r="AP7" s="489"/>
      <c r="AQ7" s="489"/>
      <c r="AR7" s="489" t="s">
        <v>178</v>
      </c>
      <c r="AS7" s="489"/>
      <c r="AT7" s="489"/>
      <c r="AU7" s="489"/>
      <c r="AV7" s="489" t="s">
        <v>179</v>
      </c>
      <c r="AW7" s="489"/>
      <c r="AX7" s="489"/>
      <c r="AY7" s="489"/>
    </row>
    <row r="8" spans="1:51">
      <c r="A8" s="75" t="s">
        <v>158</v>
      </c>
      <c r="B8" s="444">
        <f>+'Calendario Torneos VF'!B2</f>
        <v>352</v>
      </c>
      <c r="D8" s="492" t="s">
        <v>184</v>
      </c>
      <c r="E8" s="492"/>
      <c r="F8" s="492"/>
      <c r="G8" s="492"/>
      <c r="H8" s="493" t="s">
        <v>185</v>
      </c>
      <c r="I8" s="493"/>
      <c r="J8" s="493"/>
      <c r="K8" s="493"/>
      <c r="L8" s="492" t="s">
        <v>186</v>
      </c>
      <c r="M8" s="492"/>
      <c r="N8" s="492"/>
      <c r="O8" s="492"/>
      <c r="P8" s="493" t="s">
        <v>187</v>
      </c>
      <c r="Q8" s="493"/>
      <c r="R8" s="493"/>
      <c r="S8" s="493"/>
      <c r="T8" s="492" t="s">
        <v>188</v>
      </c>
      <c r="U8" s="492"/>
      <c r="V8" s="492"/>
      <c r="W8" s="492"/>
      <c r="X8" s="493" t="s">
        <v>189</v>
      </c>
      <c r="Y8" s="493"/>
      <c r="Z8" s="493"/>
      <c r="AA8" s="493"/>
      <c r="AB8" s="492" t="s">
        <v>190</v>
      </c>
      <c r="AC8" s="492"/>
      <c r="AD8" s="492"/>
      <c r="AE8" s="492"/>
      <c r="AF8" s="493" t="s">
        <v>191</v>
      </c>
      <c r="AG8" s="493"/>
      <c r="AH8" s="493"/>
      <c r="AI8" s="493"/>
      <c r="AJ8" s="492" t="s">
        <v>192</v>
      </c>
      <c r="AK8" s="492"/>
      <c r="AL8" s="492"/>
      <c r="AM8" s="492"/>
      <c r="AN8" s="493" t="s">
        <v>193</v>
      </c>
      <c r="AO8" s="493"/>
      <c r="AP8" s="493"/>
      <c r="AQ8" s="493"/>
      <c r="AR8" s="492" t="s">
        <v>194</v>
      </c>
      <c r="AS8" s="492"/>
      <c r="AT8" s="492"/>
      <c r="AU8" s="492"/>
      <c r="AV8" s="493" t="s">
        <v>195</v>
      </c>
      <c r="AW8" s="493"/>
      <c r="AX8" s="493"/>
      <c r="AY8" s="493"/>
    </row>
    <row r="9" spans="1:51">
      <c r="A9" s="75" t="s">
        <v>779</v>
      </c>
      <c r="B9" s="16">
        <f>SUM(B6:B8)</f>
        <v>486</v>
      </c>
      <c r="D9" s="5" t="s">
        <v>196</v>
      </c>
      <c r="E9" s="5" t="s">
        <v>197</v>
      </c>
      <c r="F9" s="5" t="s">
        <v>198</v>
      </c>
      <c r="G9" s="76" t="s">
        <v>199</v>
      </c>
      <c r="H9" s="16" t="s">
        <v>200</v>
      </c>
      <c r="I9" s="16" t="s">
        <v>201</v>
      </c>
      <c r="J9" s="16" t="s">
        <v>202</v>
      </c>
      <c r="K9" s="16" t="s">
        <v>203</v>
      </c>
      <c r="L9" s="76" t="s">
        <v>204</v>
      </c>
      <c r="M9" s="76" t="s">
        <v>205</v>
      </c>
      <c r="N9" s="76" t="s">
        <v>206</v>
      </c>
      <c r="O9" s="76" t="s">
        <v>207</v>
      </c>
      <c r="P9" s="16" t="s">
        <v>208</v>
      </c>
      <c r="Q9" s="16" t="s">
        <v>209</v>
      </c>
      <c r="R9" s="16" t="s">
        <v>210</v>
      </c>
      <c r="S9" s="16" t="s">
        <v>211</v>
      </c>
      <c r="T9" s="76" t="s">
        <v>212</v>
      </c>
      <c r="U9" s="76" t="s">
        <v>213</v>
      </c>
      <c r="V9" s="76" t="s">
        <v>214</v>
      </c>
      <c r="W9" s="76" t="s">
        <v>215</v>
      </c>
      <c r="X9" s="16" t="s">
        <v>216</v>
      </c>
      <c r="Y9" s="16" t="s">
        <v>217</v>
      </c>
      <c r="Z9" s="16" t="s">
        <v>218</v>
      </c>
      <c r="AA9" s="16" t="s">
        <v>219</v>
      </c>
      <c r="AB9" s="76" t="s">
        <v>220</v>
      </c>
      <c r="AC9" s="76" t="s">
        <v>221</v>
      </c>
      <c r="AD9" s="76" t="s">
        <v>222</v>
      </c>
      <c r="AE9" s="76" t="s">
        <v>223</v>
      </c>
      <c r="AF9" s="16" t="s">
        <v>224</v>
      </c>
      <c r="AG9" s="16" t="s">
        <v>225</v>
      </c>
      <c r="AH9" s="16" t="s">
        <v>226</v>
      </c>
      <c r="AI9" s="16" t="s">
        <v>227</v>
      </c>
      <c r="AJ9" s="76" t="s">
        <v>228</v>
      </c>
      <c r="AK9" s="76" t="s">
        <v>229</v>
      </c>
      <c r="AL9" s="76" t="s">
        <v>230</v>
      </c>
      <c r="AM9" s="76" t="s">
        <v>231</v>
      </c>
      <c r="AN9" s="16" t="s">
        <v>232</v>
      </c>
      <c r="AO9" s="16" t="s">
        <v>233</v>
      </c>
      <c r="AP9" s="16" t="s">
        <v>234</v>
      </c>
      <c r="AQ9" s="16" t="s">
        <v>235</v>
      </c>
      <c r="AR9" s="76" t="s">
        <v>236</v>
      </c>
      <c r="AS9" s="76" t="s">
        <v>237</v>
      </c>
      <c r="AT9" s="76" t="s">
        <v>238</v>
      </c>
      <c r="AU9" s="76" t="s">
        <v>239</v>
      </c>
      <c r="AV9" s="16" t="s">
        <v>240</v>
      </c>
      <c r="AW9" s="16" t="s">
        <v>241</v>
      </c>
      <c r="AX9" s="16" t="s">
        <v>242</v>
      </c>
      <c r="AY9" s="5" t="s">
        <v>243</v>
      </c>
    </row>
    <row r="10" spans="1:51">
      <c r="A10" s="75"/>
      <c r="D10" s="3"/>
      <c r="E10" s="3"/>
      <c r="F10" s="3"/>
      <c r="G10" s="3"/>
      <c r="H10" s="3"/>
      <c r="I10" s="3" t="s">
        <v>738</v>
      </c>
      <c r="J10" s="3" t="s">
        <v>738</v>
      </c>
      <c r="K10" s="3" t="s">
        <v>738</v>
      </c>
      <c r="L10" s="3" t="s">
        <v>738</v>
      </c>
      <c r="M10" s="3" t="s">
        <v>738</v>
      </c>
      <c r="N10" s="3" t="s">
        <v>738</v>
      </c>
      <c r="O10" s="3" t="s">
        <v>738</v>
      </c>
      <c r="P10" s="3"/>
      <c r="Q10" s="3" t="s">
        <v>739</v>
      </c>
      <c r="R10" s="3" t="s">
        <v>739</v>
      </c>
      <c r="S10" s="3" t="s">
        <v>739</v>
      </c>
      <c r="T10" s="3" t="s">
        <v>739</v>
      </c>
      <c r="U10" s="3" t="s">
        <v>739</v>
      </c>
      <c r="V10" s="3" t="s">
        <v>739</v>
      </c>
      <c r="W10" s="3" t="s">
        <v>739</v>
      </c>
      <c r="X10" s="3"/>
      <c r="Y10" s="3"/>
      <c r="Z10" s="3"/>
      <c r="AA10" s="3"/>
      <c r="AB10" s="3"/>
      <c r="AC10" s="3"/>
      <c r="AD10" s="3" t="s">
        <v>738</v>
      </c>
      <c r="AE10" s="3" t="s">
        <v>738</v>
      </c>
      <c r="AF10" s="3" t="s">
        <v>738</v>
      </c>
      <c r="AG10" s="3" t="s">
        <v>738</v>
      </c>
      <c r="AH10" s="3" t="s">
        <v>738</v>
      </c>
      <c r="AI10" s="3" t="s">
        <v>738</v>
      </c>
      <c r="AJ10" s="3" t="s">
        <v>738</v>
      </c>
      <c r="AK10" s="3"/>
      <c r="AL10" s="3" t="s">
        <v>739</v>
      </c>
      <c r="AM10" s="3" t="s">
        <v>739</v>
      </c>
      <c r="AN10" s="3" t="s">
        <v>739</v>
      </c>
      <c r="AO10" s="3" t="s">
        <v>739</v>
      </c>
      <c r="AP10" s="3" t="s">
        <v>739</v>
      </c>
      <c r="AQ10" s="3" t="s">
        <v>739</v>
      </c>
      <c r="AR10" s="3" t="s">
        <v>739</v>
      </c>
      <c r="AS10" s="3"/>
      <c r="AT10" s="3"/>
      <c r="AU10" s="3"/>
      <c r="AV10" s="3"/>
      <c r="AW10" s="3"/>
      <c r="AX10" s="3"/>
      <c r="AY10" s="3"/>
    </row>
    <row r="11" spans="1:51" ht="15.75">
      <c r="D11" s="3"/>
      <c r="E11" s="3"/>
      <c r="F11" s="3"/>
      <c r="G11" s="3"/>
      <c r="H11" s="3"/>
      <c r="I11" s="79" t="s">
        <v>244</v>
      </c>
      <c r="J11" s="79" t="s">
        <v>245</v>
      </c>
      <c r="K11" s="79" t="s">
        <v>246</v>
      </c>
      <c r="L11" s="79" t="s">
        <v>247</v>
      </c>
      <c r="M11" s="79" t="s">
        <v>248</v>
      </c>
      <c r="N11" s="79" t="s">
        <v>249</v>
      </c>
      <c r="O11" s="79" t="s">
        <v>250</v>
      </c>
      <c r="Q11" s="79" t="s">
        <v>251</v>
      </c>
      <c r="R11" s="79" t="s">
        <v>252</v>
      </c>
      <c r="S11" s="79" t="s">
        <v>253</v>
      </c>
      <c r="T11" s="79" t="s">
        <v>254</v>
      </c>
      <c r="U11" s="79" t="s">
        <v>255</v>
      </c>
      <c r="V11" s="79" t="s">
        <v>256</v>
      </c>
      <c r="W11" s="79" t="s">
        <v>257</v>
      </c>
      <c r="X11" s="445" t="s">
        <v>756</v>
      </c>
      <c r="Y11" s="445" t="s">
        <v>756</v>
      </c>
      <c r="Z11" s="445" t="s">
        <v>757</v>
      </c>
      <c r="AA11" s="445" t="s">
        <v>757</v>
      </c>
      <c r="AB11" s="3"/>
      <c r="AC11" s="3"/>
      <c r="AD11" s="79" t="s">
        <v>244</v>
      </c>
      <c r="AE11" s="79" t="s">
        <v>245</v>
      </c>
      <c r="AF11" s="79" t="s">
        <v>246</v>
      </c>
      <c r="AG11" s="79" t="s">
        <v>247</v>
      </c>
      <c r="AH11" s="79" t="s">
        <v>248</v>
      </c>
      <c r="AI11" s="79" t="s">
        <v>249</v>
      </c>
      <c r="AJ11" s="79" t="s">
        <v>250</v>
      </c>
      <c r="AL11" s="79" t="s">
        <v>251</v>
      </c>
      <c r="AM11" s="79" t="s">
        <v>252</v>
      </c>
      <c r="AN11" s="79" t="s">
        <v>253</v>
      </c>
      <c r="AO11" s="79" t="s">
        <v>254</v>
      </c>
      <c r="AP11" s="79" t="s">
        <v>255</v>
      </c>
      <c r="AQ11" s="79" t="s">
        <v>256</v>
      </c>
      <c r="AR11" s="79" t="s">
        <v>257</v>
      </c>
      <c r="AS11" s="445" t="s">
        <v>756</v>
      </c>
      <c r="AT11" s="445" t="s">
        <v>756</v>
      </c>
      <c r="AU11" s="445" t="s">
        <v>757</v>
      </c>
      <c r="AV11" s="445" t="s">
        <v>757</v>
      </c>
      <c r="AW11" s="3"/>
      <c r="AX11" s="3"/>
      <c r="AY11" s="3"/>
    </row>
    <row r="12" spans="1:51">
      <c r="C12" s="16">
        <v>1</v>
      </c>
      <c r="H12" t="s">
        <v>758</v>
      </c>
      <c r="I12" s="77">
        <v>2</v>
      </c>
      <c r="J12" s="78">
        <v>3</v>
      </c>
      <c r="K12" s="77">
        <v>4</v>
      </c>
      <c r="L12" s="78">
        <v>5</v>
      </c>
      <c r="M12" s="77">
        <v>6</v>
      </c>
      <c r="N12" s="78">
        <v>7</v>
      </c>
      <c r="O12" s="77">
        <v>8</v>
      </c>
      <c r="Q12" s="77">
        <v>2</v>
      </c>
      <c r="R12" s="78">
        <v>3</v>
      </c>
      <c r="S12" s="77">
        <v>4</v>
      </c>
      <c r="T12" s="78">
        <v>5</v>
      </c>
      <c r="U12" s="77">
        <v>6</v>
      </c>
      <c r="V12" s="78">
        <v>7</v>
      </c>
      <c r="W12" s="77">
        <v>8</v>
      </c>
      <c r="AD12" s="77">
        <v>2</v>
      </c>
      <c r="AE12" s="78">
        <v>3</v>
      </c>
      <c r="AF12" s="77">
        <v>4</v>
      </c>
      <c r="AG12" s="78">
        <v>5</v>
      </c>
      <c r="AH12" s="77">
        <v>6</v>
      </c>
      <c r="AI12" s="78">
        <v>7</v>
      </c>
      <c r="AJ12" s="77">
        <v>8</v>
      </c>
      <c r="AL12" s="77">
        <v>2</v>
      </c>
      <c r="AM12" s="78">
        <v>3</v>
      </c>
      <c r="AN12" s="77">
        <v>4</v>
      </c>
      <c r="AO12" s="78">
        <v>5</v>
      </c>
      <c r="AP12" s="77">
        <v>6</v>
      </c>
      <c r="AQ12" s="78">
        <v>7</v>
      </c>
      <c r="AR12" s="77">
        <v>8</v>
      </c>
    </row>
    <row r="13" spans="1:51">
      <c r="C13" s="16">
        <v>2</v>
      </c>
      <c r="H13" t="s">
        <v>758</v>
      </c>
      <c r="I13" s="77">
        <v>1</v>
      </c>
      <c r="J13" s="78">
        <v>4</v>
      </c>
      <c r="K13" s="77">
        <v>3</v>
      </c>
      <c r="L13" s="78">
        <v>6</v>
      </c>
      <c r="M13" s="77">
        <v>5</v>
      </c>
      <c r="N13" s="78">
        <v>8</v>
      </c>
      <c r="O13" s="77">
        <v>7</v>
      </c>
      <c r="Q13" s="77">
        <v>1</v>
      </c>
      <c r="R13" s="78">
        <v>4</v>
      </c>
      <c r="S13" s="77">
        <v>3</v>
      </c>
      <c r="T13" s="78">
        <v>6</v>
      </c>
      <c r="U13" s="77">
        <v>5</v>
      </c>
      <c r="V13" s="78">
        <v>8</v>
      </c>
      <c r="W13" s="77">
        <v>7</v>
      </c>
      <c r="AD13" s="77">
        <v>1</v>
      </c>
      <c r="AE13" s="78">
        <v>4</v>
      </c>
      <c r="AF13" s="77">
        <v>3</v>
      </c>
      <c r="AG13" s="78">
        <v>6</v>
      </c>
      <c r="AH13" s="77">
        <v>5</v>
      </c>
      <c r="AI13" s="78">
        <v>8</v>
      </c>
      <c r="AJ13" s="77">
        <v>7</v>
      </c>
      <c r="AL13" s="77">
        <v>1</v>
      </c>
      <c r="AM13" s="78">
        <v>4</v>
      </c>
      <c r="AN13" s="77">
        <v>3</v>
      </c>
      <c r="AO13" s="78">
        <v>6</v>
      </c>
      <c r="AP13" s="77">
        <v>5</v>
      </c>
      <c r="AQ13" s="78">
        <v>8</v>
      </c>
      <c r="AR13" s="77">
        <v>7</v>
      </c>
    </row>
    <row r="14" spans="1:51">
      <c r="C14" s="16">
        <v>3</v>
      </c>
      <c r="H14" t="s">
        <v>759</v>
      </c>
      <c r="I14" s="77">
        <v>4</v>
      </c>
      <c r="J14" s="78">
        <v>1</v>
      </c>
      <c r="K14" s="77">
        <v>2</v>
      </c>
      <c r="L14" s="78">
        <v>7</v>
      </c>
      <c r="M14" s="77">
        <v>8</v>
      </c>
      <c r="N14" s="78">
        <v>5</v>
      </c>
      <c r="O14" s="77">
        <v>6</v>
      </c>
      <c r="Q14" s="77">
        <v>4</v>
      </c>
      <c r="R14" s="78">
        <v>1</v>
      </c>
      <c r="S14" s="77">
        <v>2</v>
      </c>
      <c r="T14" s="78">
        <v>7</v>
      </c>
      <c r="U14" s="77">
        <v>8</v>
      </c>
      <c r="V14" s="78">
        <v>5</v>
      </c>
      <c r="W14" s="77">
        <v>6</v>
      </c>
      <c r="AD14" s="77">
        <v>4</v>
      </c>
      <c r="AE14" s="78">
        <v>1</v>
      </c>
      <c r="AF14" s="77">
        <v>2</v>
      </c>
      <c r="AG14" s="78">
        <v>7</v>
      </c>
      <c r="AH14" s="77">
        <v>8</v>
      </c>
      <c r="AI14" s="78">
        <v>5</v>
      </c>
      <c r="AJ14" s="77">
        <v>6</v>
      </c>
      <c r="AL14" s="77">
        <v>4</v>
      </c>
      <c r="AM14" s="78">
        <v>1</v>
      </c>
      <c r="AN14" s="77">
        <v>2</v>
      </c>
      <c r="AO14" s="78">
        <v>7</v>
      </c>
      <c r="AP14" s="77">
        <v>8</v>
      </c>
      <c r="AQ14" s="78">
        <v>5</v>
      </c>
      <c r="AR14" s="77">
        <v>6</v>
      </c>
    </row>
    <row r="15" spans="1:51">
      <c r="C15" s="16">
        <v>4</v>
      </c>
      <c r="H15" t="s">
        <v>759</v>
      </c>
      <c r="I15" s="77">
        <v>3</v>
      </c>
      <c r="J15" s="78">
        <v>2</v>
      </c>
      <c r="K15" s="77">
        <v>1</v>
      </c>
      <c r="L15" s="78">
        <v>8</v>
      </c>
      <c r="M15" s="77">
        <v>7</v>
      </c>
      <c r="N15" s="78">
        <v>6</v>
      </c>
      <c r="O15" s="77">
        <v>5</v>
      </c>
      <c r="Q15" s="77">
        <v>3</v>
      </c>
      <c r="R15" s="78">
        <v>2</v>
      </c>
      <c r="S15" s="77">
        <v>1</v>
      </c>
      <c r="T15" s="78">
        <v>8</v>
      </c>
      <c r="U15" s="77">
        <v>7</v>
      </c>
      <c r="V15" s="78">
        <v>6</v>
      </c>
      <c r="W15" s="77">
        <v>5</v>
      </c>
      <c r="AD15" s="77">
        <v>3</v>
      </c>
      <c r="AE15" s="78">
        <v>2</v>
      </c>
      <c r="AF15" s="77">
        <v>1</v>
      </c>
      <c r="AG15" s="78">
        <v>8</v>
      </c>
      <c r="AH15" s="77">
        <v>7</v>
      </c>
      <c r="AI15" s="78">
        <v>6</v>
      </c>
      <c r="AJ15" s="77">
        <v>5</v>
      </c>
      <c r="AL15" s="77">
        <v>3</v>
      </c>
      <c r="AM15" s="78">
        <v>2</v>
      </c>
      <c r="AN15" s="77">
        <v>1</v>
      </c>
      <c r="AO15" s="78">
        <v>8</v>
      </c>
      <c r="AP15" s="77">
        <v>7</v>
      </c>
      <c r="AQ15" s="78">
        <v>6</v>
      </c>
      <c r="AR15" s="77">
        <v>5</v>
      </c>
    </row>
    <row r="16" spans="1:51">
      <c r="C16" s="16">
        <v>5</v>
      </c>
      <c r="H16" t="s">
        <v>760</v>
      </c>
      <c r="I16" s="77">
        <v>6</v>
      </c>
      <c r="J16" s="78">
        <v>7</v>
      </c>
      <c r="K16" s="77">
        <v>8</v>
      </c>
      <c r="L16" s="78">
        <v>1</v>
      </c>
      <c r="M16" s="77">
        <v>2</v>
      </c>
      <c r="N16" s="78">
        <v>4</v>
      </c>
      <c r="O16" s="77">
        <v>3</v>
      </c>
      <c r="Q16" s="77">
        <v>6</v>
      </c>
      <c r="R16" s="78">
        <v>7</v>
      </c>
      <c r="S16" s="77">
        <v>8</v>
      </c>
      <c r="T16" s="78">
        <v>1</v>
      </c>
      <c r="U16" s="77">
        <v>2</v>
      </c>
      <c r="V16" s="78">
        <v>4</v>
      </c>
      <c r="W16" s="77">
        <v>3</v>
      </c>
      <c r="AD16" s="77">
        <v>6</v>
      </c>
      <c r="AE16" s="78">
        <v>7</v>
      </c>
      <c r="AF16" s="77">
        <v>8</v>
      </c>
      <c r="AG16" s="78">
        <v>1</v>
      </c>
      <c r="AH16" s="77">
        <v>2</v>
      </c>
      <c r="AI16" s="78">
        <v>4</v>
      </c>
      <c r="AJ16" s="77">
        <v>3</v>
      </c>
      <c r="AL16" s="77">
        <v>6</v>
      </c>
      <c r="AM16" s="78">
        <v>7</v>
      </c>
      <c r="AN16" s="77">
        <v>8</v>
      </c>
      <c r="AO16" s="78">
        <v>1</v>
      </c>
      <c r="AP16" s="77">
        <v>2</v>
      </c>
      <c r="AQ16" s="78">
        <v>4</v>
      </c>
      <c r="AR16" s="77">
        <v>3</v>
      </c>
    </row>
    <row r="17" spans="1:50">
      <c r="C17" s="16">
        <v>6</v>
      </c>
      <c r="H17" t="s">
        <v>760</v>
      </c>
      <c r="I17" s="77">
        <v>5</v>
      </c>
      <c r="J17" s="78">
        <v>8</v>
      </c>
      <c r="K17" s="77">
        <v>10</v>
      </c>
      <c r="L17" s="78">
        <v>2</v>
      </c>
      <c r="M17" s="77">
        <v>1</v>
      </c>
      <c r="N17" s="78">
        <v>3</v>
      </c>
      <c r="O17" s="77">
        <v>4</v>
      </c>
      <c r="Q17" s="77">
        <v>5</v>
      </c>
      <c r="R17" s="78">
        <v>8</v>
      </c>
      <c r="S17" s="77">
        <v>10</v>
      </c>
      <c r="T17" s="78">
        <v>2</v>
      </c>
      <c r="U17" s="77">
        <v>1</v>
      </c>
      <c r="V17" s="78">
        <v>3</v>
      </c>
      <c r="W17" s="77">
        <v>4</v>
      </c>
      <c r="AD17" s="77">
        <v>5</v>
      </c>
      <c r="AE17" s="78">
        <v>8</v>
      </c>
      <c r="AF17" s="77">
        <v>10</v>
      </c>
      <c r="AG17" s="78">
        <v>2</v>
      </c>
      <c r="AH17" s="77">
        <v>1</v>
      </c>
      <c r="AI17" s="78">
        <v>3</v>
      </c>
      <c r="AJ17" s="77">
        <v>4</v>
      </c>
      <c r="AL17" s="77">
        <v>5</v>
      </c>
      <c r="AM17" s="78">
        <v>8</v>
      </c>
      <c r="AN17" s="77">
        <v>10</v>
      </c>
      <c r="AO17" s="78">
        <v>2</v>
      </c>
      <c r="AP17" s="77">
        <v>1</v>
      </c>
      <c r="AQ17" s="78">
        <v>3</v>
      </c>
      <c r="AR17" s="77">
        <v>4</v>
      </c>
    </row>
    <row r="18" spans="1:50">
      <c r="C18" s="16">
        <v>7</v>
      </c>
      <c r="H18" t="s">
        <v>761</v>
      </c>
      <c r="I18" s="77">
        <v>8</v>
      </c>
      <c r="J18" s="78">
        <v>5</v>
      </c>
      <c r="K18" s="77">
        <v>11</v>
      </c>
      <c r="L18" s="78">
        <v>3</v>
      </c>
      <c r="M18" s="77">
        <v>4</v>
      </c>
      <c r="N18" s="78">
        <v>1</v>
      </c>
      <c r="O18" s="77">
        <v>2</v>
      </c>
      <c r="Q18" s="77">
        <v>8</v>
      </c>
      <c r="R18" s="78">
        <v>5</v>
      </c>
      <c r="S18" s="77">
        <v>11</v>
      </c>
      <c r="T18" s="78">
        <v>3</v>
      </c>
      <c r="U18" s="77">
        <v>4</v>
      </c>
      <c r="V18" s="78">
        <v>1</v>
      </c>
      <c r="W18" s="77">
        <v>2</v>
      </c>
      <c r="AD18" s="77">
        <v>8</v>
      </c>
      <c r="AE18" s="78">
        <v>5</v>
      </c>
      <c r="AF18" s="77">
        <v>11</v>
      </c>
      <c r="AG18" s="78">
        <v>3</v>
      </c>
      <c r="AH18" s="77">
        <v>4</v>
      </c>
      <c r="AI18" s="78">
        <v>1</v>
      </c>
      <c r="AJ18" s="77">
        <v>2</v>
      </c>
      <c r="AL18" s="77">
        <v>8</v>
      </c>
      <c r="AM18" s="78">
        <v>5</v>
      </c>
      <c r="AN18" s="77">
        <v>11</v>
      </c>
      <c r="AO18" s="78">
        <v>3</v>
      </c>
      <c r="AP18" s="77">
        <v>4</v>
      </c>
      <c r="AQ18" s="78">
        <v>1</v>
      </c>
      <c r="AR18" s="77">
        <v>2</v>
      </c>
    </row>
    <row r="19" spans="1:50">
      <c r="C19" s="16">
        <v>8</v>
      </c>
      <c r="H19" t="s">
        <v>761</v>
      </c>
      <c r="I19" s="77">
        <v>7</v>
      </c>
      <c r="J19" s="78">
        <v>6</v>
      </c>
      <c r="K19" s="77">
        <v>5</v>
      </c>
      <c r="L19" s="78">
        <v>4</v>
      </c>
      <c r="M19" s="77">
        <v>3</v>
      </c>
      <c r="N19" s="78">
        <v>2</v>
      </c>
      <c r="O19" s="77">
        <v>1</v>
      </c>
      <c r="Q19" s="77">
        <v>7</v>
      </c>
      <c r="R19" s="78">
        <v>6</v>
      </c>
      <c r="S19" s="77">
        <v>5</v>
      </c>
      <c r="T19" s="78">
        <v>4</v>
      </c>
      <c r="U19" s="77">
        <v>3</v>
      </c>
      <c r="V19" s="78">
        <v>2</v>
      </c>
      <c r="W19" s="77">
        <v>1</v>
      </c>
      <c r="AD19" s="77">
        <v>7</v>
      </c>
      <c r="AE19" s="78">
        <v>6</v>
      </c>
      <c r="AF19" s="77">
        <v>5</v>
      </c>
      <c r="AG19" s="78">
        <v>4</v>
      </c>
      <c r="AH19" s="77">
        <v>3</v>
      </c>
      <c r="AI19" s="78">
        <v>2</v>
      </c>
      <c r="AJ19" s="77">
        <v>1</v>
      </c>
      <c r="AL19" s="77">
        <v>7</v>
      </c>
      <c r="AM19" s="78">
        <v>6</v>
      </c>
      <c r="AN19" s="77">
        <v>5</v>
      </c>
      <c r="AO19" s="78">
        <v>4</v>
      </c>
      <c r="AP19" s="77">
        <v>3</v>
      </c>
      <c r="AQ19" s="78">
        <v>2</v>
      </c>
      <c r="AR19" s="77">
        <v>1</v>
      </c>
    </row>
    <row r="20" spans="1:50">
      <c r="B20" s="3"/>
      <c r="C20" s="3"/>
    </row>
    <row r="21" spans="1:50">
      <c r="B21" s="3"/>
      <c r="C21" s="3"/>
    </row>
    <row r="22" spans="1:50">
      <c r="A22" s="446" t="s">
        <v>740</v>
      </c>
      <c r="B22" s="446" t="s">
        <v>751</v>
      </c>
      <c r="C22" s="446"/>
      <c r="G22" s="3">
        <v>1</v>
      </c>
      <c r="H22" s="3">
        <v>12</v>
      </c>
      <c r="I22" s="3">
        <v>1</v>
      </c>
      <c r="J22" s="3">
        <v>1</v>
      </c>
      <c r="K22" s="3">
        <v>1</v>
      </c>
      <c r="L22" s="3">
        <v>1</v>
      </c>
      <c r="M22" s="3">
        <v>1</v>
      </c>
      <c r="N22" s="3">
        <v>1</v>
      </c>
      <c r="O22" s="3">
        <v>1</v>
      </c>
      <c r="P22" s="3">
        <v>1</v>
      </c>
      <c r="Q22" s="3">
        <v>1</v>
      </c>
      <c r="R22" s="3">
        <v>1</v>
      </c>
      <c r="S22" s="3">
        <v>1</v>
      </c>
      <c r="T22" s="3">
        <v>1</v>
      </c>
      <c r="U22" s="3">
        <v>1</v>
      </c>
      <c r="V22" s="3">
        <v>1</v>
      </c>
      <c r="W22" s="3">
        <v>1</v>
      </c>
      <c r="X22" s="3">
        <v>1</v>
      </c>
      <c r="Y22" s="3">
        <v>1</v>
      </c>
      <c r="Z22" s="3">
        <v>1</v>
      </c>
      <c r="AA22" s="3">
        <v>1</v>
      </c>
      <c r="AB22" s="3">
        <v>1</v>
      </c>
      <c r="AC22" s="3">
        <v>1</v>
      </c>
      <c r="AD22" s="3">
        <v>1</v>
      </c>
      <c r="AE22" s="3">
        <v>1</v>
      </c>
      <c r="AF22" s="3">
        <v>1</v>
      </c>
      <c r="AG22" s="3">
        <v>1</v>
      </c>
      <c r="AH22" s="3">
        <v>1</v>
      </c>
      <c r="AI22" s="3">
        <v>1</v>
      </c>
      <c r="AJ22" s="3">
        <v>1</v>
      </c>
      <c r="AK22" s="3">
        <v>1</v>
      </c>
      <c r="AL22" s="3">
        <v>1</v>
      </c>
      <c r="AM22" s="3">
        <v>1</v>
      </c>
      <c r="AN22" s="3">
        <v>1</v>
      </c>
      <c r="AO22" s="3">
        <v>1</v>
      </c>
      <c r="AP22" s="3">
        <v>1</v>
      </c>
      <c r="AQ22" s="3">
        <v>1</v>
      </c>
      <c r="AR22" s="3">
        <v>1</v>
      </c>
      <c r="AS22" s="3">
        <v>1</v>
      </c>
      <c r="AT22" s="3">
        <v>1</v>
      </c>
      <c r="AU22" s="3">
        <v>1</v>
      </c>
      <c r="AV22" s="3">
        <v>1</v>
      </c>
      <c r="AW22" s="3">
        <v>1</v>
      </c>
      <c r="AX22" s="3">
        <v>1</v>
      </c>
    </row>
    <row r="23" spans="1:50">
      <c r="A23" s="446" t="s">
        <v>741</v>
      </c>
      <c r="B23" s="446" t="s">
        <v>752</v>
      </c>
      <c r="C23" s="446"/>
      <c r="G23" s="3">
        <v>2</v>
      </c>
      <c r="H23" s="3">
        <v>13</v>
      </c>
      <c r="I23" s="3">
        <v>2</v>
      </c>
      <c r="J23" s="3">
        <v>2</v>
      </c>
      <c r="K23" s="3">
        <v>2</v>
      </c>
      <c r="L23" s="3">
        <v>2</v>
      </c>
      <c r="M23" s="3">
        <v>2</v>
      </c>
      <c r="N23" s="3">
        <v>2</v>
      </c>
      <c r="O23" s="3">
        <v>2</v>
      </c>
      <c r="P23" s="3">
        <v>2</v>
      </c>
      <c r="Q23" s="3">
        <v>2</v>
      </c>
      <c r="R23" s="3">
        <v>2</v>
      </c>
      <c r="S23" s="3">
        <v>2</v>
      </c>
      <c r="T23" s="3">
        <v>2</v>
      </c>
      <c r="U23" s="3">
        <v>2</v>
      </c>
      <c r="V23" s="3">
        <v>2</v>
      </c>
      <c r="W23" s="3">
        <v>2</v>
      </c>
      <c r="X23" s="3">
        <v>2</v>
      </c>
      <c r="Y23" s="3">
        <v>2</v>
      </c>
      <c r="Z23" s="3">
        <v>2</v>
      </c>
      <c r="AA23" s="3">
        <v>2</v>
      </c>
      <c r="AB23" s="3">
        <v>2</v>
      </c>
      <c r="AC23" s="3">
        <v>2</v>
      </c>
      <c r="AD23" s="3">
        <v>2</v>
      </c>
      <c r="AE23" s="3">
        <v>2</v>
      </c>
      <c r="AF23" s="3">
        <v>2</v>
      </c>
      <c r="AG23" s="3">
        <v>2</v>
      </c>
      <c r="AH23" s="3">
        <v>2</v>
      </c>
      <c r="AI23" s="3">
        <v>2</v>
      </c>
      <c r="AJ23" s="3">
        <v>2</v>
      </c>
      <c r="AK23" s="3">
        <v>2</v>
      </c>
      <c r="AL23" s="3">
        <v>2</v>
      </c>
      <c r="AM23" s="3">
        <v>2</v>
      </c>
      <c r="AN23" s="3">
        <v>2</v>
      </c>
      <c r="AO23" s="3">
        <v>2</v>
      </c>
      <c r="AP23" s="3">
        <v>2</v>
      </c>
      <c r="AQ23" s="3">
        <v>2</v>
      </c>
      <c r="AR23" s="3">
        <v>2</v>
      </c>
      <c r="AS23" s="3">
        <v>2</v>
      </c>
      <c r="AT23" s="3">
        <v>2</v>
      </c>
      <c r="AU23" s="3">
        <v>2</v>
      </c>
      <c r="AV23" s="3">
        <v>2</v>
      </c>
      <c r="AW23" s="3">
        <v>2</v>
      </c>
      <c r="AX23" s="3">
        <v>2</v>
      </c>
    </row>
    <row r="24" spans="1:50">
      <c r="A24" s="446" t="s">
        <v>742</v>
      </c>
      <c r="B24" s="446" t="s">
        <v>753</v>
      </c>
      <c r="C24" s="446"/>
      <c r="G24" s="3">
        <v>3</v>
      </c>
      <c r="H24" s="3">
        <v>14</v>
      </c>
      <c r="I24" s="3">
        <v>3</v>
      </c>
      <c r="J24" s="3">
        <v>3</v>
      </c>
      <c r="K24" s="3">
        <v>3</v>
      </c>
      <c r="L24" s="3">
        <v>3</v>
      </c>
      <c r="M24" s="3">
        <v>3</v>
      </c>
      <c r="N24" s="3">
        <v>3</v>
      </c>
      <c r="O24" s="3">
        <v>3</v>
      </c>
      <c r="P24" s="3">
        <v>3</v>
      </c>
      <c r="Q24" s="3">
        <v>3</v>
      </c>
      <c r="R24" s="3">
        <v>3</v>
      </c>
      <c r="S24" s="3">
        <v>3</v>
      </c>
      <c r="T24" s="3">
        <v>3</v>
      </c>
      <c r="U24" s="3">
        <v>3</v>
      </c>
      <c r="V24" s="3">
        <v>3</v>
      </c>
      <c r="W24" s="3">
        <v>3</v>
      </c>
      <c r="X24" s="3">
        <v>3</v>
      </c>
      <c r="Y24" s="3">
        <v>3</v>
      </c>
      <c r="Z24" s="3">
        <v>3</v>
      </c>
      <c r="AA24" s="3">
        <v>3</v>
      </c>
      <c r="AB24" s="3">
        <v>3</v>
      </c>
      <c r="AC24" s="3">
        <v>3</v>
      </c>
      <c r="AD24" s="3">
        <v>3</v>
      </c>
      <c r="AE24" s="3">
        <v>3</v>
      </c>
      <c r="AF24" s="3">
        <v>3</v>
      </c>
      <c r="AG24" s="3">
        <v>3</v>
      </c>
      <c r="AH24" s="3">
        <v>3</v>
      </c>
      <c r="AI24" s="3">
        <v>3</v>
      </c>
      <c r="AJ24" s="3">
        <v>3</v>
      </c>
      <c r="AK24" s="3">
        <v>3</v>
      </c>
      <c r="AL24" s="3">
        <v>3</v>
      </c>
      <c r="AM24" s="3">
        <v>3</v>
      </c>
      <c r="AN24" s="3">
        <v>3</v>
      </c>
      <c r="AO24" s="3">
        <v>3</v>
      </c>
      <c r="AP24" s="3">
        <v>3</v>
      </c>
      <c r="AQ24" s="3">
        <v>3</v>
      </c>
      <c r="AR24" s="3">
        <v>3</v>
      </c>
      <c r="AS24" s="3">
        <v>3</v>
      </c>
      <c r="AT24" s="3">
        <v>3</v>
      </c>
      <c r="AU24" s="3">
        <v>3</v>
      </c>
      <c r="AV24" s="3">
        <v>3</v>
      </c>
      <c r="AW24" s="3">
        <v>3</v>
      </c>
      <c r="AX24" s="3">
        <v>3</v>
      </c>
    </row>
    <row r="25" spans="1:50">
      <c r="A25" s="446" t="s">
        <v>743</v>
      </c>
      <c r="B25" s="446" t="s">
        <v>754</v>
      </c>
      <c r="C25" s="446"/>
      <c r="G25" s="3">
        <v>4</v>
      </c>
      <c r="H25" s="3">
        <v>15</v>
      </c>
      <c r="I25" s="3">
        <v>4</v>
      </c>
      <c r="J25" s="3">
        <v>4</v>
      </c>
      <c r="K25" s="3">
        <v>4</v>
      </c>
      <c r="L25" s="3">
        <v>4</v>
      </c>
      <c r="M25" s="3">
        <v>4</v>
      </c>
      <c r="N25" s="3">
        <v>4</v>
      </c>
      <c r="O25" s="3">
        <v>4</v>
      </c>
      <c r="P25" s="3">
        <v>4</v>
      </c>
      <c r="Q25" s="3">
        <v>4</v>
      </c>
      <c r="R25" s="3">
        <v>4</v>
      </c>
      <c r="S25" s="3">
        <v>4</v>
      </c>
      <c r="T25" s="3">
        <v>4</v>
      </c>
      <c r="U25" s="3">
        <v>4</v>
      </c>
      <c r="V25" s="3">
        <v>4</v>
      </c>
      <c r="W25" s="3">
        <v>4</v>
      </c>
      <c r="X25" s="3">
        <v>4</v>
      </c>
      <c r="Y25" s="3">
        <v>4</v>
      </c>
      <c r="Z25" s="3">
        <v>4</v>
      </c>
      <c r="AA25" s="3">
        <v>4</v>
      </c>
      <c r="AB25" s="3">
        <v>4</v>
      </c>
      <c r="AC25" s="3">
        <v>4</v>
      </c>
      <c r="AD25" s="3">
        <v>4</v>
      </c>
      <c r="AE25" s="3">
        <v>4</v>
      </c>
      <c r="AF25" s="3">
        <v>4</v>
      </c>
      <c r="AG25" s="3">
        <v>4</v>
      </c>
      <c r="AH25" s="3">
        <v>4</v>
      </c>
      <c r="AI25" s="3">
        <v>4</v>
      </c>
      <c r="AJ25" s="3">
        <v>4</v>
      </c>
      <c r="AK25" s="3">
        <v>4</v>
      </c>
      <c r="AL25" s="3">
        <v>4</v>
      </c>
      <c r="AM25" s="3">
        <v>4</v>
      </c>
      <c r="AN25" s="3">
        <v>4</v>
      </c>
      <c r="AO25" s="3">
        <v>4</v>
      </c>
      <c r="AP25" s="3">
        <v>4</v>
      </c>
      <c r="AQ25" s="3">
        <v>4</v>
      </c>
      <c r="AR25" s="3">
        <v>4</v>
      </c>
      <c r="AS25" s="3">
        <v>4</v>
      </c>
      <c r="AT25" s="3">
        <v>4</v>
      </c>
      <c r="AU25" s="3">
        <v>4</v>
      </c>
      <c r="AV25" s="3">
        <v>4</v>
      </c>
      <c r="AW25" s="3">
        <v>4</v>
      </c>
      <c r="AX25" s="3">
        <v>4</v>
      </c>
    </row>
    <row r="26" spans="1:50">
      <c r="A26" s="446" t="s">
        <v>744</v>
      </c>
      <c r="B26" s="446" t="s">
        <v>755</v>
      </c>
      <c r="C26" s="446"/>
      <c r="G26" s="3">
        <v>5</v>
      </c>
      <c r="H26" s="3">
        <v>16</v>
      </c>
      <c r="I26" s="3">
        <v>5</v>
      </c>
      <c r="J26" s="3">
        <v>5</v>
      </c>
      <c r="K26" s="3">
        <v>5</v>
      </c>
      <c r="L26" s="3">
        <v>5</v>
      </c>
      <c r="M26" s="3">
        <v>5</v>
      </c>
      <c r="N26" s="3">
        <v>5</v>
      </c>
      <c r="O26" s="3">
        <v>5</v>
      </c>
      <c r="P26" s="3">
        <v>5</v>
      </c>
      <c r="Q26" s="3">
        <v>5</v>
      </c>
      <c r="R26" s="3">
        <v>5</v>
      </c>
      <c r="S26" s="3">
        <v>5</v>
      </c>
      <c r="T26" s="3">
        <v>5</v>
      </c>
      <c r="U26" s="3">
        <v>5</v>
      </c>
      <c r="V26" s="3">
        <v>5</v>
      </c>
      <c r="W26" s="3">
        <v>5</v>
      </c>
      <c r="X26" s="3">
        <v>5</v>
      </c>
      <c r="Y26" s="3">
        <v>5</v>
      </c>
      <c r="Z26" s="3">
        <v>5</v>
      </c>
      <c r="AA26" s="3">
        <v>5</v>
      </c>
      <c r="AB26" s="3">
        <v>5</v>
      </c>
      <c r="AC26" s="3">
        <v>5</v>
      </c>
      <c r="AD26" s="3">
        <v>5</v>
      </c>
      <c r="AE26" s="3">
        <v>5</v>
      </c>
      <c r="AF26" s="3">
        <v>5</v>
      </c>
      <c r="AG26" s="3">
        <v>5</v>
      </c>
      <c r="AH26" s="3">
        <v>5</v>
      </c>
      <c r="AI26" s="3">
        <v>5</v>
      </c>
      <c r="AJ26" s="3">
        <v>5</v>
      </c>
      <c r="AK26" s="3">
        <v>5</v>
      </c>
      <c r="AL26" s="3">
        <v>5</v>
      </c>
      <c r="AM26" s="3">
        <v>5</v>
      </c>
      <c r="AN26" s="3">
        <v>5</v>
      </c>
      <c r="AO26" s="3">
        <v>5</v>
      </c>
      <c r="AP26" s="3">
        <v>5</v>
      </c>
      <c r="AQ26" s="3">
        <v>5</v>
      </c>
      <c r="AR26" s="3">
        <v>5</v>
      </c>
      <c r="AS26" s="3">
        <v>5</v>
      </c>
      <c r="AT26" s="3">
        <v>5</v>
      </c>
      <c r="AU26" s="3">
        <v>5</v>
      </c>
      <c r="AV26" s="3">
        <v>5</v>
      </c>
      <c r="AW26" s="3">
        <v>5</v>
      </c>
      <c r="AX26" s="3">
        <v>5</v>
      </c>
    </row>
    <row r="27" spans="1:50">
      <c r="A27" s="446" t="s">
        <v>745</v>
      </c>
      <c r="G27" s="3">
        <v>6</v>
      </c>
      <c r="I27" s="3">
        <v>6</v>
      </c>
      <c r="K27" s="3">
        <v>6</v>
      </c>
      <c r="M27" s="3">
        <v>6</v>
      </c>
      <c r="O27" s="3">
        <v>6</v>
      </c>
      <c r="Q27" s="3">
        <v>6</v>
      </c>
      <c r="S27" s="3">
        <v>6</v>
      </c>
      <c r="U27" s="3">
        <v>6</v>
      </c>
      <c r="W27" s="3">
        <v>6</v>
      </c>
      <c r="Y27" s="3">
        <v>6</v>
      </c>
      <c r="AA27" s="3">
        <v>6</v>
      </c>
      <c r="AC27" s="3">
        <v>6</v>
      </c>
      <c r="AE27" s="3">
        <v>6</v>
      </c>
      <c r="AG27" s="3">
        <v>6</v>
      </c>
      <c r="AI27" s="3">
        <v>6</v>
      </c>
      <c r="AK27" s="3">
        <v>6</v>
      </c>
      <c r="AM27" s="3">
        <v>6</v>
      </c>
      <c r="AO27" s="3">
        <v>6</v>
      </c>
      <c r="AQ27" s="3">
        <v>6</v>
      </c>
      <c r="AS27" s="3">
        <v>6</v>
      </c>
      <c r="AU27" s="3">
        <v>6</v>
      </c>
      <c r="AW27" s="3">
        <v>6</v>
      </c>
    </row>
    <row r="28" spans="1:50">
      <c r="A28" s="446" t="s">
        <v>746</v>
      </c>
      <c r="G28" s="3">
        <v>7</v>
      </c>
      <c r="I28" s="3">
        <v>7</v>
      </c>
      <c r="K28" s="3">
        <v>7</v>
      </c>
      <c r="M28" s="3">
        <v>7</v>
      </c>
      <c r="O28" s="3">
        <v>7</v>
      </c>
      <c r="Q28" s="3">
        <v>7</v>
      </c>
      <c r="S28" s="3">
        <v>7</v>
      </c>
      <c r="U28" s="3">
        <v>7</v>
      </c>
      <c r="W28" s="3">
        <v>7</v>
      </c>
      <c r="Y28" s="3">
        <v>7</v>
      </c>
      <c r="AA28" s="3">
        <v>7</v>
      </c>
      <c r="AC28" s="3">
        <v>7</v>
      </c>
      <c r="AE28" s="3">
        <v>7</v>
      </c>
      <c r="AG28" s="3">
        <v>7</v>
      </c>
      <c r="AI28" s="3">
        <v>7</v>
      </c>
      <c r="AK28" s="3">
        <v>7</v>
      </c>
      <c r="AM28" s="3">
        <v>7</v>
      </c>
      <c r="AO28" s="3">
        <v>7</v>
      </c>
      <c r="AQ28" s="3">
        <v>7</v>
      </c>
      <c r="AS28" s="3">
        <v>7</v>
      </c>
      <c r="AU28" s="3">
        <v>7</v>
      </c>
      <c r="AW28" s="3">
        <v>7</v>
      </c>
    </row>
    <row r="29" spans="1:50">
      <c r="A29" s="446" t="s">
        <v>747</v>
      </c>
      <c r="G29" s="3">
        <v>8</v>
      </c>
      <c r="I29" s="3">
        <v>8</v>
      </c>
      <c r="K29" s="3">
        <v>8</v>
      </c>
      <c r="M29" s="3">
        <v>8</v>
      </c>
      <c r="O29" s="3">
        <v>8</v>
      </c>
      <c r="Q29" s="3">
        <v>8</v>
      </c>
      <c r="S29" s="3">
        <v>8</v>
      </c>
      <c r="U29" s="3">
        <v>8</v>
      </c>
      <c r="W29" s="3">
        <v>8</v>
      </c>
      <c r="Y29" s="3">
        <v>8</v>
      </c>
      <c r="AA29" s="3">
        <v>8</v>
      </c>
      <c r="AC29" s="3">
        <v>8</v>
      </c>
      <c r="AE29" s="3">
        <v>8</v>
      </c>
      <c r="AG29" s="3">
        <v>8</v>
      </c>
      <c r="AI29" s="3">
        <v>8</v>
      </c>
      <c r="AK29" s="3">
        <v>8</v>
      </c>
      <c r="AM29" s="3">
        <v>8</v>
      </c>
      <c r="AO29" s="3">
        <v>8</v>
      </c>
      <c r="AQ29" s="3">
        <v>8</v>
      </c>
      <c r="AS29" s="3">
        <v>8</v>
      </c>
      <c r="AU29" s="3">
        <v>8</v>
      </c>
      <c r="AW29" s="3">
        <v>8</v>
      </c>
    </row>
    <row r="30" spans="1:50">
      <c r="A30" s="446" t="s">
        <v>748</v>
      </c>
      <c r="G30" s="3">
        <v>9</v>
      </c>
      <c r="I30" s="3">
        <v>9</v>
      </c>
      <c r="K30" s="3">
        <v>9</v>
      </c>
      <c r="M30" s="3">
        <v>9</v>
      </c>
      <c r="O30" s="3">
        <v>9</v>
      </c>
      <c r="Q30" s="3">
        <v>9</v>
      </c>
      <c r="S30" s="3">
        <v>9</v>
      </c>
      <c r="U30" s="3">
        <v>9</v>
      </c>
      <c r="W30" s="3">
        <v>9</v>
      </c>
      <c r="Y30" s="3">
        <v>9</v>
      </c>
      <c r="AA30" s="3">
        <v>9</v>
      </c>
      <c r="AC30" s="3">
        <v>9</v>
      </c>
      <c r="AE30" s="3">
        <v>9</v>
      </c>
      <c r="AG30" s="3">
        <v>9</v>
      </c>
      <c r="AI30" s="3">
        <v>9</v>
      </c>
      <c r="AK30" s="3">
        <v>9</v>
      </c>
      <c r="AM30" s="3">
        <v>9</v>
      </c>
      <c r="AO30" s="3">
        <v>9</v>
      </c>
      <c r="AQ30" s="3">
        <v>9</v>
      </c>
      <c r="AS30" s="3">
        <v>9</v>
      </c>
      <c r="AU30" s="3">
        <v>9</v>
      </c>
      <c r="AW30" s="3">
        <v>9</v>
      </c>
    </row>
    <row r="31" spans="1:50">
      <c r="A31" s="446" t="s">
        <v>749</v>
      </c>
      <c r="G31" s="3">
        <v>10</v>
      </c>
      <c r="I31" s="3">
        <v>10</v>
      </c>
      <c r="K31" s="3">
        <v>10</v>
      </c>
      <c r="M31" s="3">
        <v>10</v>
      </c>
      <c r="O31" s="3">
        <v>10</v>
      </c>
      <c r="Q31" s="3">
        <v>10</v>
      </c>
      <c r="S31" s="3">
        <v>10</v>
      </c>
      <c r="U31" s="3">
        <v>10</v>
      </c>
      <c r="W31" s="3">
        <v>10</v>
      </c>
      <c r="Y31" s="3">
        <v>10</v>
      </c>
      <c r="AA31" s="3">
        <v>10</v>
      </c>
      <c r="AC31" s="3">
        <v>10</v>
      </c>
      <c r="AE31" s="3">
        <v>10</v>
      </c>
      <c r="AG31" s="3">
        <v>10</v>
      </c>
      <c r="AI31" s="3">
        <v>10</v>
      </c>
      <c r="AK31" s="3">
        <v>10</v>
      </c>
      <c r="AM31" s="3">
        <v>10</v>
      </c>
      <c r="AO31" s="3">
        <v>10</v>
      </c>
      <c r="AQ31" s="3">
        <v>10</v>
      </c>
      <c r="AS31" s="3">
        <v>10</v>
      </c>
      <c r="AU31" s="3">
        <v>10</v>
      </c>
      <c r="AW31" s="3">
        <v>10</v>
      </c>
    </row>
    <row r="32" spans="1:50">
      <c r="A32" s="446" t="s">
        <v>750</v>
      </c>
      <c r="G32" s="3">
        <v>11</v>
      </c>
      <c r="I32" s="3">
        <v>11</v>
      </c>
      <c r="K32" s="3">
        <v>11</v>
      </c>
      <c r="M32" s="3">
        <v>11</v>
      </c>
      <c r="O32" s="3">
        <v>11</v>
      </c>
      <c r="Q32" s="3">
        <v>11</v>
      </c>
      <c r="S32" s="3">
        <v>11</v>
      </c>
      <c r="U32" s="3">
        <v>11</v>
      </c>
      <c r="W32" s="3">
        <v>11</v>
      </c>
      <c r="Y32" s="3">
        <v>11</v>
      </c>
      <c r="AA32" s="3">
        <v>11</v>
      </c>
      <c r="AC32" s="3">
        <v>11</v>
      </c>
      <c r="AE32" s="3">
        <v>11</v>
      </c>
      <c r="AG32" s="3">
        <v>11</v>
      </c>
      <c r="AI32" s="3">
        <v>11</v>
      </c>
      <c r="AK32" s="3">
        <v>11</v>
      </c>
      <c r="AM32" s="3">
        <v>11</v>
      </c>
      <c r="AO32" s="3">
        <v>11</v>
      </c>
      <c r="AQ32" s="3">
        <v>11</v>
      </c>
      <c r="AS32" s="3">
        <v>11</v>
      </c>
      <c r="AU32" s="3">
        <v>11</v>
      </c>
      <c r="AW32" s="3">
        <v>11</v>
      </c>
    </row>
    <row r="38" spans="17:17">
      <c r="Q38" t="s">
        <v>737</v>
      </c>
    </row>
  </sheetData>
  <mergeCells count="31">
    <mergeCell ref="AN7:AQ7"/>
    <mergeCell ref="AR7:AU7"/>
    <mergeCell ref="AV7:AY7"/>
    <mergeCell ref="D8:G8"/>
    <mergeCell ref="H8:K8"/>
    <mergeCell ref="L8:O8"/>
    <mergeCell ref="P8:S8"/>
    <mergeCell ref="T8:W8"/>
    <mergeCell ref="X8:AA8"/>
    <mergeCell ref="AB8:AE8"/>
    <mergeCell ref="AF8:AI8"/>
    <mergeCell ref="AJ8:AM8"/>
    <mergeCell ref="AN8:AQ8"/>
    <mergeCell ref="AR8:AU8"/>
    <mergeCell ref="AV8:AY8"/>
    <mergeCell ref="AV6:AX6"/>
    <mergeCell ref="D7:G7"/>
    <mergeCell ref="H7:K7"/>
    <mergeCell ref="L7:O7"/>
    <mergeCell ref="P7:S7"/>
    <mergeCell ref="T7:W7"/>
    <mergeCell ref="X7:AA7"/>
    <mergeCell ref="AB7:AE7"/>
    <mergeCell ref="AF7:AI7"/>
    <mergeCell ref="AJ7:AM7"/>
    <mergeCell ref="F6:H6"/>
    <mergeCell ref="I6:W6"/>
    <mergeCell ref="X6:Z6"/>
    <mergeCell ref="AA6:AC6"/>
    <mergeCell ref="AD6:AR6"/>
    <mergeCell ref="AS6:AU6"/>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80" zoomScaleNormal="80" workbookViewId="0">
      <selection activeCell="E38" sqref="E38"/>
    </sheetView>
  </sheetViews>
  <sheetFormatPr baseColWidth="10" defaultColWidth="11.42578125" defaultRowHeight="15.75"/>
  <cols>
    <col min="1" max="1" width="25.140625" style="139" customWidth="1"/>
    <col min="2" max="2" width="34.5703125" style="139" bestFit="1" customWidth="1"/>
    <col min="3" max="4" width="26" style="139" bestFit="1" customWidth="1"/>
    <col min="5" max="5" width="27.5703125" style="139" customWidth="1"/>
    <col min="6" max="6" width="27.28515625" style="162" customWidth="1"/>
    <col min="7" max="10" width="9.42578125" style="139" bestFit="1" customWidth="1"/>
    <col min="11" max="11" width="4.28515625" style="139" customWidth="1"/>
    <col min="12" max="15" width="11.42578125" style="139" hidden="1" customWidth="1"/>
    <col min="16" max="19" width="12" style="139" hidden="1" customWidth="1"/>
    <col min="20" max="24" width="15.5703125" style="139" hidden="1" customWidth="1"/>
    <col min="25" max="25" width="22.140625" style="139" bestFit="1" customWidth="1"/>
    <col min="26" max="27" width="9.42578125" style="139" bestFit="1" customWidth="1"/>
    <col min="28" max="28" width="11.42578125" style="139" bestFit="1" customWidth="1"/>
    <col min="29" max="29" width="9.42578125" style="139" bestFit="1" customWidth="1"/>
    <col min="30" max="16384" width="11.42578125" style="139"/>
  </cols>
  <sheetData>
    <row r="1" spans="1:29" ht="30.75" customHeight="1">
      <c r="A1" s="470" t="s">
        <v>1</v>
      </c>
      <c r="B1" s="470"/>
      <c r="C1" s="470"/>
      <c r="D1" s="470"/>
      <c r="E1" s="470"/>
      <c r="G1" s="471" t="s">
        <v>2</v>
      </c>
      <c r="H1" s="471"/>
      <c r="I1" s="471"/>
      <c r="J1" s="471"/>
      <c r="P1" s="139" t="s">
        <v>3</v>
      </c>
      <c r="Y1" s="330" t="s">
        <v>4</v>
      </c>
      <c r="Z1" s="331">
        <v>2025</v>
      </c>
    </row>
    <row r="2" spans="1:29" ht="32.25" customHeight="1" thickBot="1">
      <c r="B2" s="209" t="s">
        <v>5</v>
      </c>
      <c r="C2" s="332" t="s">
        <v>6</v>
      </c>
      <c r="D2" s="209" t="s">
        <v>7</v>
      </c>
      <c r="E2" s="332" t="s">
        <v>8</v>
      </c>
      <c r="F2" s="333" t="s">
        <v>9</v>
      </c>
      <c r="G2" s="334">
        <f>'1. Ventas y Premisas'!Z1+1</f>
        <v>2026</v>
      </c>
      <c r="H2" s="334">
        <f>G2+1</f>
        <v>2027</v>
      </c>
      <c r="I2" s="334">
        <f t="shared" ref="I2:J2" si="0">H2+1</f>
        <v>2028</v>
      </c>
      <c r="J2" s="334">
        <f t="shared" si="0"/>
        <v>2029</v>
      </c>
      <c r="L2" s="139">
        <f>G2</f>
        <v>2026</v>
      </c>
      <c r="M2" s="139">
        <f>H2</f>
        <v>2027</v>
      </c>
      <c r="N2" s="139">
        <f>M2+1</f>
        <v>2028</v>
      </c>
      <c r="O2" s="139">
        <f>N2+1</f>
        <v>2029</v>
      </c>
      <c r="P2" s="139" t="s">
        <v>10</v>
      </c>
      <c r="Q2" s="139" t="s">
        <v>11</v>
      </c>
      <c r="R2" s="139" t="s">
        <v>12</v>
      </c>
      <c r="S2" s="139" t="s">
        <v>13</v>
      </c>
      <c r="T2" s="139" t="s">
        <v>14</v>
      </c>
      <c r="U2" s="139" t="s">
        <v>15</v>
      </c>
      <c r="V2" s="139" t="s">
        <v>16</v>
      </c>
      <c r="W2" s="139" t="s">
        <v>17</v>
      </c>
    </row>
    <row r="3" spans="1:29" ht="15.75" customHeight="1" thickBot="1">
      <c r="A3" s="335">
        <v>1</v>
      </c>
      <c r="B3" s="336" t="s">
        <v>533</v>
      </c>
      <c r="C3" s="337">
        <f>+'Proyecciones VF'!G25</f>
        <v>8</v>
      </c>
      <c r="D3" s="338">
        <f>+'Proyecciones VF'!T26</f>
        <v>156000000</v>
      </c>
      <c r="E3" s="339">
        <f>C3*D3</f>
        <v>1248000000</v>
      </c>
      <c r="F3" s="340">
        <f>IF($E$13=0,0,E3/$E$13)</f>
        <v>1</v>
      </c>
      <c r="G3" s="341">
        <v>0.02</v>
      </c>
      <c r="H3" s="341">
        <v>0.02</v>
      </c>
      <c r="I3" s="341">
        <v>0.02</v>
      </c>
      <c r="J3" s="341">
        <v>0.02</v>
      </c>
      <c r="K3" s="339"/>
      <c r="L3" s="139">
        <f t="shared" ref="L3:L12" si="1">C3*(1+G3)</f>
        <v>8.16</v>
      </c>
      <c r="M3" s="139">
        <f>L3*(1+H3)</f>
        <v>8.3231999999999999</v>
      </c>
      <c r="N3" s="139">
        <f t="shared" ref="N3:O3" si="2">M3*(1+I3)</f>
        <v>8.4896639999999994</v>
      </c>
      <c r="O3" s="139">
        <f t="shared" si="2"/>
        <v>8.6594572799999998</v>
      </c>
      <c r="P3" s="342">
        <f>D3*(1+'1. Ventas y Premisas'!$Z$4)</f>
        <v>162240000</v>
      </c>
      <c r="Q3" s="342">
        <f>P3*(1+'1. Ventas y Premisas'!$AA$4)</f>
        <v>168729600</v>
      </c>
      <c r="R3" s="342">
        <f>Q3*(1+'1. Ventas y Premisas'!$AB$4)</f>
        <v>175478784</v>
      </c>
      <c r="S3" s="342">
        <f>R3*(1+'1. Ventas y Premisas'!$AC$4)</f>
        <v>182497935.36000001</v>
      </c>
      <c r="T3" s="163">
        <f>L3*P3</f>
        <v>1323878400</v>
      </c>
      <c r="U3" s="163">
        <f>M3*Q3</f>
        <v>1404370206.72</v>
      </c>
      <c r="V3" s="163">
        <f>N3*R3</f>
        <v>1489755915.2885759</v>
      </c>
      <c r="W3" s="163">
        <f>O3*S3</f>
        <v>1580333074.9381216</v>
      </c>
      <c r="X3" s="163"/>
      <c r="Y3" s="138" t="s">
        <v>19</v>
      </c>
      <c r="Z3" s="343">
        <f>G2</f>
        <v>2026</v>
      </c>
      <c r="AA3" s="343">
        <f>Z3+1</f>
        <v>2027</v>
      </c>
      <c r="AB3" s="343">
        <f t="shared" ref="AB3:AC3" si="3">AA3+1</f>
        <v>2028</v>
      </c>
      <c r="AC3" s="344">
        <f t="shared" si="3"/>
        <v>2029</v>
      </c>
    </row>
    <row r="4" spans="1:29" ht="15.75" customHeight="1">
      <c r="A4" s="335">
        <f>A3+1</f>
        <v>2</v>
      </c>
      <c r="B4" s="336"/>
      <c r="C4" s="337">
        <v>0</v>
      </c>
      <c r="D4" s="338">
        <v>0</v>
      </c>
      <c r="E4" s="339">
        <f t="shared" ref="E4:E12" si="4">C4*D4</f>
        <v>0</v>
      </c>
      <c r="F4" s="340">
        <f t="shared" ref="F4:F12" si="5">IF($E$13=0,0,E4/$E$13)</f>
        <v>0</v>
      </c>
      <c r="G4" s="341">
        <v>0</v>
      </c>
      <c r="H4" s="341">
        <v>0</v>
      </c>
      <c r="I4" s="341">
        <v>0</v>
      </c>
      <c r="J4" s="341">
        <v>0</v>
      </c>
      <c r="K4" s="339"/>
      <c r="L4" s="139">
        <f t="shared" si="1"/>
        <v>0</v>
      </c>
      <c r="M4" s="139">
        <f t="shared" ref="M4:M12" si="6">L4*(1+H4)</f>
        <v>0</v>
      </c>
      <c r="N4" s="139">
        <f t="shared" ref="N4:N12" si="7">M4*(1+I4)</f>
        <v>0</v>
      </c>
      <c r="O4" s="139">
        <f t="shared" ref="O4:O12" si="8">N4*(1+J4)</f>
        <v>0</v>
      </c>
      <c r="P4" s="342">
        <f>D4*(1+'1. Ventas y Premisas'!$Z$4)</f>
        <v>0</v>
      </c>
      <c r="Q4" s="342">
        <f>P4*(1+'1. Ventas y Premisas'!$AA$4)</f>
        <v>0</v>
      </c>
      <c r="R4" s="342">
        <f>Q4*(1+'1. Ventas y Premisas'!$AB$4)</f>
        <v>0</v>
      </c>
      <c r="S4" s="342">
        <f>R4*(1+'1. Ventas y Premisas'!$AC$4)</f>
        <v>0</v>
      </c>
      <c r="T4" s="163">
        <f t="shared" ref="T4:T12" si="9">L4*P4</f>
        <v>0</v>
      </c>
      <c r="U4" s="163">
        <f t="shared" ref="U4:U12" si="10">M4*Q4</f>
        <v>0</v>
      </c>
      <c r="V4" s="163">
        <f t="shared" ref="V4:V12" si="11">N4*R4</f>
        <v>0</v>
      </c>
      <c r="W4" s="163">
        <f t="shared" ref="W4:W12" si="12">O4*S4</f>
        <v>0</v>
      </c>
      <c r="X4" s="163"/>
      <c r="Y4" s="345" t="s">
        <v>21</v>
      </c>
      <c r="Z4" s="346">
        <v>0.04</v>
      </c>
      <c r="AA4" s="346">
        <v>0.04</v>
      </c>
      <c r="AB4" s="346">
        <v>0.04</v>
      </c>
      <c r="AC4" s="347">
        <v>0.04</v>
      </c>
    </row>
    <row r="5" spans="1:29" ht="15.75" customHeight="1" thickBot="1">
      <c r="A5" s="335">
        <f t="shared" ref="A5:A12" si="13">A4+1</f>
        <v>3</v>
      </c>
      <c r="B5" s="336"/>
      <c r="C5" s="337">
        <v>0</v>
      </c>
      <c r="D5" s="338">
        <v>0</v>
      </c>
      <c r="E5" s="339">
        <f t="shared" si="4"/>
        <v>0</v>
      </c>
      <c r="F5" s="340">
        <f t="shared" si="5"/>
        <v>0</v>
      </c>
      <c r="G5" s="341">
        <v>0</v>
      </c>
      <c r="H5" s="341">
        <v>0</v>
      </c>
      <c r="I5" s="341">
        <v>0</v>
      </c>
      <c r="J5" s="341">
        <v>0</v>
      </c>
      <c r="K5" s="339"/>
      <c r="L5" s="139">
        <f t="shared" si="1"/>
        <v>0</v>
      </c>
      <c r="M5" s="139">
        <f t="shared" si="6"/>
        <v>0</v>
      </c>
      <c r="N5" s="139">
        <f t="shared" si="7"/>
        <v>0</v>
      </c>
      <c r="O5" s="139">
        <f t="shared" si="8"/>
        <v>0</v>
      </c>
      <c r="P5" s="342">
        <f>D5*(1+'1. Ventas y Premisas'!$Z$4)</f>
        <v>0</v>
      </c>
      <c r="Q5" s="342">
        <f>P5*(1+'1. Ventas y Premisas'!$AA$4)</f>
        <v>0</v>
      </c>
      <c r="R5" s="342">
        <f>Q5*(1+'1. Ventas y Premisas'!$AB$4)</f>
        <v>0</v>
      </c>
      <c r="S5" s="342">
        <f>R5*(1+'1. Ventas y Premisas'!$AC$4)</f>
        <v>0</v>
      </c>
      <c r="T5" s="163">
        <f t="shared" si="9"/>
        <v>0</v>
      </c>
      <c r="U5" s="163">
        <f t="shared" si="10"/>
        <v>0</v>
      </c>
      <c r="V5" s="163">
        <f t="shared" si="11"/>
        <v>0</v>
      </c>
      <c r="W5" s="163">
        <f t="shared" si="12"/>
        <v>0</v>
      </c>
      <c r="X5" s="163"/>
      <c r="Y5" s="348" t="s">
        <v>23</v>
      </c>
      <c r="Z5" s="349">
        <v>0</v>
      </c>
      <c r="AA5" s="349">
        <v>0</v>
      </c>
      <c r="AB5" s="349">
        <v>0</v>
      </c>
      <c r="AC5" s="350">
        <v>0</v>
      </c>
    </row>
    <row r="6" spans="1:29" ht="15.75" customHeight="1" thickBot="1">
      <c r="A6" s="335">
        <f t="shared" si="13"/>
        <v>4</v>
      </c>
      <c r="B6" s="336"/>
      <c r="C6" s="337">
        <v>0</v>
      </c>
      <c r="D6" s="338">
        <v>0</v>
      </c>
      <c r="E6" s="339">
        <f t="shared" si="4"/>
        <v>0</v>
      </c>
      <c r="F6" s="340">
        <f t="shared" si="5"/>
        <v>0</v>
      </c>
      <c r="G6" s="341">
        <v>0</v>
      </c>
      <c r="H6" s="341">
        <v>0</v>
      </c>
      <c r="I6" s="341">
        <v>0</v>
      </c>
      <c r="J6" s="341">
        <v>0</v>
      </c>
      <c r="K6" s="339"/>
      <c r="L6" s="139">
        <f t="shared" si="1"/>
        <v>0</v>
      </c>
      <c r="M6" s="139">
        <f t="shared" si="6"/>
        <v>0</v>
      </c>
      <c r="N6" s="139">
        <f t="shared" si="7"/>
        <v>0</v>
      </c>
      <c r="O6" s="139">
        <f t="shared" si="8"/>
        <v>0</v>
      </c>
      <c r="P6" s="342">
        <f>D6*(1+'1. Ventas y Premisas'!$Z$4)</f>
        <v>0</v>
      </c>
      <c r="Q6" s="342">
        <f>P6*(1+'1. Ventas y Premisas'!$AA$4)</f>
        <v>0</v>
      </c>
      <c r="R6" s="342">
        <f>Q6*(1+'1. Ventas y Premisas'!$AB$4)</f>
        <v>0</v>
      </c>
      <c r="S6" s="342">
        <f>R6*(1+'1. Ventas y Premisas'!$AC$4)</f>
        <v>0</v>
      </c>
      <c r="T6" s="163">
        <f t="shared" si="9"/>
        <v>0</v>
      </c>
      <c r="U6" s="163">
        <f t="shared" si="10"/>
        <v>0</v>
      </c>
      <c r="V6" s="163">
        <f t="shared" si="11"/>
        <v>0</v>
      </c>
      <c r="W6" s="163">
        <f t="shared" si="12"/>
        <v>0</v>
      </c>
      <c r="X6" s="163"/>
    </row>
    <row r="7" spans="1:29" ht="15.75" customHeight="1" thickBot="1">
      <c r="A7" s="335">
        <f t="shared" si="13"/>
        <v>5</v>
      </c>
      <c r="B7" s="336"/>
      <c r="C7" s="337">
        <v>0</v>
      </c>
      <c r="D7" s="338">
        <v>0</v>
      </c>
      <c r="E7" s="339">
        <f t="shared" si="4"/>
        <v>0</v>
      </c>
      <c r="F7" s="340">
        <f t="shared" si="5"/>
        <v>0</v>
      </c>
      <c r="G7" s="341">
        <v>0</v>
      </c>
      <c r="H7" s="341">
        <v>0</v>
      </c>
      <c r="I7" s="341">
        <v>0</v>
      </c>
      <c r="J7" s="341">
        <v>0</v>
      </c>
      <c r="K7" s="339"/>
      <c r="L7" s="139">
        <f t="shared" si="1"/>
        <v>0</v>
      </c>
      <c r="M7" s="139">
        <f t="shared" si="6"/>
        <v>0</v>
      </c>
      <c r="N7" s="139">
        <f t="shared" si="7"/>
        <v>0</v>
      </c>
      <c r="O7" s="139">
        <f t="shared" si="8"/>
        <v>0</v>
      </c>
      <c r="P7" s="342">
        <f>D7*(1+'1. Ventas y Premisas'!$Z$4)</f>
        <v>0</v>
      </c>
      <c r="Q7" s="342">
        <f>P7*(1+'1. Ventas y Premisas'!$AA$4)</f>
        <v>0</v>
      </c>
      <c r="R7" s="342">
        <f>Q7*(1+'1. Ventas y Premisas'!$AB$4)</f>
        <v>0</v>
      </c>
      <c r="S7" s="342">
        <f>R7*(1+'1. Ventas y Premisas'!$AC$4)</f>
        <v>0</v>
      </c>
      <c r="T7" s="163">
        <f t="shared" si="9"/>
        <v>0</v>
      </c>
      <c r="U7" s="163">
        <f t="shared" si="10"/>
        <v>0</v>
      </c>
      <c r="V7" s="163">
        <f t="shared" si="11"/>
        <v>0</v>
      </c>
      <c r="W7" s="163">
        <f t="shared" si="12"/>
        <v>0</v>
      </c>
      <c r="X7" s="163"/>
      <c r="Y7" s="138" t="s">
        <v>26</v>
      </c>
      <c r="Z7" s="150"/>
      <c r="AA7" s="150"/>
      <c r="AB7" s="351">
        <v>0.35</v>
      </c>
      <c r="AC7" s="352"/>
    </row>
    <row r="8" spans="1:29" ht="15.75" hidden="1" customHeight="1">
      <c r="A8" s="335">
        <f t="shared" si="13"/>
        <v>6</v>
      </c>
      <c r="B8" s="336"/>
      <c r="C8" s="337">
        <v>0</v>
      </c>
      <c r="D8" s="338">
        <v>0</v>
      </c>
      <c r="E8" s="339">
        <f t="shared" si="4"/>
        <v>0</v>
      </c>
      <c r="F8" s="340">
        <f t="shared" si="5"/>
        <v>0</v>
      </c>
      <c r="G8" s="341">
        <v>0</v>
      </c>
      <c r="H8" s="341">
        <v>0</v>
      </c>
      <c r="I8" s="341">
        <v>0</v>
      </c>
      <c r="J8" s="341">
        <v>0</v>
      </c>
      <c r="K8" s="339"/>
      <c r="L8" s="139">
        <f t="shared" si="1"/>
        <v>0</v>
      </c>
      <c r="M8" s="139">
        <f t="shared" si="6"/>
        <v>0</v>
      </c>
      <c r="N8" s="139">
        <f t="shared" si="7"/>
        <v>0</v>
      </c>
      <c r="O8" s="139">
        <f t="shared" si="8"/>
        <v>0</v>
      </c>
      <c r="P8" s="342">
        <f>D8*(1+'1. Ventas y Premisas'!$Z$4)</f>
        <v>0</v>
      </c>
      <c r="Q8" s="342">
        <f>P8*(1+'1. Ventas y Premisas'!$AA$4)</f>
        <v>0</v>
      </c>
      <c r="R8" s="342">
        <f>Q8*(1+'1. Ventas y Premisas'!$AB$4)</f>
        <v>0</v>
      </c>
      <c r="S8" s="342">
        <f>R8*(1+'1. Ventas y Premisas'!$AC$4)</f>
        <v>0</v>
      </c>
      <c r="T8" s="163">
        <f t="shared" si="9"/>
        <v>0</v>
      </c>
      <c r="U8" s="163">
        <f t="shared" si="10"/>
        <v>0</v>
      </c>
      <c r="V8" s="163">
        <f t="shared" si="11"/>
        <v>0</v>
      </c>
      <c r="W8" s="163">
        <f t="shared" si="12"/>
        <v>0</v>
      </c>
      <c r="X8" s="163"/>
    </row>
    <row r="9" spans="1:29" ht="15.75" hidden="1" customHeight="1">
      <c r="A9" s="335">
        <f t="shared" si="13"/>
        <v>7</v>
      </c>
      <c r="B9" s="336"/>
      <c r="C9" s="337"/>
      <c r="D9" s="338"/>
      <c r="E9" s="339">
        <f t="shared" si="4"/>
        <v>0</v>
      </c>
      <c r="F9" s="340">
        <f t="shared" si="5"/>
        <v>0</v>
      </c>
      <c r="G9" s="341">
        <v>0</v>
      </c>
      <c r="H9" s="341">
        <v>0</v>
      </c>
      <c r="I9" s="341">
        <v>0</v>
      </c>
      <c r="J9" s="341">
        <v>0</v>
      </c>
      <c r="K9" s="339"/>
      <c r="L9" s="139">
        <f t="shared" si="1"/>
        <v>0</v>
      </c>
      <c r="M9" s="139">
        <f t="shared" si="6"/>
        <v>0</v>
      </c>
      <c r="N9" s="139">
        <f t="shared" si="7"/>
        <v>0</v>
      </c>
      <c r="O9" s="139">
        <f t="shared" si="8"/>
        <v>0</v>
      </c>
      <c r="P9" s="342">
        <f>D9*(1+'1. Ventas y Premisas'!$Z$4)</f>
        <v>0</v>
      </c>
      <c r="Q9" s="342">
        <f>P9*(1+'1. Ventas y Premisas'!$AA$4)</f>
        <v>0</v>
      </c>
      <c r="R9" s="342">
        <f>Q9*(1+'1. Ventas y Premisas'!$AB$4)</f>
        <v>0</v>
      </c>
      <c r="S9" s="342">
        <f>R9*(1+'1. Ventas y Premisas'!$AC$4)</f>
        <v>0</v>
      </c>
      <c r="T9" s="163">
        <f t="shared" si="9"/>
        <v>0</v>
      </c>
      <c r="U9" s="163">
        <f t="shared" si="10"/>
        <v>0</v>
      </c>
      <c r="V9" s="163">
        <f t="shared" si="11"/>
        <v>0</v>
      </c>
      <c r="W9" s="163">
        <f t="shared" si="12"/>
        <v>0</v>
      </c>
      <c r="X9" s="163"/>
    </row>
    <row r="10" spans="1:29" ht="15.75" hidden="1" customHeight="1">
      <c r="A10" s="335">
        <f t="shared" si="13"/>
        <v>8</v>
      </c>
      <c r="B10" s="336"/>
      <c r="C10" s="353"/>
      <c r="D10" s="338"/>
      <c r="E10" s="339">
        <f t="shared" si="4"/>
        <v>0</v>
      </c>
      <c r="F10" s="340">
        <f t="shared" si="5"/>
        <v>0</v>
      </c>
      <c r="G10" s="341">
        <v>0</v>
      </c>
      <c r="H10" s="341">
        <v>0</v>
      </c>
      <c r="I10" s="341">
        <v>0</v>
      </c>
      <c r="J10" s="341">
        <v>0</v>
      </c>
      <c r="K10" s="339"/>
      <c r="L10" s="139">
        <f t="shared" si="1"/>
        <v>0</v>
      </c>
      <c r="M10" s="139">
        <f t="shared" si="6"/>
        <v>0</v>
      </c>
      <c r="N10" s="139">
        <f t="shared" si="7"/>
        <v>0</v>
      </c>
      <c r="O10" s="139">
        <f t="shared" si="8"/>
        <v>0</v>
      </c>
      <c r="P10" s="342">
        <f>D10*(1+'1. Ventas y Premisas'!$Z$4)</f>
        <v>0</v>
      </c>
      <c r="Q10" s="342">
        <f>P10*(1+'1. Ventas y Premisas'!$AA$4)</f>
        <v>0</v>
      </c>
      <c r="R10" s="342">
        <f>Q10*(1+'1. Ventas y Premisas'!$AB$4)</f>
        <v>0</v>
      </c>
      <c r="S10" s="342">
        <f>R10*(1+'1. Ventas y Premisas'!$AC$4)</f>
        <v>0</v>
      </c>
      <c r="T10" s="163">
        <f t="shared" si="9"/>
        <v>0</v>
      </c>
      <c r="U10" s="163">
        <f t="shared" si="10"/>
        <v>0</v>
      </c>
      <c r="V10" s="163">
        <f t="shared" si="11"/>
        <v>0</v>
      </c>
      <c r="W10" s="163">
        <f t="shared" si="12"/>
        <v>0</v>
      </c>
      <c r="X10" s="163"/>
    </row>
    <row r="11" spans="1:29" ht="15.75" hidden="1" customHeight="1">
      <c r="A11" s="335">
        <f t="shared" si="13"/>
        <v>9</v>
      </c>
      <c r="B11" s="336"/>
      <c r="C11" s="353"/>
      <c r="D11" s="338"/>
      <c r="E11" s="339">
        <f t="shared" si="4"/>
        <v>0</v>
      </c>
      <c r="F11" s="340">
        <f t="shared" si="5"/>
        <v>0</v>
      </c>
      <c r="G11" s="341">
        <v>0</v>
      </c>
      <c r="H11" s="341">
        <v>0</v>
      </c>
      <c r="I11" s="341">
        <v>0</v>
      </c>
      <c r="J11" s="341">
        <v>0</v>
      </c>
      <c r="K11" s="339"/>
      <c r="L11" s="139">
        <f t="shared" si="1"/>
        <v>0</v>
      </c>
      <c r="M11" s="139">
        <f t="shared" si="6"/>
        <v>0</v>
      </c>
      <c r="N11" s="139">
        <f t="shared" si="7"/>
        <v>0</v>
      </c>
      <c r="O11" s="139">
        <f t="shared" si="8"/>
        <v>0</v>
      </c>
      <c r="P11" s="342">
        <f>D11*(1+'1. Ventas y Premisas'!$Z$4)</f>
        <v>0</v>
      </c>
      <c r="Q11" s="342">
        <f>P11*(1+'1. Ventas y Premisas'!$AA$4)</f>
        <v>0</v>
      </c>
      <c r="R11" s="342">
        <f>Q11*(1+'1. Ventas y Premisas'!$AB$4)</f>
        <v>0</v>
      </c>
      <c r="S11" s="342">
        <f>R11*(1+'1. Ventas y Premisas'!$AC$4)</f>
        <v>0</v>
      </c>
      <c r="T11" s="163">
        <f t="shared" si="9"/>
        <v>0</v>
      </c>
      <c r="U11" s="163">
        <f t="shared" si="10"/>
        <v>0</v>
      </c>
      <c r="V11" s="163">
        <f t="shared" si="11"/>
        <v>0</v>
      </c>
      <c r="W11" s="163">
        <f t="shared" si="12"/>
        <v>0</v>
      </c>
      <c r="X11" s="163"/>
    </row>
    <row r="12" spans="1:29" ht="15.75" hidden="1" customHeight="1">
      <c r="A12" s="335">
        <f t="shared" si="13"/>
        <v>10</v>
      </c>
      <c r="B12" s="336"/>
      <c r="C12" s="353"/>
      <c r="D12" s="338"/>
      <c r="E12" s="339">
        <f t="shared" si="4"/>
        <v>0</v>
      </c>
      <c r="F12" s="340">
        <f t="shared" si="5"/>
        <v>0</v>
      </c>
      <c r="G12" s="341">
        <v>0</v>
      </c>
      <c r="H12" s="341">
        <v>0</v>
      </c>
      <c r="I12" s="341">
        <v>0</v>
      </c>
      <c r="J12" s="341">
        <v>0</v>
      </c>
      <c r="K12" s="339"/>
      <c r="L12" s="139">
        <f t="shared" si="1"/>
        <v>0</v>
      </c>
      <c r="M12" s="139">
        <f t="shared" si="6"/>
        <v>0</v>
      </c>
      <c r="N12" s="139">
        <f t="shared" si="7"/>
        <v>0</v>
      </c>
      <c r="O12" s="139">
        <f t="shared" si="8"/>
        <v>0</v>
      </c>
      <c r="P12" s="342">
        <f>D12*(1+'1. Ventas y Premisas'!$Z$4)</f>
        <v>0</v>
      </c>
      <c r="Q12" s="342">
        <f>P12*(1+'1. Ventas y Premisas'!$AA$4)</f>
        <v>0</v>
      </c>
      <c r="R12" s="342">
        <f>Q12*(1+'1. Ventas y Premisas'!$AB$4)</f>
        <v>0</v>
      </c>
      <c r="S12" s="342">
        <f>R12*(1+'1. Ventas y Premisas'!$AC$4)</f>
        <v>0</v>
      </c>
      <c r="T12" s="163">
        <f t="shared" si="9"/>
        <v>0</v>
      </c>
      <c r="U12" s="163">
        <f t="shared" si="10"/>
        <v>0</v>
      </c>
      <c r="V12" s="163">
        <f t="shared" si="11"/>
        <v>0</v>
      </c>
      <c r="W12" s="163">
        <f t="shared" si="12"/>
        <v>0</v>
      </c>
      <c r="X12" s="163"/>
    </row>
    <row r="13" spans="1:29">
      <c r="D13" s="139" t="s">
        <v>28</v>
      </c>
      <c r="E13" s="354">
        <f>SUM(E3:E12)</f>
        <v>1248000000</v>
      </c>
      <c r="F13" s="355">
        <f>SUM(F3:F12)</f>
        <v>1</v>
      </c>
      <c r="T13" s="356">
        <f>SUM(T3:T12)</f>
        <v>1323878400</v>
      </c>
      <c r="U13" s="356">
        <f>SUM(U3:U12)</f>
        <v>1404370206.72</v>
      </c>
      <c r="V13" s="356">
        <f>SUM(V3:V12)</f>
        <v>1489755915.2885759</v>
      </c>
      <c r="W13" s="356">
        <f>SUM(W3:W12)</f>
        <v>1580333074.9381216</v>
      </c>
      <c r="X13" s="163"/>
    </row>
    <row r="15" spans="1:29" ht="23.25" customHeight="1">
      <c r="A15" s="470" t="s">
        <v>29</v>
      </c>
      <c r="B15" s="470"/>
      <c r="C15" s="470"/>
      <c r="D15" s="470"/>
      <c r="E15" s="470"/>
      <c r="G15" s="157"/>
    </row>
    <row r="16" spans="1:29" ht="45" customHeight="1">
      <c r="B16" s="209" t="s">
        <v>30</v>
      </c>
      <c r="C16" s="357" t="s">
        <v>6</v>
      </c>
      <c r="D16" s="209" t="s">
        <v>532</v>
      </c>
      <c r="E16" s="332" t="s">
        <v>31</v>
      </c>
      <c r="L16" s="139">
        <f>L2</f>
        <v>2026</v>
      </c>
      <c r="M16" s="139">
        <f t="shared" ref="M16:W16" si="14">M2</f>
        <v>2027</v>
      </c>
      <c r="N16" s="139">
        <f t="shared" si="14"/>
        <v>2028</v>
      </c>
      <c r="O16" s="139">
        <f t="shared" si="14"/>
        <v>2029</v>
      </c>
      <c r="P16" s="139" t="str">
        <f t="shared" si="14"/>
        <v>AÑO 2</v>
      </c>
      <c r="Q16" s="139" t="str">
        <f t="shared" si="14"/>
        <v>AÑO 3</v>
      </c>
      <c r="R16" s="139" t="str">
        <f t="shared" si="14"/>
        <v>AÑO 4</v>
      </c>
      <c r="S16" s="139" t="str">
        <f t="shared" si="14"/>
        <v>AÑO 5</v>
      </c>
      <c r="T16" s="139" t="str">
        <f t="shared" si="14"/>
        <v>año 2</v>
      </c>
      <c r="U16" s="139" t="str">
        <f t="shared" si="14"/>
        <v>año 3</v>
      </c>
      <c r="V16" s="139" t="str">
        <f t="shared" si="14"/>
        <v>año 4</v>
      </c>
      <c r="W16" s="139" t="str">
        <f t="shared" si="14"/>
        <v>año 5</v>
      </c>
    </row>
    <row r="17" spans="1:24" ht="18" customHeight="1">
      <c r="A17" s="335">
        <f>A3</f>
        <v>1</v>
      </c>
      <c r="B17" s="162" t="str">
        <f>B3</f>
        <v>Patrocinios a jugadores y Premiaciones</v>
      </c>
      <c r="C17" s="358">
        <f>C3</f>
        <v>8</v>
      </c>
      <c r="D17" s="338">
        <v>15000000</v>
      </c>
      <c r="E17" s="339">
        <f>C17*D17</f>
        <v>120000000</v>
      </c>
      <c r="F17" s="340">
        <f>IF($E$27=0,0,E17/$E$27)</f>
        <v>1</v>
      </c>
      <c r="L17" s="139">
        <f t="shared" ref="L17:L26" si="15">C17*(1+G3)</f>
        <v>8.16</v>
      </c>
      <c r="M17" s="139">
        <f>L17*(1+H3)</f>
        <v>8.3231999999999999</v>
      </c>
      <c r="N17" s="139">
        <f t="shared" ref="N17:O17" si="16">M17*(1+I3)</f>
        <v>8.4896639999999994</v>
      </c>
      <c r="O17" s="139">
        <f t="shared" si="16"/>
        <v>8.6594572799999998</v>
      </c>
      <c r="P17" s="359">
        <f>D17*(1+'1. Ventas y Premisas'!$Z$5)</f>
        <v>15000000</v>
      </c>
      <c r="Q17" s="342">
        <f>P17*(1+'1. Ventas y Premisas'!$AA$5)</f>
        <v>15000000</v>
      </c>
      <c r="R17" s="342">
        <f>Q17*(1+'1. Ventas y Premisas'!$AB$5)</f>
        <v>15000000</v>
      </c>
      <c r="S17" s="342">
        <f>R17*(1+'1. Ventas y Premisas'!$AC$5)</f>
        <v>15000000</v>
      </c>
      <c r="T17" s="359">
        <f t="shared" ref="T17:U19" si="17">L17*P17</f>
        <v>122400000</v>
      </c>
      <c r="U17" s="163">
        <f t="shared" si="17"/>
        <v>124848000</v>
      </c>
      <c r="V17" s="163">
        <f t="shared" ref="V17:W17" si="18">N17*R17</f>
        <v>127344959.99999999</v>
      </c>
      <c r="W17" s="163">
        <f t="shared" si="18"/>
        <v>129891859.2</v>
      </c>
      <c r="X17" s="163"/>
    </row>
    <row r="18" spans="1:24" hidden="1">
      <c r="A18" s="335">
        <f t="shared" ref="A18:B25" si="19">A4</f>
        <v>2</v>
      </c>
      <c r="B18" s="360">
        <f t="shared" si="19"/>
        <v>0</v>
      </c>
      <c r="C18" s="358">
        <f t="shared" ref="C18:C26" si="20">C4</f>
        <v>0</v>
      </c>
      <c r="D18" s="338">
        <v>0</v>
      </c>
      <c r="E18" s="339">
        <f t="shared" ref="E18:E26" si="21">C18*D18</f>
        <v>0</v>
      </c>
      <c r="F18" s="340">
        <f t="shared" ref="F18:F26" si="22">IF($E$27=0,0,E18/$E$27)</f>
        <v>0</v>
      </c>
      <c r="L18" s="139">
        <f t="shared" si="15"/>
        <v>0</v>
      </c>
      <c r="M18" s="139">
        <f t="shared" ref="M18:M26" si="23">L18*(1+H4)</f>
        <v>0</v>
      </c>
      <c r="N18" s="139">
        <f t="shared" ref="N18:N26" si="24">M18*(1+I4)</f>
        <v>0</v>
      </c>
      <c r="O18" s="139">
        <f t="shared" ref="O18:O26" si="25">N18*(1+J4)</f>
        <v>0</v>
      </c>
      <c r="P18" s="359">
        <f>D18*(1+'1. Ventas y Premisas'!$Z$5)</f>
        <v>0</v>
      </c>
      <c r="Q18" s="342">
        <f>P18*(1+'1. Ventas y Premisas'!$AA$5)</f>
        <v>0</v>
      </c>
      <c r="R18" s="342">
        <f>Q18*(1+'1. Ventas y Premisas'!$AB$5)</f>
        <v>0</v>
      </c>
      <c r="S18" s="342">
        <f>R18*(1+'1. Ventas y Premisas'!$AC$5)</f>
        <v>0</v>
      </c>
      <c r="T18" s="359">
        <f t="shared" si="17"/>
        <v>0</v>
      </c>
      <c r="U18" s="163">
        <f t="shared" si="17"/>
        <v>0</v>
      </c>
      <c r="V18" s="163">
        <f t="shared" ref="V18:V26" si="26">N18*R18</f>
        <v>0</v>
      </c>
      <c r="W18" s="163">
        <f t="shared" ref="W18:W26" si="27">O18*S18</f>
        <v>0</v>
      </c>
      <c r="X18" s="163"/>
    </row>
    <row r="19" spans="1:24" hidden="1">
      <c r="A19" s="335">
        <f t="shared" si="19"/>
        <v>3</v>
      </c>
      <c r="B19" s="360">
        <f t="shared" si="19"/>
        <v>0</v>
      </c>
      <c r="C19" s="358">
        <f t="shared" si="20"/>
        <v>0</v>
      </c>
      <c r="D19" s="338">
        <v>0</v>
      </c>
      <c r="E19" s="339">
        <f t="shared" si="21"/>
        <v>0</v>
      </c>
      <c r="F19" s="340">
        <f t="shared" si="22"/>
        <v>0</v>
      </c>
      <c r="L19" s="139">
        <f t="shared" si="15"/>
        <v>0</v>
      </c>
      <c r="M19" s="139">
        <f t="shared" si="23"/>
        <v>0</v>
      </c>
      <c r="N19" s="139">
        <f t="shared" si="24"/>
        <v>0</v>
      </c>
      <c r="O19" s="139">
        <f t="shared" si="25"/>
        <v>0</v>
      </c>
      <c r="P19" s="359">
        <f>D19*(1+'1. Ventas y Premisas'!$Z$5)</f>
        <v>0</v>
      </c>
      <c r="Q19" s="342">
        <f>P19*(1+'1. Ventas y Premisas'!$AA$5)</f>
        <v>0</v>
      </c>
      <c r="R19" s="342">
        <f>Q19*(1+'1. Ventas y Premisas'!$AB$5)</f>
        <v>0</v>
      </c>
      <c r="S19" s="342">
        <f>R19*(1+'1. Ventas y Premisas'!$AC$5)</f>
        <v>0</v>
      </c>
      <c r="T19" s="359">
        <f t="shared" si="17"/>
        <v>0</v>
      </c>
      <c r="U19" s="163">
        <f t="shared" si="17"/>
        <v>0</v>
      </c>
      <c r="V19" s="163">
        <f t="shared" si="26"/>
        <v>0</v>
      </c>
      <c r="W19" s="163">
        <f t="shared" si="27"/>
        <v>0</v>
      </c>
      <c r="X19" s="163"/>
    </row>
    <row r="20" spans="1:24" hidden="1">
      <c r="A20" s="335">
        <f t="shared" si="19"/>
        <v>4</v>
      </c>
      <c r="B20" s="360">
        <f t="shared" si="19"/>
        <v>0</v>
      </c>
      <c r="C20" s="358">
        <f t="shared" si="20"/>
        <v>0</v>
      </c>
      <c r="D20" s="338">
        <v>0</v>
      </c>
      <c r="E20" s="339">
        <f t="shared" si="21"/>
        <v>0</v>
      </c>
      <c r="F20" s="340">
        <f t="shared" si="22"/>
        <v>0</v>
      </c>
      <c r="L20" s="139">
        <f t="shared" si="15"/>
        <v>0</v>
      </c>
      <c r="M20" s="139">
        <f t="shared" si="23"/>
        <v>0</v>
      </c>
      <c r="N20" s="139">
        <f t="shared" si="24"/>
        <v>0</v>
      </c>
      <c r="O20" s="139">
        <f t="shared" si="25"/>
        <v>0</v>
      </c>
      <c r="P20" s="359">
        <f>D20*(1+'1. Ventas y Premisas'!$Z$5)</f>
        <v>0</v>
      </c>
      <c r="Q20" s="342">
        <f>P20*(1+'1. Ventas y Premisas'!$AA$5)</f>
        <v>0</v>
      </c>
      <c r="R20" s="342">
        <f>Q20*(1+'1. Ventas y Premisas'!$AB$5)</f>
        <v>0</v>
      </c>
      <c r="S20" s="342">
        <f>R20*(1+'1. Ventas y Premisas'!$AC$5)</f>
        <v>0</v>
      </c>
      <c r="T20" s="359">
        <f t="shared" ref="T20:T26" si="28">L20*P20</f>
        <v>0</v>
      </c>
      <c r="U20" s="163">
        <f t="shared" ref="U20:U26" si="29">M20*Q20</f>
        <v>0</v>
      </c>
      <c r="V20" s="163">
        <f t="shared" si="26"/>
        <v>0</v>
      </c>
      <c r="W20" s="163">
        <f t="shared" si="27"/>
        <v>0</v>
      </c>
      <c r="X20" s="163"/>
    </row>
    <row r="21" spans="1:24" hidden="1">
      <c r="A21" s="335">
        <f t="shared" si="19"/>
        <v>5</v>
      </c>
      <c r="B21" s="360">
        <f t="shared" si="19"/>
        <v>0</v>
      </c>
      <c r="C21" s="358">
        <f t="shared" si="20"/>
        <v>0</v>
      </c>
      <c r="D21" s="338">
        <f>+'Vr1 Ing y Cost Esports'!BI91</f>
        <v>0</v>
      </c>
      <c r="E21" s="339">
        <f t="shared" si="21"/>
        <v>0</v>
      </c>
      <c r="F21" s="340">
        <f t="shared" si="22"/>
        <v>0</v>
      </c>
      <c r="L21" s="139">
        <f t="shared" si="15"/>
        <v>0</v>
      </c>
      <c r="M21" s="139">
        <f t="shared" si="23"/>
        <v>0</v>
      </c>
      <c r="N21" s="139">
        <f t="shared" si="24"/>
        <v>0</v>
      </c>
      <c r="O21" s="139">
        <f t="shared" si="25"/>
        <v>0</v>
      </c>
      <c r="P21" s="359">
        <f>D21*(1+'1. Ventas y Premisas'!$Z$5)</f>
        <v>0</v>
      </c>
      <c r="Q21" s="342">
        <f>P21*(1+'1. Ventas y Premisas'!$AA$5)</f>
        <v>0</v>
      </c>
      <c r="R21" s="342">
        <f>Q21*(1+'1. Ventas y Premisas'!$AB$5)</f>
        <v>0</v>
      </c>
      <c r="S21" s="342">
        <f>R21*(1+'1. Ventas y Premisas'!$AC$5)</f>
        <v>0</v>
      </c>
      <c r="T21" s="359">
        <f t="shared" si="28"/>
        <v>0</v>
      </c>
      <c r="U21" s="163">
        <f t="shared" si="29"/>
        <v>0</v>
      </c>
      <c r="V21" s="163">
        <f t="shared" si="26"/>
        <v>0</v>
      </c>
      <c r="W21" s="163">
        <f t="shared" si="27"/>
        <v>0</v>
      </c>
      <c r="X21" s="163"/>
    </row>
    <row r="22" spans="1:24" hidden="1">
      <c r="A22" s="335">
        <f t="shared" si="19"/>
        <v>6</v>
      </c>
      <c r="B22" s="360">
        <f t="shared" si="19"/>
        <v>0</v>
      </c>
      <c r="C22" s="358">
        <f t="shared" si="20"/>
        <v>0</v>
      </c>
      <c r="D22" s="338">
        <v>0</v>
      </c>
      <c r="E22" s="339">
        <f t="shared" si="21"/>
        <v>0</v>
      </c>
      <c r="F22" s="340">
        <f t="shared" si="22"/>
        <v>0</v>
      </c>
      <c r="L22" s="139">
        <f t="shared" si="15"/>
        <v>0</v>
      </c>
      <c r="M22" s="139">
        <f t="shared" si="23"/>
        <v>0</v>
      </c>
      <c r="N22" s="139">
        <f t="shared" si="24"/>
        <v>0</v>
      </c>
      <c r="O22" s="139">
        <f t="shared" si="25"/>
        <v>0</v>
      </c>
      <c r="P22" s="359">
        <f>D22*(1+'1. Ventas y Premisas'!$Z$5)</f>
        <v>0</v>
      </c>
      <c r="Q22" s="342">
        <f>P22*(1+'1. Ventas y Premisas'!$AA$5)</f>
        <v>0</v>
      </c>
      <c r="R22" s="342">
        <f>Q22*(1+'1. Ventas y Premisas'!$AB$5)</f>
        <v>0</v>
      </c>
      <c r="S22" s="342">
        <f>R22*(1+'1. Ventas y Premisas'!$AC$5)</f>
        <v>0</v>
      </c>
      <c r="T22" s="359">
        <f t="shared" si="28"/>
        <v>0</v>
      </c>
      <c r="U22" s="163">
        <f t="shared" si="29"/>
        <v>0</v>
      </c>
      <c r="V22" s="163">
        <f t="shared" si="26"/>
        <v>0</v>
      </c>
      <c r="W22" s="163">
        <f t="shared" si="27"/>
        <v>0</v>
      </c>
      <c r="X22" s="163"/>
    </row>
    <row r="23" spans="1:24" hidden="1">
      <c r="A23" s="335">
        <f t="shared" si="19"/>
        <v>7</v>
      </c>
      <c r="B23" s="360">
        <f t="shared" si="19"/>
        <v>0</v>
      </c>
      <c r="C23" s="358">
        <f t="shared" si="20"/>
        <v>0</v>
      </c>
      <c r="D23" s="338">
        <v>0</v>
      </c>
      <c r="E23" s="339">
        <f t="shared" si="21"/>
        <v>0</v>
      </c>
      <c r="F23" s="340">
        <f t="shared" si="22"/>
        <v>0</v>
      </c>
      <c r="L23" s="139">
        <f t="shared" si="15"/>
        <v>0</v>
      </c>
      <c r="M23" s="139">
        <f t="shared" si="23"/>
        <v>0</v>
      </c>
      <c r="N23" s="139">
        <f t="shared" si="24"/>
        <v>0</v>
      </c>
      <c r="O23" s="139">
        <f t="shared" si="25"/>
        <v>0</v>
      </c>
      <c r="P23" s="359">
        <f>D23*(1+'1. Ventas y Premisas'!$Z$5)</f>
        <v>0</v>
      </c>
      <c r="Q23" s="342">
        <f>P23*(1+'1. Ventas y Premisas'!$AA$5)</f>
        <v>0</v>
      </c>
      <c r="R23" s="342">
        <f>Q23*(1+'1. Ventas y Premisas'!$AB$5)</f>
        <v>0</v>
      </c>
      <c r="S23" s="342">
        <f>R23*(1+'1. Ventas y Premisas'!$AC$5)</f>
        <v>0</v>
      </c>
      <c r="T23" s="359">
        <f t="shared" si="28"/>
        <v>0</v>
      </c>
      <c r="U23" s="163">
        <f t="shared" si="29"/>
        <v>0</v>
      </c>
      <c r="V23" s="163">
        <f t="shared" si="26"/>
        <v>0</v>
      </c>
      <c r="W23" s="163">
        <f t="shared" si="27"/>
        <v>0</v>
      </c>
      <c r="X23" s="163"/>
    </row>
    <row r="24" spans="1:24" hidden="1">
      <c r="A24" s="335">
        <f t="shared" si="19"/>
        <v>8</v>
      </c>
      <c r="B24" s="360">
        <f t="shared" si="19"/>
        <v>0</v>
      </c>
      <c r="C24" s="358">
        <f t="shared" si="20"/>
        <v>0</v>
      </c>
      <c r="D24" s="338">
        <v>0</v>
      </c>
      <c r="E24" s="339">
        <f t="shared" si="21"/>
        <v>0</v>
      </c>
      <c r="F24" s="340">
        <f t="shared" si="22"/>
        <v>0</v>
      </c>
      <c r="L24" s="139">
        <f t="shared" si="15"/>
        <v>0</v>
      </c>
      <c r="M24" s="139">
        <f t="shared" si="23"/>
        <v>0</v>
      </c>
      <c r="N24" s="139">
        <f t="shared" si="24"/>
        <v>0</v>
      </c>
      <c r="O24" s="139">
        <f t="shared" si="25"/>
        <v>0</v>
      </c>
      <c r="P24" s="359">
        <f>D24*(1+'1. Ventas y Premisas'!$Z$5)</f>
        <v>0</v>
      </c>
      <c r="Q24" s="342">
        <f>P24*(1+'1. Ventas y Premisas'!$AA$5)</f>
        <v>0</v>
      </c>
      <c r="R24" s="342">
        <f>Q24*(1+'1. Ventas y Premisas'!$AB$5)</f>
        <v>0</v>
      </c>
      <c r="S24" s="342">
        <f>R24*(1+'1. Ventas y Premisas'!$AC$5)</f>
        <v>0</v>
      </c>
      <c r="T24" s="359">
        <f t="shared" si="28"/>
        <v>0</v>
      </c>
      <c r="U24" s="163">
        <f t="shared" si="29"/>
        <v>0</v>
      </c>
      <c r="V24" s="163">
        <f t="shared" si="26"/>
        <v>0</v>
      </c>
      <c r="W24" s="163">
        <f t="shared" si="27"/>
        <v>0</v>
      </c>
      <c r="X24" s="163"/>
    </row>
    <row r="25" spans="1:24" hidden="1">
      <c r="A25" s="335">
        <f t="shared" si="19"/>
        <v>9</v>
      </c>
      <c r="B25" s="360">
        <f t="shared" si="19"/>
        <v>0</v>
      </c>
      <c r="C25" s="358">
        <f t="shared" si="20"/>
        <v>0</v>
      </c>
      <c r="D25" s="338">
        <v>0</v>
      </c>
      <c r="E25" s="339">
        <f t="shared" si="21"/>
        <v>0</v>
      </c>
      <c r="F25" s="340">
        <f t="shared" si="22"/>
        <v>0</v>
      </c>
      <c r="L25" s="139">
        <f t="shared" si="15"/>
        <v>0</v>
      </c>
      <c r="M25" s="139">
        <f t="shared" si="23"/>
        <v>0</v>
      </c>
      <c r="N25" s="139">
        <f t="shared" si="24"/>
        <v>0</v>
      </c>
      <c r="O25" s="139">
        <f t="shared" si="25"/>
        <v>0</v>
      </c>
      <c r="P25" s="359">
        <f>D25*(1+'1. Ventas y Premisas'!$Z$5)</f>
        <v>0</v>
      </c>
      <c r="Q25" s="342">
        <f>P25*(1+'1. Ventas y Premisas'!$AA$5)</f>
        <v>0</v>
      </c>
      <c r="R25" s="342">
        <f>Q25*(1+'1. Ventas y Premisas'!$AB$5)</f>
        <v>0</v>
      </c>
      <c r="S25" s="342">
        <f>R25*(1+'1. Ventas y Premisas'!$AC$5)</f>
        <v>0</v>
      </c>
      <c r="T25" s="359">
        <f t="shared" si="28"/>
        <v>0</v>
      </c>
      <c r="U25" s="163">
        <f t="shared" si="29"/>
        <v>0</v>
      </c>
      <c r="V25" s="163">
        <f t="shared" si="26"/>
        <v>0</v>
      </c>
      <c r="W25" s="163">
        <f t="shared" si="27"/>
        <v>0</v>
      </c>
      <c r="X25" s="163"/>
    </row>
    <row r="26" spans="1:24" hidden="1">
      <c r="A26" s="335">
        <f>A12</f>
        <v>10</v>
      </c>
      <c r="B26" s="360">
        <f t="shared" ref="B26" si="30">B12</f>
        <v>0</v>
      </c>
      <c r="C26" s="358">
        <f t="shared" si="20"/>
        <v>0</v>
      </c>
      <c r="D26" s="338">
        <v>0</v>
      </c>
      <c r="E26" s="339">
        <f t="shared" si="21"/>
        <v>0</v>
      </c>
      <c r="F26" s="340">
        <f t="shared" si="22"/>
        <v>0</v>
      </c>
      <c r="L26" s="139">
        <f t="shared" si="15"/>
        <v>0</v>
      </c>
      <c r="M26" s="139">
        <f t="shared" si="23"/>
        <v>0</v>
      </c>
      <c r="N26" s="139">
        <f t="shared" si="24"/>
        <v>0</v>
      </c>
      <c r="O26" s="139">
        <f t="shared" si="25"/>
        <v>0</v>
      </c>
      <c r="P26" s="359">
        <f>D26*(1+'1. Ventas y Premisas'!$Z$5)</f>
        <v>0</v>
      </c>
      <c r="Q26" s="342">
        <f>P26*(1+'1. Ventas y Premisas'!$AA$5)</f>
        <v>0</v>
      </c>
      <c r="R26" s="342">
        <f>Q26*(1+'1. Ventas y Premisas'!$AB$5)</f>
        <v>0</v>
      </c>
      <c r="S26" s="342">
        <f>R26*(1+'1. Ventas y Premisas'!$AC$5)</f>
        <v>0</v>
      </c>
      <c r="T26" s="359">
        <f t="shared" si="28"/>
        <v>0</v>
      </c>
      <c r="U26" s="163">
        <f t="shared" si="29"/>
        <v>0</v>
      </c>
      <c r="V26" s="163">
        <f t="shared" si="26"/>
        <v>0</v>
      </c>
      <c r="W26" s="163">
        <f t="shared" si="27"/>
        <v>0</v>
      </c>
      <c r="X26" s="163"/>
    </row>
    <row r="27" spans="1:24">
      <c r="D27" s="139" t="str">
        <f>D13</f>
        <v>TOTAL</v>
      </c>
      <c r="E27" s="354">
        <f>SUM(E17:E26)</f>
        <v>120000000</v>
      </c>
      <c r="F27" s="355">
        <f>SUM(F17:F26)</f>
        <v>1</v>
      </c>
      <c r="T27" s="356">
        <f>SUM(T17:T26)</f>
        <v>122400000</v>
      </c>
      <c r="U27" s="356">
        <f>SUM(U17:U26)</f>
        <v>124848000</v>
      </c>
      <c r="V27" s="356">
        <f t="shared" ref="V27:W27" si="31">SUM(V17:V26)</f>
        <v>127344959.99999999</v>
      </c>
      <c r="W27" s="356">
        <f t="shared" si="31"/>
        <v>129891859.2</v>
      </c>
      <c r="X27" s="163"/>
    </row>
    <row r="30" spans="1:24">
      <c r="A30" s="469" t="s">
        <v>32</v>
      </c>
      <c r="B30" s="469"/>
      <c r="C30" s="469"/>
      <c r="D30" s="469"/>
      <c r="E30" s="469"/>
      <c r="F30" s="469"/>
    </row>
    <row r="31" spans="1:24">
      <c r="A31" s="168" t="s">
        <v>19</v>
      </c>
      <c r="B31" s="358">
        <f>'1. Ventas y Premisas'!Z1</f>
        <v>2025</v>
      </c>
      <c r="C31" s="358">
        <f>B31+1</f>
        <v>2026</v>
      </c>
      <c r="D31" s="358">
        <f>C31+1</f>
        <v>2027</v>
      </c>
      <c r="E31" s="358">
        <f>D31+1</f>
        <v>2028</v>
      </c>
      <c r="F31" s="162">
        <f>E31+1</f>
        <v>2029</v>
      </c>
    </row>
    <row r="32" spans="1:24">
      <c r="A32" s="139" t="s">
        <v>33</v>
      </c>
      <c r="B32" s="361">
        <f>'1. Ventas y Premisas'!E13</f>
        <v>1248000000</v>
      </c>
      <c r="C32" s="362">
        <f>'1. Ventas y Premisas'!T13</f>
        <v>1323878400</v>
      </c>
      <c r="D32" s="362">
        <f>'1. Ventas y Premisas'!U13</f>
        <v>1404370206.72</v>
      </c>
      <c r="E32" s="362">
        <f>'1. Ventas y Premisas'!V13</f>
        <v>1489755915.2885759</v>
      </c>
      <c r="F32" s="363">
        <f>'1. Ventas y Premisas'!W13</f>
        <v>1580333074.9381216</v>
      </c>
    </row>
    <row r="33" spans="1:6">
      <c r="A33" s="139" t="s">
        <v>34</v>
      </c>
      <c r="B33" s="361">
        <f>'1. Ventas y Premisas'!E27</f>
        <v>120000000</v>
      </c>
      <c r="C33" s="361">
        <f>'1. Ventas y Premisas'!T27</f>
        <v>122400000</v>
      </c>
      <c r="D33" s="361">
        <f>'1. Ventas y Premisas'!U27</f>
        <v>124848000</v>
      </c>
      <c r="E33" s="361">
        <f>'1. Ventas y Premisas'!V27</f>
        <v>127344959.99999999</v>
      </c>
      <c r="F33" s="364">
        <f>'1. Ventas y Premisas'!W27</f>
        <v>129891859.2</v>
      </c>
    </row>
    <row r="34" spans="1:6" ht="16.5" thickBot="1">
      <c r="A34" s="139" t="s">
        <v>35</v>
      </c>
      <c r="B34" s="365">
        <f>B32-B33</f>
        <v>1128000000</v>
      </c>
      <c r="C34" s="365">
        <f t="shared" ref="C34:D34" si="32">C32-C33</f>
        <v>1201478400</v>
      </c>
      <c r="D34" s="365">
        <f t="shared" si="32"/>
        <v>1279522206.72</v>
      </c>
      <c r="E34" s="365">
        <f t="shared" ref="E34" si="33">E32-E33</f>
        <v>1362410955.2885759</v>
      </c>
      <c r="F34" s="366">
        <f t="shared" ref="F34" si="34">F32-F33</f>
        <v>1450441215.7381215</v>
      </c>
    </row>
    <row r="35" spans="1:6" ht="16.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74" priority="1" operator="lessThan">
      <formula>0</formula>
    </cfRule>
  </conditionalFormatting>
  <pageMargins left="0.7" right="0.7" top="0.75" bottom="0.75" header="0.3" footer="0.3"/>
  <pageSetup orientation="portrait" r:id="rId1"/>
  <headerFooter>
    <oddHeader>&amp;C&amp;"Arial"&amp;8&amp;K000000INTERNAL&amp;1#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0" zoomScaleNormal="80" workbookViewId="0">
      <selection activeCell="C5" sqref="C5"/>
    </sheetView>
  </sheetViews>
  <sheetFormatPr baseColWidth="10" defaultColWidth="11.42578125" defaultRowHeight="15.75"/>
  <cols>
    <col min="1" max="1" width="5.42578125" style="139" customWidth="1"/>
    <col min="2" max="2" width="37.5703125" style="139" customWidth="1"/>
    <col min="3" max="3" width="20.28515625" style="139" customWidth="1"/>
    <col min="4" max="4" width="11.42578125" style="139"/>
    <col min="5" max="5" width="25.28515625" style="139" customWidth="1"/>
    <col min="6" max="6" width="18.7109375" style="139" bestFit="1" customWidth="1"/>
    <col min="7" max="7" width="17.7109375" style="139" bestFit="1" customWidth="1"/>
    <col min="8" max="16384" width="11.42578125" style="139"/>
  </cols>
  <sheetData>
    <row r="1" spans="2:8">
      <c r="B1" s="472" t="s">
        <v>36</v>
      </c>
      <c r="C1" s="472"/>
      <c r="D1" s="472"/>
      <c r="E1" s="472"/>
      <c r="F1" s="472"/>
      <c r="G1" s="472"/>
      <c r="H1" s="472"/>
    </row>
    <row r="2" spans="2:8" ht="3.75" customHeight="1">
      <c r="B2" s="472"/>
      <c r="C2" s="472"/>
      <c r="D2" s="472"/>
      <c r="E2" s="472"/>
      <c r="F2" s="472"/>
      <c r="G2" s="472"/>
      <c r="H2" s="472"/>
    </row>
    <row r="3" spans="2:8">
      <c r="C3" s="335" t="s">
        <v>37</v>
      </c>
      <c r="F3" s="149" t="s">
        <v>38</v>
      </c>
      <c r="G3" s="149"/>
    </row>
    <row r="4" spans="2:8">
      <c r="B4" s="139" t="s">
        <v>39</v>
      </c>
      <c r="C4" s="338"/>
      <c r="F4" s="149"/>
      <c r="G4" s="149"/>
    </row>
    <row r="5" spans="2:8">
      <c r="B5" s="139" t="s">
        <v>40</v>
      </c>
      <c r="C5" s="338">
        <f>+'Proyecciones VF'!F11+'Proyecciones VF'!F12+'Proyecciones VF'!F13</f>
        <v>128000000</v>
      </c>
      <c r="F5" s="149">
        <v>10</v>
      </c>
      <c r="G5" s="160">
        <f t="shared" ref="G5:G11" si="0">C5/F5</f>
        <v>12800000</v>
      </c>
    </row>
    <row r="6" spans="2:8">
      <c r="B6" s="139" t="s">
        <v>41</v>
      </c>
      <c r="C6" s="338">
        <f>+'Proyecciones VF'!F15+'Proyecciones VF'!F16</f>
        <v>45000000</v>
      </c>
      <c r="F6" s="149">
        <v>5</v>
      </c>
      <c r="G6" s="160">
        <f t="shared" si="0"/>
        <v>9000000</v>
      </c>
    </row>
    <row r="7" spans="2:8">
      <c r="B7" s="139" t="s">
        <v>42</v>
      </c>
      <c r="C7" s="338">
        <v>0</v>
      </c>
      <c r="F7" s="149">
        <v>5</v>
      </c>
      <c r="G7" s="160">
        <f t="shared" si="0"/>
        <v>0</v>
      </c>
    </row>
    <row r="8" spans="2:8">
      <c r="B8" s="139" t="s">
        <v>43</v>
      </c>
      <c r="C8" s="338"/>
      <c r="F8" s="149">
        <v>5</v>
      </c>
      <c r="G8" s="160">
        <f t="shared" si="0"/>
        <v>0</v>
      </c>
    </row>
    <row r="9" spans="2:8">
      <c r="B9" s="139" t="s">
        <v>44</v>
      </c>
      <c r="C9" s="369">
        <v>0</v>
      </c>
      <c r="F9" s="149">
        <v>5</v>
      </c>
      <c r="G9" s="160">
        <f t="shared" si="0"/>
        <v>0</v>
      </c>
    </row>
    <row r="10" spans="2:8">
      <c r="B10" s="139" t="s">
        <v>45</v>
      </c>
      <c r="C10" s="369">
        <v>0</v>
      </c>
      <c r="F10" s="149">
        <v>5</v>
      </c>
      <c r="G10" s="160">
        <f t="shared" si="0"/>
        <v>0</v>
      </c>
    </row>
    <row r="11" spans="2:8">
      <c r="B11" s="139" t="s">
        <v>46</v>
      </c>
      <c r="C11" s="338">
        <f>+'Proyecciones VF'!F22</f>
        <v>45000000</v>
      </c>
      <c r="F11" s="149">
        <v>5</v>
      </c>
      <c r="G11" s="160">
        <f t="shared" si="0"/>
        <v>9000000</v>
      </c>
    </row>
    <row r="12" spans="2:8" ht="16.5" thickBot="1">
      <c r="B12" s="168" t="s">
        <v>47</v>
      </c>
      <c r="C12" s="367">
        <f>SUM(C4:C11)</f>
        <v>218000000</v>
      </c>
      <c r="F12" s="149"/>
      <c r="G12" s="160">
        <f>SUM(G5:G11)</f>
        <v>30800000</v>
      </c>
    </row>
    <row r="13" spans="2:8">
      <c r="B13" s="473" t="s">
        <v>48</v>
      </c>
      <c r="C13" s="474"/>
      <c r="D13" s="474"/>
      <c r="E13" s="474"/>
      <c r="F13" s="474"/>
      <c r="G13" s="474"/>
      <c r="H13" s="475"/>
    </row>
    <row r="14" spans="2:8" ht="16.5" thickBot="1">
      <c r="B14" s="476"/>
      <c r="C14" s="477"/>
      <c r="D14" s="477"/>
      <c r="E14" s="477"/>
      <c r="F14" s="477"/>
      <c r="G14" s="477"/>
      <c r="H14" s="478"/>
    </row>
    <row r="15" spans="2:8">
      <c r="B15" s="368"/>
      <c r="C15" s="368"/>
      <c r="D15" s="368"/>
      <c r="E15" s="368"/>
      <c r="F15" s="368"/>
      <c r="G15" s="368"/>
      <c r="H15" s="368"/>
    </row>
    <row r="16" spans="2:8">
      <c r="B16" s="168" t="s">
        <v>49</v>
      </c>
      <c r="E16" s="168" t="s">
        <v>50</v>
      </c>
    </row>
    <row r="17" spans="2:6">
      <c r="C17" s="168" t="s">
        <v>51</v>
      </c>
      <c r="F17" s="168" t="str">
        <f>C17</f>
        <v>VALOR AÑO 1</v>
      </c>
    </row>
    <row r="18" spans="2:6">
      <c r="B18" s="168" t="s">
        <v>52</v>
      </c>
      <c r="C18" s="369">
        <v>146880000</v>
      </c>
      <c r="E18" s="209" t="s">
        <v>53</v>
      </c>
      <c r="F18" s="338">
        <v>96000000</v>
      </c>
    </row>
    <row r="19" spans="2:6" ht="31.5">
      <c r="C19" s="370"/>
      <c r="E19" s="209" t="s">
        <v>54</v>
      </c>
      <c r="F19" s="338">
        <v>12000000</v>
      </c>
    </row>
    <row r="20" spans="2:6" ht="31.5">
      <c r="B20" s="168" t="s">
        <v>55</v>
      </c>
      <c r="C20" s="369">
        <v>220320000</v>
      </c>
      <c r="E20" s="209" t="s">
        <v>56</v>
      </c>
      <c r="F20" s="338">
        <v>2400000</v>
      </c>
    </row>
    <row r="21" spans="2:6">
      <c r="C21" s="370"/>
      <c r="E21" s="209" t="s">
        <v>57</v>
      </c>
      <c r="F21" s="338">
        <v>0</v>
      </c>
    </row>
    <row r="22" spans="2:6">
      <c r="B22" s="168" t="s">
        <v>58</v>
      </c>
      <c r="C22" s="369">
        <v>183600000</v>
      </c>
      <c r="E22" s="209" t="s">
        <v>59</v>
      </c>
      <c r="F22" s="338">
        <v>1200000</v>
      </c>
    </row>
    <row r="23" spans="2:6" ht="31.5">
      <c r="B23" s="139" t="s">
        <v>60</v>
      </c>
      <c r="C23" s="356">
        <f>C18+C20+C22</f>
        <v>550800000</v>
      </c>
      <c r="E23" s="209" t="s">
        <v>61</v>
      </c>
      <c r="F23" s="338">
        <v>47736000</v>
      </c>
    </row>
    <row r="24" spans="2:6">
      <c r="E24" s="209" t="s">
        <v>62</v>
      </c>
      <c r="F24" s="338">
        <v>47736000</v>
      </c>
    </row>
    <row r="25" spans="2:6" ht="31.5" customHeight="1">
      <c r="B25" s="209" t="s">
        <v>63</v>
      </c>
      <c r="C25" s="338">
        <v>24000000</v>
      </c>
      <c r="E25" s="371" t="s">
        <v>534</v>
      </c>
      <c r="F25" s="338">
        <v>12000000</v>
      </c>
    </row>
    <row r="26" spans="2:6">
      <c r="E26" s="371" t="s">
        <v>535</v>
      </c>
      <c r="F26" s="338">
        <v>12000000</v>
      </c>
    </row>
    <row r="27" spans="2:6">
      <c r="B27" s="168" t="s">
        <v>64</v>
      </c>
      <c r="C27" s="168"/>
      <c r="E27" s="371"/>
      <c r="F27" s="369">
        <v>0</v>
      </c>
    </row>
    <row r="28" spans="2:6">
      <c r="B28" s="335">
        <f>'1. Ventas y Premisas'!G2</f>
        <v>2026</v>
      </c>
      <c r="C28" s="338">
        <f>+C25*1.1</f>
        <v>26400000.000000004</v>
      </c>
      <c r="E28" s="371"/>
      <c r="F28" s="369">
        <v>0</v>
      </c>
    </row>
    <row r="29" spans="2:6">
      <c r="B29" s="335">
        <f>'1. Ventas y Premisas'!H2</f>
        <v>2027</v>
      </c>
      <c r="C29" s="338">
        <f>+C28*1.1</f>
        <v>29040000.000000007</v>
      </c>
      <c r="E29" s="371"/>
      <c r="F29" s="369">
        <v>0</v>
      </c>
    </row>
    <row r="30" spans="2:6">
      <c r="B30" s="335">
        <f>'1. Ventas y Premisas'!I2</f>
        <v>2028</v>
      </c>
      <c r="C30" s="338">
        <f t="shared" ref="C30:C31" si="1">+C29*1.1</f>
        <v>31944000.000000011</v>
      </c>
      <c r="E30" s="371"/>
      <c r="F30" s="369">
        <v>0</v>
      </c>
    </row>
    <row r="31" spans="2:6">
      <c r="B31" s="335">
        <f>'1. Ventas y Premisas'!J2</f>
        <v>2029</v>
      </c>
      <c r="C31" s="338">
        <f t="shared" si="1"/>
        <v>35138400.000000015</v>
      </c>
      <c r="E31" s="209" t="s">
        <v>65</v>
      </c>
      <c r="F31" s="367">
        <f>SUM(F18:F30)</f>
        <v>231072000</v>
      </c>
    </row>
  </sheetData>
  <sheetProtection password="8F5C" sheet="1" objects="1" scenarios="1" formatCells="0" formatColumns="0" formatRows="0"/>
  <mergeCells count="2">
    <mergeCell ref="B1:H2"/>
    <mergeCell ref="B13:H14"/>
  </mergeCells>
  <pageMargins left="0.7" right="0.7" top="0.75" bottom="0.75" header="0.3" footer="0.3"/>
  <pageSetup orientation="portrait" r:id="rId1"/>
  <headerFooter>
    <oddHeader>&amp;C&amp;"Arial"&amp;8&amp;K000000INTERNAL&amp;1#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theme="5" tint="0.79998168889431442"/>
  </sheetPr>
  <dimension ref="B2:L16"/>
  <sheetViews>
    <sheetView showGridLines="0" zoomScale="80" zoomScaleNormal="80" workbookViewId="0">
      <selection activeCell="G22" sqref="G22"/>
    </sheetView>
  </sheetViews>
  <sheetFormatPr baseColWidth="10" defaultColWidth="11.42578125" defaultRowHeight="15.75"/>
  <cols>
    <col min="1" max="1" width="11.42578125" style="139"/>
    <col min="2" max="2" width="39" style="139" bestFit="1" customWidth="1"/>
    <col min="3" max="3" width="15.85546875" style="139" customWidth="1"/>
    <col min="4" max="4" width="18.5703125" style="139" bestFit="1" customWidth="1"/>
    <col min="5" max="5" width="10" style="139" customWidth="1"/>
    <col min="6" max="6" width="19.140625" style="139" customWidth="1"/>
    <col min="7" max="7" width="17.28515625" style="139" customWidth="1"/>
    <col min="8" max="8" width="17.5703125" style="139" customWidth="1"/>
    <col min="9" max="9" width="17.85546875" style="139" customWidth="1"/>
    <col min="10" max="10" width="19.28515625" style="139" customWidth="1"/>
    <col min="11" max="16384" width="11.42578125" style="139"/>
  </cols>
  <sheetData>
    <row r="2" spans="2:12" ht="29.25" customHeight="1">
      <c r="B2" s="470" t="s">
        <v>66</v>
      </c>
      <c r="C2" s="470"/>
      <c r="D2" s="470"/>
      <c r="E2" s="470"/>
      <c r="F2" s="470"/>
      <c r="G2" s="470"/>
      <c r="H2" s="470"/>
      <c r="I2" s="470"/>
      <c r="J2" s="470"/>
    </row>
    <row r="3" spans="2:12">
      <c r="F3" s="469" t="s">
        <v>67</v>
      </c>
      <c r="G3" s="469"/>
    </row>
    <row r="4" spans="2:12">
      <c r="B4" s="139" t="s">
        <v>47</v>
      </c>
      <c r="C4" s="367">
        <f>'2. Inversión y Gastos'!C12</f>
        <v>218000000</v>
      </c>
      <c r="F4" s="479">
        <v>0.25340000000000001</v>
      </c>
      <c r="G4" s="479"/>
      <c r="I4" s="139" t="s">
        <v>68</v>
      </c>
      <c r="J4" s="374">
        <v>3</v>
      </c>
      <c r="L4" s="149">
        <v>1</v>
      </c>
    </row>
    <row r="5" spans="2:12">
      <c r="L5" s="149">
        <v>2</v>
      </c>
    </row>
    <row r="6" spans="2:12" ht="16.5" thickBot="1">
      <c r="B6" s="139" t="s">
        <v>69</v>
      </c>
      <c r="F6" s="469" t="s">
        <v>70</v>
      </c>
      <c r="G6" s="469"/>
      <c r="H6" s="469"/>
      <c r="I6" s="469"/>
      <c r="J6" s="469"/>
      <c r="L6" s="149">
        <v>3</v>
      </c>
    </row>
    <row r="7" spans="2:12">
      <c r="C7" s="358" t="s">
        <v>71</v>
      </c>
      <c r="D7" s="358" t="s">
        <v>72</v>
      </c>
      <c r="E7" s="375"/>
      <c r="F7" s="376" t="s">
        <v>73</v>
      </c>
      <c r="G7" s="376" t="s">
        <v>74</v>
      </c>
      <c r="H7" s="376" t="s">
        <v>75</v>
      </c>
      <c r="I7" s="376" t="s">
        <v>76</v>
      </c>
      <c r="J7" s="377" t="s">
        <v>77</v>
      </c>
      <c r="L7" s="149">
        <v>4</v>
      </c>
    </row>
    <row r="8" spans="2:12">
      <c r="B8" s="139" t="s">
        <v>78</v>
      </c>
      <c r="C8" s="378">
        <v>6</v>
      </c>
      <c r="D8" s="339">
        <f>('1. Ventas y Premisas'!B33/12)*C8</f>
        <v>60000000</v>
      </c>
      <c r="E8" s="379" t="s">
        <v>79</v>
      </c>
      <c r="F8" s="380"/>
      <c r="G8" s="380"/>
      <c r="H8" s="380"/>
      <c r="I8" s="380"/>
      <c r="J8" s="381">
        <f>D16</f>
        <v>480936000</v>
      </c>
      <c r="L8" s="149">
        <v>5</v>
      </c>
    </row>
    <row r="9" spans="2:12">
      <c r="B9" s="139" t="s">
        <v>80</v>
      </c>
      <c r="C9" s="378">
        <v>6</v>
      </c>
      <c r="D9" s="339">
        <f>('2. Inversión y Gastos'!C23/12)*C9</f>
        <v>275400000</v>
      </c>
      <c r="E9" s="379">
        <f>'1. Ventas y Premisas'!B31</f>
        <v>2025</v>
      </c>
      <c r="F9" s="382">
        <f t="shared" ref="F9:F13" si="0">IF(J8&gt;0,J8,0)</f>
        <v>480936000</v>
      </c>
      <c r="G9" s="382">
        <f>F9*$F$4</f>
        <v>121869182.40000001</v>
      </c>
      <c r="H9" s="382">
        <f>IF(J8&lt;1,0,(I9-G9))</f>
        <v>125754248.06005973</v>
      </c>
      <c r="I9" s="382">
        <f>PMT(F4,J4,J8)*-1</f>
        <v>247623430.46005973</v>
      </c>
      <c r="J9" s="383">
        <f>F9-H9</f>
        <v>355181751.93994027</v>
      </c>
    </row>
    <row r="10" spans="2:12">
      <c r="B10" s="139" t="s">
        <v>81</v>
      </c>
      <c r="C10" s="378">
        <v>6</v>
      </c>
      <c r="D10" s="339">
        <f>('2. Inversión y Gastos'!C25/12)*C10</f>
        <v>12000000</v>
      </c>
      <c r="E10" s="379">
        <f>'1. Ventas y Premisas'!C31</f>
        <v>2026</v>
      </c>
      <c r="F10" s="382">
        <f t="shared" si="0"/>
        <v>355181751.93994027</v>
      </c>
      <c r="G10" s="382">
        <f t="shared" ref="G10:G13" si="1">F10*$F$4</f>
        <v>90003055.941580877</v>
      </c>
      <c r="H10" s="382">
        <f t="shared" ref="H10:H13" si="2">IF(J9&lt;1,0,(I10-G10))</f>
        <v>157620374.51847887</v>
      </c>
      <c r="I10" s="382">
        <f>IF(J9&lt;1,0,(I9*(1+$K$7)))</f>
        <v>247623430.46005973</v>
      </c>
      <c r="J10" s="383">
        <f t="shared" ref="J10:J13" si="3">F10-H10</f>
        <v>197561377.4214614</v>
      </c>
    </row>
    <row r="11" spans="2:12">
      <c r="B11" s="139" t="s">
        <v>82</v>
      </c>
      <c r="C11" s="378">
        <v>6</v>
      </c>
      <c r="D11" s="339">
        <f>('2. Inversión y Gastos'!F31/12)*C11</f>
        <v>115536000</v>
      </c>
      <c r="E11" s="379">
        <f>'1. Ventas y Premisas'!D31</f>
        <v>2027</v>
      </c>
      <c r="F11" s="382">
        <f t="shared" si="0"/>
        <v>197561377.4214614</v>
      </c>
      <c r="G11" s="382">
        <f t="shared" si="1"/>
        <v>50062053.038598321</v>
      </c>
      <c r="H11" s="382">
        <f t="shared" si="2"/>
        <v>197561377.4214614</v>
      </c>
      <c r="I11" s="382">
        <f t="shared" ref="I11:I13" si="4">IF(J10&lt;1,0,(I10*(1+$K$7)))</f>
        <v>247623430.46005973</v>
      </c>
      <c r="J11" s="383">
        <f t="shared" si="3"/>
        <v>0</v>
      </c>
    </row>
    <row r="12" spans="2:12">
      <c r="B12" s="372" t="s">
        <v>28</v>
      </c>
      <c r="C12" s="372"/>
      <c r="D12" s="354">
        <f>SUM(D8:D11)</f>
        <v>462936000</v>
      </c>
      <c r="E12" s="379">
        <f>'1. Ventas y Premisas'!E31</f>
        <v>2028</v>
      </c>
      <c r="F12" s="382">
        <f t="shared" si="0"/>
        <v>0</v>
      </c>
      <c r="G12" s="382">
        <f t="shared" si="1"/>
        <v>0</v>
      </c>
      <c r="H12" s="382">
        <f t="shared" si="2"/>
        <v>0</v>
      </c>
      <c r="I12" s="382">
        <f t="shared" si="4"/>
        <v>0</v>
      </c>
      <c r="J12" s="383">
        <f t="shared" si="3"/>
        <v>0</v>
      </c>
    </row>
    <row r="13" spans="2:12" ht="16.5" thickBot="1">
      <c r="E13" s="384">
        <f>'1. Ventas y Premisas'!F31</f>
        <v>2029</v>
      </c>
      <c r="F13" s="385">
        <f t="shared" si="0"/>
        <v>0</v>
      </c>
      <c r="G13" s="385">
        <f t="shared" si="1"/>
        <v>0</v>
      </c>
      <c r="H13" s="385">
        <f t="shared" si="2"/>
        <v>0</v>
      </c>
      <c r="I13" s="385">
        <f t="shared" si="4"/>
        <v>0</v>
      </c>
      <c r="J13" s="386">
        <f t="shared" si="3"/>
        <v>0</v>
      </c>
    </row>
    <row r="14" spans="2:12">
      <c r="B14" s="139" t="s">
        <v>83</v>
      </c>
      <c r="D14" s="367">
        <f>C4+D12</f>
        <v>680936000</v>
      </c>
    </row>
    <row r="15" spans="2:12">
      <c r="B15" s="139" t="s">
        <v>84</v>
      </c>
      <c r="D15" s="387">
        <v>200000000</v>
      </c>
    </row>
    <row r="16" spans="2:12">
      <c r="B16" s="139" t="s">
        <v>85</v>
      </c>
      <c r="D16" s="373">
        <f>D14-D15</f>
        <v>480936000</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headerFooter>
    <oddHeader>&amp;C&amp;"Arial"&amp;8&amp;K000000INTERNAL&amp;1#</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60"/>
  <sheetViews>
    <sheetView showGridLines="0" zoomScale="80" zoomScaleNormal="80" workbookViewId="0">
      <pane xSplit="7" ySplit="1" topLeftCell="M2" activePane="bottomRight" state="frozenSplit"/>
      <selection pane="topRight" activeCell="E1" sqref="E1"/>
      <selection pane="bottomLeft" activeCell="A12" sqref="A12"/>
      <selection pane="bottomRight" activeCell="G18" sqref="G18"/>
    </sheetView>
  </sheetViews>
  <sheetFormatPr baseColWidth="10" defaultColWidth="11.42578125" defaultRowHeight="15.75"/>
  <cols>
    <col min="1" max="1" width="26.7109375" style="139" customWidth="1"/>
    <col min="2" max="2" width="26" style="139" bestFit="1" customWidth="1"/>
    <col min="3" max="4" width="23.7109375" style="139" bestFit="1" customWidth="1"/>
    <col min="5" max="7" width="20.7109375" style="139" customWidth="1"/>
    <col min="8" max="16384" width="11.42578125" style="139"/>
  </cols>
  <sheetData>
    <row r="1" spans="1:7" ht="34.5" customHeight="1">
      <c r="A1" s="470" t="s">
        <v>86</v>
      </c>
      <c r="B1" s="470"/>
      <c r="C1" s="470"/>
      <c r="D1" s="470"/>
      <c r="E1" s="470"/>
      <c r="F1" s="470"/>
      <c r="G1" s="470"/>
    </row>
    <row r="2" spans="1:7">
      <c r="A2" s="480" t="s">
        <v>87</v>
      </c>
      <c r="B2" s="480"/>
      <c r="C2" s="480"/>
      <c r="D2" s="480"/>
      <c r="E2" s="480"/>
      <c r="F2" s="480"/>
      <c r="G2" s="480"/>
    </row>
    <row r="3" spans="1:7" ht="8.25" customHeight="1">
      <c r="A3" s="208"/>
      <c r="B3" s="208"/>
      <c r="C3" s="208"/>
      <c r="D3" s="208"/>
      <c r="E3" s="208"/>
      <c r="F3" s="208"/>
      <c r="G3" s="208"/>
    </row>
    <row r="4" spans="1:7">
      <c r="A4" s="481" t="s">
        <v>88</v>
      </c>
      <c r="B4" s="481"/>
      <c r="C4" s="481"/>
      <c r="D4" s="481"/>
      <c r="E4" s="481"/>
      <c r="F4" s="481"/>
      <c r="G4" s="481"/>
    </row>
    <row r="5" spans="1:7">
      <c r="C5" s="208">
        <f>'1. Ventas y Premisas'!B31</f>
        <v>2025</v>
      </c>
      <c r="D5" s="208">
        <f>'1. Ventas y Premisas'!C31</f>
        <v>2026</v>
      </c>
      <c r="E5" s="208">
        <f>'1. Ventas y Premisas'!D31</f>
        <v>2027</v>
      </c>
      <c r="F5" s="208">
        <f>'1. Ventas y Premisas'!E31</f>
        <v>2028</v>
      </c>
      <c r="G5" s="208">
        <f>'1. Ventas y Premisas'!F31</f>
        <v>2029</v>
      </c>
    </row>
    <row r="6" spans="1:7">
      <c r="B6" s="139" t="s">
        <v>89</v>
      </c>
      <c r="C6" s="339">
        <f>'1. Ventas y Premisas'!B32</f>
        <v>1248000000</v>
      </c>
      <c r="D6" s="339">
        <f>'1. Ventas y Premisas'!C32</f>
        <v>1323878400</v>
      </c>
      <c r="E6" s="339">
        <f>'1. Ventas y Premisas'!D32</f>
        <v>1404370206.72</v>
      </c>
      <c r="F6" s="339">
        <f>'1. Ventas y Premisas'!E32</f>
        <v>1489755915.2885759</v>
      </c>
      <c r="G6" s="339">
        <f>'1. Ventas y Premisas'!F32</f>
        <v>1580333074.9381216</v>
      </c>
    </row>
    <row r="7" spans="1:7">
      <c r="B7" s="139" t="s">
        <v>90</v>
      </c>
      <c r="C7" s="339">
        <f>'1. Ventas y Premisas'!B33</f>
        <v>120000000</v>
      </c>
      <c r="D7" s="339">
        <f>'1. Ventas y Premisas'!C33</f>
        <v>122400000</v>
      </c>
      <c r="E7" s="339">
        <f>'1. Ventas y Premisas'!D33</f>
        <v>124848000</v>
      </c>
      <c r="F7" s="339">
        <f>'1. Ventas y Premisas'!E33</f>
        <v>127344959.99999999</v>
      </c>
      <c r="G7" s="339">
        <f>'1. Ventas y Premisas'!F33</f>
        <v>129891859.2</v>
      </c>
    </row>
    <row r="8" spans="1:7" ht="16.5" thickBot="1">
      <c r="B8" s="389" t="s">
        <v>91</v>
      </c>
      <c r="C8" s="390">
        <f>C6-C7</f>
        <v>1128000000</v>
      </c>
      <c r="D8" s="390">
        <f t="shared" ref="D8:G8" si="0">D6-D7</f>
        <v>1201478400</v>
      </c>
      <c r="E8" s="390">
        <f t="shared" si="0"/>
        <v>1279522206.72</v>
      </c>
      <c r="F8" s="390">
        <f t="shared" si="0"/>
        <v>1362410955.2885759</v>
      </c>
      <c r="G8" s="390">
        <f t="shared" si="0"/>
        <v>1450441215.7381215</v>
      </c>
    </row>
    <row r="9" spans="1:7" ht="16.5" thickTop="1">
      <c r="B9" s="139" t="s">
        <v>92</v>
      </c>
      <c r="C9" s="339">
        <f>'2. Inversión y Gastos'!C23</f>
        <v>550800000</v>
      </c>
      <c r="D9" s="339">
        <f>C9*(1+'1. Ventas y Premisas'!Z4)</f>
        <v>572832000</v>
      </c>
      <c r="E9" s="339">
        <f>D9*(1+'1. Ventas y Premisas'!AA4)</f>
        <v>595745280</v>
      </c>
      <c r="F9" s="339">
        <f>E9*(1+'1. Ventas y Premisas'!AB4)</f>
        <v>619575091.20000005</v>
      </c>
      <c r="G9" s="339">
        <f>F9*(1+'1. Ventas y Premisas'!AC4)</f>
        <v>644358094.84800005</v>
      </c>
    </row>
    <row r="10" spans="1:7">
      <c r="B10" s="139" t="s">
        <v>93</v>
      </c>
      <c r="C10" s="339">
        <f>'2. Inversión y Gastos'!F31</f>
        <v>231072000</v>
      </c>
      <c r="D10" s="339">
        <f>C10*(1+'1. Ventas y Premisas'!Z4)</f>
        <v>240314880</v>
      </c>
      <c r="E10" s="339">
        <f>D10*(1+'1. Ventas y Premisas'!AA4)</f>
        <v>249927475.20000002</v>
      </c>
      <c r="F10" s="339">
        <f>E10*(1+'1. Ventas y Premisas'!AB4)</f>
        <v>259924574.20800003</v>
      </c>
      <c r="G10" s="339">
        <f>F10*(1+'1. Ventas y Premisas'!AC4)</f>
        <v>270321557.17632002</v>
      </c>
    </row>
    <row r="11" spans="1:7">
      <c r="B11" s="139" t="s">
        <v>94</v>
      </c>
      <c r="C11" s="339">
        <f>'2. Inversión y Gastos'!C25</f>
        <v>24000000</v>
      </c>
      <c r="D11" s="339">
        <f>'2. Inversión y Gastos'!C28</f>
        <v>26400000.000000004</v>
      </c>
      <c r="E11" s="339">
        <f>'2. Inversión y Gastos'!C29</f>
        <v>29040000.000000007</v>
      </c>
      <c r="F11" s="339">
        <f>'2. Inversión y Gastos'!C30</f>
        <v>31944000.000000011</v>
      </c>
      <c r="G11" s="339">
        <f>'2. Inversión y Gastos'!C31</f>
        <v>35138400.000000015</v>
      </c>
    </row>
    <row r="12" spans="1:7">
      <c r="B12" s="139" t="s">
        <v>95</v>
      </c>
      <c r="C12" s="339">
        <f>'2. Inversión y Gastos'!G12</f>
        <v>30800000</v>
      </c>
      <c r="D12" s="339">
        <f>C12</f>
        <v>30800000</v>
      </c>
      <c r="E12" s="339">
        <f t="shared" ref="E12:G12" si="1">D12</f>
        <v>30800000</v>
      </c>
      <c r="F12" s="339">
        <f t="shared" si="1"/>
        <v>30800000</v>
      </c>
      <c r="G12" s="339">
        <f t="shared" si="1"/>
        <v>30800000</v>
      </c>
    </row>
    <row r="13" spans="1:7" ht="16.5" thickBot="1">
      <c r="B13" s="389" t="s">
        <v>96</v>
      </c>
      <c r="C13" s="390">
        <f>C8-C9-C10-C11-C12</f>
        <v>291328000</v>
      </c>
      <c r="D13" s="390">
        <f t="shared" ref="D13:G13" si="2">D8-D9-D10-D11-D12</f>
        <v>331131520</v>
      </c>
      <c r="E13" s="390">
        <f t="shared" si="2"/>
        <v>374009451.51999998</v>
      </c>
      <c r="F13" s="390">
        <f t="shared" si="2"/>
        <v>420167289.88057578</v>
      </c>
      <c r="G13" s="390">
        <f t="shared" si="2"/>
        <v>469823163.71380144</v>
      </c>
    </row>
    <row r="14" spans="1:7" ht="16.5" thickTop="1">
      <c r="B14" s="139" t="s">
        <v>97</v>
      </c>
      <c r="C14" s="339">
        <f>'3 Financiación'!G9</f>
        <v>121869182.40000001</v>
      </c>
      <c r="D14" s="339">
        <f>'3 Financiación'!G10</f>
        <v>90003055.941580877</v>
      </c>
      <c r="E14" s="339">
        <f>'3 Financiación'!G11</f>
        <v>50062053.038598321</v>
      </c>
      <c r="F14" s="339">
        <f>'3 Financiación'!G12</f>
        <v>0</v>
      </c>
      <c r="G14" s="339">
        <f>'3 Financiación'!G13</f>
        <v>0</v>
      </c>
    </row>
    <row r="15" spans="1:7" ht="16.5" thickBot="1">
      <c r="B15" s="389" t="s">
        <v>98</v>
      </c>
      <c r="C15" s="390">
        <f>C13-C14</f>
        <v>169458817.59999999</v>
      </c>
      <c r="D15" s="390">
        <f t="shared" ref="D15:G15" si="3">D13-D14</f>
        <v>241128464.05841911</v>
      </c>
      <c r="E15" s="390">
        <f t="shared" si="3"/>
        <v>323947398.48140168</v>
      </c>
      <c r="F15" s="390">
        <f t="shared" si="3"/>
        <v>420167289.88057578</v>
      </c>
      <c r="G15" s="390">
        <f t="shared" si="3"/>
        <v>469823163.71380144</v>
      </c>
    </row>
    <row r="16" spans="1:7" ht="16.5" thickTop="1">
      <c r="B16" s="139" t="s">
        <v>99</v>
      </c>
      <c r="C16" s="157">
        <f>IF(C15*'1. Ventas y Premisas'!$AB$7&lt;0,0,C15*'1. Ventas y Premisas'!$AB$7)</f>
        <v>59310586.159999996</v>
      </c>
      <c r="D16" s="157">
        <f>IF(D15*'1. Ventas y Premisas'!$AB$7&lt;0,0,D15*'1. Ventas y Premisas'!$AB$7)</f>
        <v>84394962.420446679</v>
      </c>
      <c r="E16" s="157">
        <f>IF(E15*'1. Ventas y Premisas'!$AB$7&lt;0,0,E15*'1. Ventas y Premisas'!$AB$7)</f>
        <v>113381589.46849059</v>
      </c>
      <c r="F16" s="157">
        <f>IF(F15*'1. Ventas y Premisas'!$AB$7&lt;0,0,F15*'1. Ventas y Premisas'!$AB$7)</f>
        <v>147058551.4582015</v>
      </c>
      <c r="G16" s="157">
        <f>IF(G15*'1. Ventas y Premisas'!$AB$7&lt;0,0,G15*'1. Ventas y Premisas'!$AB$7)</f>
        <v>164438107.2998305</v>
      </c>
    </row>
    <row r="17" spans="1:8" ht="16.5" thickBot="1">
      <c r="B17" s="391" t="s">
        <v>100</v>
      </c>
      <c r="C17" s="392">
        <f>C15-C16</f>
        <v>110148231.44</v>
      </c>
      <c r="D17" s="392">
        <f t="shared" ref="D17:G17" si="4">D15-D16</f>
        <v>156733501.63797241</v>
      </c>
      <c r="E17" s="392">
        <f t="shared" si="4"/>
        <v>210565809.01291108</v>
      </c>
      <c r="F17" s="392">
        <f t="shared" si="4"/>
        <v>273108738.42237425</v>
      </c>
      <c r="G17" s="392">
        <f t="shared" si="4"/>
        <v>305385056.41397095</v>
      </c>
    </row>
    <row r="19" spans="1:8">
      <c r="A19" s="482" t="s">
        <v>101</v>
      </c>
      <c r="B19" s="482"/>
      <c r="C19" s="482"/>
      <c r="D19" s="482"/>
      <c r="E19" s="482"/>
      <c r="F19" s="482"/>
      <c r="G19" s="482"/>
    </row>
    <row r="20" spans="1:8">
      <c r="B20" s="388" t="s">
        <v>79</v>
      </c>
      <c r="C20" s="388">
        <f>C5</f>
        <v>2025</v>
      </c>
      <c r="D20" s="388">
        <f>D5</f>
        <v>2026</v>
      </c>
      <c r="E20" s="388">
        <f>E5</f>
        <v>2027</v>
      </c>
      <c r="F20" s="388">
        <f>F5</f>
        <v>2028</v>
      </c>
      <c r="G20" s="388">
        <f>G5</f>
        <v>2029</v>
      </c>
    </row>
    <row r="21" spans="1:8">
      <c r="A21" s="483" t="s">
        <v>102</v>
      </c>
      <c r="B21" s="483"/>
      <c r="C21" s="483"/>
      <c r="D21" s="483"/>
      <c r="E21" s="483"/>
      <c r="F21" s="483"/>
      <c r="G21" s="483"/>
    </row>
    <row r="22" spans="1:8">
      <c r="A22" s="157" t="s">
        <v>103</v>
      </c>
      <c r="B22" s="157">
        <f>B38-B26</f>
        <v>462936000</v>
      </c>
      <c r="C22" s="157">
        <f t="shared" ref="C22:G22" si="5">C38-C26</f>
        <v>537440569.53994036</v>
      </c>
      <c r="D22" s="157">
        <f t="shared" si="5"/>
        <v>482289841.47988057</v>
      </c>
      <c r="E22" s="157">
        <f t="shared" si="5"/>
        <v>398347398.48140168</v>
      </c>
      <c r="F22" s="157">
        <f t="shared" si="5"/>
        <v>525367289.88057578</v>
      </c>
      <c r="G22" s="157">
        <f t="shared" si="5"/>
        <v>605823163.71380138</v>
      </c>
    </row>
    <row r="23" spans="1:8">
      <c r="A23" s="157" t="s">
        <v>104</v>
      </c>
      <c r="B23" s="157">
        <f>'2. Inversión y Gastos'!C4</f>
        <v>0</v>
      </c>
      <c r="C23" s="157">
        <f>B23</f>
        <v>0</v>
      </c>
      <c r="D23" s="157">
        <f t="shared" ref="D23:G23" si="6">C23</f>
        <v>0</v>
      </c>
      <c r="E23" s="157">
        <f t="shared" si="6"/>
        <v>0</v>
      </c>
      <c r="F23" s="157">
        <f t="shared" si="6"/>
        <v>0</v>
      </c>
      <c r="G23" s="157">
        <f t="shared" si="6"/>
        <v>0</v>
      </c>
      <c r="H23" s="163"/>
    </row>
    <row r="24" spans="1:8">
      <c r="A24" s="157" t="s">
        <v>105</v>
      </c>
      <c r="B24" s="157">
        <f>'2. Inversión y Gastos'!C12-'2. Inversión y Gastos'!C4</f>
        <v>218000000</v>
      </c>
      <c r="C24" s="157">
        <f>B24</f>
        <v>218000000</v>
      </c>
      <c r="D24" s="157">
        <f t="shared" ref="D24:G24" si="7">C24</f>
        <v>218000000</v>
      </c>
      <c r="E24" s="157">
        <f t="shared" si="7"/>
        <v>218000000</v>
      </c>
      <c r="F24" s="157">
        <f t="shared" si="7"/>
        <v>218000000</v>
      </c>
      <c r="G24" s="157">
        <f t="shared" si="7"/>
        <v>218000000</v>
      </c>
      <c r="H24" s="163"/>
    </row>
    <row r="25" spans="1:8">
      <c r="A25" s="157" t="s">
        <v>106</v>
      </c>
      <c r="B25" s="157">
        <v>0</v>
      </c>
      <c r="C25" s="157">
        <f>C12</f>
        <v>30800000</v>
      </c>
      <c r="D25" s="157">
        <f>D12+C12</f>
        <v>61600000</v>
      </c>
      <c r="E25" s="157">
        <f>E12+D12+C12</f>
        <v>92400000</v>
      </c>
      <c r="F25" s="157">
        <f>F12+E12+D12+C12</f>
        <v>123200000</v>
      </c>
      <c r="G25" s="157">
        <f>F25+G12</f>
        <v>154000000</v>
      </c>
      <c r="H25" s="163"/>
    </row>
    <row r="26" spans="1:8">
      <c r="A26" s="157" t="s">
        <v>107</v>
      </c>
      <c r="B26" s="157">
        <f>B23+(B24-B25)</f>
        <v>218000000</v>
      </c>
      <c r="C26" s="157">
        <f>C23+(C24-C25)</f>
        <v>187200000</v>
      </c>
      <c r="D26" s="157">
        <f t="shared" ref="D26:G26" si="8">D23+(D24-D25)</f>
        <v>156400000</v>
      </c>
      <c r="E26" s="157">
        <f t="shared" si="8"/>
        <v>125600000</v>
      </c>
      <c r="F26" s="157">
        <f t="shared" si="8"/>
        <v>94800000</v>
      </c>
      <c r="G26" s="157">
        <f t="shared" si="8"/>
        <v>64000000</v>
      </c>
      <c r="H26" s="163"/>
    </row>
    <row r="27" spans="1:8" ht="16.5" thickBot="1">
      <c r="A27" s="393" t="s">
        <v>108</v>
      </c>
      <c r="B27" s="393">
        <f>B22+B26</f>
        <v>680936000</v>
      </c>
      <c r="C27" s="393">
        <f t="shared" ref="C27:G27" si="9">C22+C26</f>
        <v>724640569.53994036</v>
      </c>
      <c r="D27" s="393">
        <f t="shared" si="9"/>
        <v>638689841.47988057</v>
      </c>
      <c r="E27" s="393">
        <f t="shared" si="9"/>
        <v>523947398.48140168</v>
      </c>
      <c r="F27" s="393">
        <f t="shared" si="9"/>
        <v>620167289.88057578</v>
      </c>
      <c r="G27" s="393">
        <f t="shared" si="9"/>
        <v>669823163.71380138</v>
      </c>
      <c r="H27" s="163"/>
    </row>
    <row r="28" spans="1:8" ht="16.5" thickTop="1">
      <c r="A28" s="484" t="s">
        <v>109</v>
      </c>
      <c r="B28" s="484"/>
      <c r="C28" s="484"/>
      <c r="D28" s="484"/>
      <c r="E28" s="484"/>
      <c r="F28" s="484"/>
      <c r="G28" s="484"/>
    </row>
    <row r="29" spans="1:8">
      <c r="A29" s="157" t="s">
        <v>110</v>
      </c>
      <c r="B29" s="157">
        <v>0</v>
      </c>
      <c r="C29" s="157">
        <f>C16</f>
        <v>59310586.159999996</v>
      </c>
      <c r="D29" s="157">
        <f>D16</f>
        <v>84394962.420446679</v>
      </c>
      <c r="E29" s="157">
        <f>E16</f>
        <v>113381589.46849059</v>
      </c>
      <c r="F29" s="157">
        <f>F16</f>
        <v>147058551.4582015</v>
      </c>
      <c r="G29" s="157">
        <f>G16</f>
        <v>164438107.2998305</v>
      </c>
    </row>
    <row r="30" spans="1:8">
      <c r="A30" s="157" t="s">
        <v>111</v>
      </c>
      <c r="B30" s="157">
        <f>B29</f>
        <v>0</v>
      </c>
      <c r="C30" s="157">
        <f t="shared" ref="C30:G30" si="10">C29</f>
        <v>59310586.159999996</v>
      </c>
      <c r="D30" s="157">
        <f t="shared" si="10"/>
        <v>84394962.420446679</v>
      </c>
      <c r="E30" s="157">
        <f t="shared" si="10"/>
        <v>113381589.46849059</v>
      </c>
      <c r="F30" s="157">
        <f t="shared" si="10"/>
        <v>147058551.4582015</v>
      </c>
      <c r="G30" s="157">
        <f t="shared" si="10"/>
        <v>164438107.2998305</v>
      </c>
    </row>
    <row r="31" spans="1:8">
      <c r="A31" s="157" t="s">
        <v>112</v>
      </c>
      <c r="B31" s="339">
        <f>'3 Financiación'!J8</f>
        <v>480936000</v>
      </c>
      <c r="C31" s="339">
        <f>'3 Financiación'!J9</f>
        <v>355181751.93994027</v>
      </c>
      <c r="D31" s="339">
        <f>'3 Financiación'!J10</f>
        <v>197561377.4214614</v>
      </c>
      <c r="E31" s="339">
        <f>'3 Financiación'!J11</f>
        <v>0</v>
      </c>
      <c r="F31" s="339">
        <f>'3 Financiación'!J12</f>
        <v>0</v>
      </c>
      <c r="G31" s="339">
        <f>'3 Financiación'!J13</f>
        <v>0</v>
      </c>
    </row>
    <row r="32" spans="1:8" ht="16.5" thickBot="1">
      <c r="A32" s="393" t="s">
        <v>109</v>
      </c>
      <c r="B32" s="393">
        <f>B30+B31</f>
        <v>480936000</v>
      </c>
      <c r="C32" s="393">
        <f t="shared" ref="C32:G32" si="11">C30+C31</f>
        <v>414492338.0999403</v>
      </c>
      <c r="D32" s="393">
        <f t="shared" si="11"/>
        <v>281956339.8419081</v>
      </c>
      <c r="E32" s="393">
        <f t="shared" si="11"/>
        <v>113381589.46849059</v>
      </c>
      <c r="F32" s="393">
        <f t="shared" si="11"/>
        <v>147058551.4582015</v>
      </c>
      <c r="G32" s="393">
        <f t="shared" si="11"/>
        <v>164438107.2998305</v>
      </c>
    </row>
    <row r="33" spans="1:7" ht="16.5" thickTop="1">
      <c r="A33" s="484" t="s">
        <v>113</v>
      </c>
      <c r="B33" s="484"/>
      <c r="C33" s="484"/>
      <c r="D33" s="484"/>
      <c r="E33" s="484"/>
      <c r="F33" s="484"/>
      <c r="G33" s="484"/>
    </row>
    <row r="34" spans="1:7">
      <c r="A34" s="157" t="s">
        <v>114</v>
      </c>
      <c r="B34" s="157">
        <f>'3 Financiación'!D15</f>
        <v>200000000</v>
      </c>
      <c r="C34" s="157">
        <f>B34</f>
        <v>200000000</v>
      </c>
      <c r="D34" s="157">
        <f t="shared" ref="D34:G34" si="12">C34</f>
        <v>200000000</v>
      </c>
      <c r="E34" s="157">
        <f t="shared" si="12"/>
        <v>200000000</v>
      </c>
      <c r="F34" s="157">
        <f t="shared" si="12"/>
        <v>200000000</v>
      </c>
      <c r="G34" s="157">
        <f t="shared" si="12"/>
        <v>200000000</v>
      </c>
    </row>
    <row r="35" spans="1:7">
      <c r="A35" s="157" t="s">
        <v>115</v>
      </c>
      <c r="B35" s="157">
        <v>0</v>
      </c>
      <c r="C35" s="157">
        <f>C17</f>
        <v>110148231.44</v>
      </c>
      <c r="D35" s="157">
        <f>D17</f>
        <v>156733501.63797241</v>
      </c>
      <c r="E35" s="157">
        <f>E17</f>
        <v>210565809.01291108</v>
      </c>
      <c r="F35" s="157">
        <f>F17</f>
        <v>273108738.42237425</v>
      </c>
      <c r="G35" s="157">
        <f>G17</f>
        <v>305385056.41397095</v>
      </c>
    </row>
    <row r="36" spans="1:7" ht="16.5" thickBot="1">
      <c r="A36" s="393" t="s">
        <v>116</v>
      </c>
      <c r="B36" s="393">
        <f>B34+B35</f>
        <v>200000000</v>
      </c>
      <c r="C36" s="393">
        <f t="shared" ref="C36:G36" si="13">C34+C35</f>
        <v>310148231.44</v>
      </c>
      <c r="D36" s="393">
        <f t="shared" si="13"/>
        <v>356733501.63797241</v>
      </c>
      <c r="E36" s="393">
        <f t="shared" si="13"/>
        <v>410565809.01291108</v>
      </c>
      <c r="F36" s="393">
        <f t="shared" si="13"/>
        <v>473108738.42237425</v>
      </c>
      <c r="G36" s="393">
        <f t="shared" si="13"/>
        <v>505385056.41397095</v>
      </c>
    </row>
    <row r="37" spans="1:7" ht="16.5" thickTop="1">
      <c r="A37" s="157"/>
      <c r="B37" s="157"/>
      <c r="C37" s="157"/>
      <c r="D37" s="157"/>
      <c r="E37" s="157"/>
      <c r="F37" s="157"/>
      <c r="G37" s="157"/>
    </row>
    <row r="38" spans="1:7" ht="16.5" thickBot="1">
      <c r="A38" s="393" t="s">
        <v>117</v>
      </c>
      <c r="B38" s="393">
        <f>B32+B36</f>
        <v>680936000</v>
      </c>
      <c r="C38" s="393">
        <f t="shared" ref="C38:G38" si="14">C32+C36</f>
        <v>724640569.53994036</v>
      </c>
      <c r="D38" s="393">
        <f t="shared" si="14"/>
        <v>638689841.47988057</v>
      </c>
      <c r="E38" s="393">
        <f t="shared" si="14"/>
        <v>523947398.48140168</v>
      </c>
      <c r="F38" s="393">
        <f t="shared" si="14"/>
        <v>620167289.88057578</v>
      </c>
      <c r="G38" s="393">
        <f t="shared" si="14"/>
        <v>669823163.71380138</v>
      </c>
    </row>
    <row r="39" spans="1:7" ht="16.5" thickTop="1">
      <c r="A39" s="394" t="s">
        <v>118</v>
      </c>
      <c r="B39" s="394">
        <f>B27-B38</f>
        <v>0</v>
      </c>
      <c r="C39" s="394">
        <f t="shared" ref="C39:G39" si="15">C27-C38</f>
        <v>0</v>
      </c>
      <c r="D39" s="394">
        <f t="shared" si="15"/>
        <v>0</v>
      </c>
      <c r="E39" s="394">
        <f t="shared" si="15"/>
        <v>0</v>
      </c>
      <c r="F39" s="394">
        <f t="shared" si="15"/>
        <v>0</v>
      </c>
      <c r="G39" s="394">
        <f t="shared" si="15"/>
        <v>0</v>
      </c>
    </row>
    <row r="41" spans="1:7">
      <c r="A41" s="482" t="s">
        <v>119</v>
      </c>
      <c r="B41" s="482"/>
      <c r="C41" s="482"/>
      <c r="D41" s="482"/>
      <c r="E41" s="482"/>
      <c r="F41" s="482"/>
      <c r="G41" s="482"/>
    </row>
    <row r="42" spans="1:7">
      <c r="A42" s="483" t="s">
        <v>120</v>
      </c>
      <c r="B42" s="483"/>
      <c r="C42" s="483"/>
      <c r="D42" s="483"/>
      <c r="E42" s="483"/>
      <c r="F42" s="483"/>
      <c r="G42" s="483"/>
    </row>
    <row r="43" spans="1:7">
      <c r="A43" s="395"/>
      <c r="B43" s="388" t="s">
        <v>79</v>
      </c>
      <c r="C43" s="388">
        <f>C20</f>
        <v>2025</v>
      </c>
      <c r="D43" s="388">
        <f t="shared" ref="D43:G43" si="16">D20</f>
        <v>2026</v>
      </c>
      <c r="E43" s="388">
        <f t="shared" si="16"/>
        <v>2027</v>
      </c>
      <c r="F43" s="388">
        <f t="shared" si="16"/>
        <v>2028</v>
      </c>
      <c r="G43" s="388">
        <f t="shared" si="16"/>
        <v>2029</v>
      </c>
    </row>
    <row r="44" spans="1:7">
      <c r="A44" s="396" t="s">
        <v>121</v>
      </c>
      <c r="B44" s="397">
        <f>B22</f>
        <v>462936000</v>
      </c>
      <c r="C44" s="397">
        <f t="shared" ref="C44:G44" si="17">C22</f>
        <v>537440569.53994036</v>
      </c>
      <c r="D44" s="397">
        <f t="shared" si="17"/>
        <v>482289841.47988057</v>
      </c>
      <c r="E44" s="397">
        <f t="shared" si="17"/>
        <v>398347398.48140168</v>
      </c>
      <c r="F44" s="397">
        <f t="shared" si="17"/>
        <v>525367289.88057578</v>
      </c>
      <c r="G44" s="397">
        <f t="shared" si="17"/>
        <v>605823163.71380138</v>
      </c>
    </row>
    <row r="45" spans="1:7" ht="16.5" thickBot="1">
      <c r="A45" s="396" t="s">
        <v>122</v>
      </c>
      <c r="B45" s="398">
        <f>B29</f>
        <v>0</v>
      </c>
      <c r="C45" s="398">
        <f t="shared" ref="C45:G45" si="18">C29</f>
        <v>59310586.159999996</v>
      </c>
      <c r="D45" s="398">
        <f t="shared" si="18"/>
        <v>84394962.420446679</v>
      </c>
      <c r="E45" s="398">
        <f t="shared" si="18"/>
        <v>113381589.46849059</v>
      </c>
      <c r="F45" s="398">
        <f t="shared" si="18"/>
        <v>147058551.4582015</v>
      </c>
      <c r="G45" s="398">
        <f t="shared" si="18"/>
        <v>164438107.2998305</v>
      </c>
    </row>
    <row r="46" spans="1:7" ht="16.5" thickTop="1">
      <c r="A46" s="399" t="s">
        <v>123</v>
      </c>
      <c r="B46" s="400">
        <f t="shared" ref="B46:G46" si="19">B44-B45</f>
        <v>462936000</v>
      </c>
      <c r="C46" s="400">
        <f t="shared" si="19"/>
        <v>478129983.37994039</v>
      </c>
      <c r="D46" s="400">
        <f t="shared" si="19"/>
        <v>397894879.05943388</v>
      </c>
      <c r="E46" s="400">
        <f t="shared" si="19"/>
        <v>284965809.01291108</v>
      </c>
      <c r="F46" s="400">
        <f t="shared" si="19"/>
        <v>378308738.42237425</v>
      </c>
      <c r="G46" s="400">
        <f t="shared" si="19"/>
        <v>441385056.41397089</v>
      </c>
    </row>
    <row r="47" spans="1:7">
      <c r="A47" s="396"/>
      <c r="B47" s="397"/>
      <c r="C47" s="397"/>
      <c r="D47" s="397"/>
      <c r="E47" s="397"/>
      <c r="F47" s="397"/>
      <c r="G47" s="397"/>
    </row>
    <row r="48" spans="1:7">
      <c r="A48" s="399" t="s">
        <v>124</v>
      </c>
      <c r="B48" s="397">
        <f>B26</f>
        <v>218000000</v>
      </c>
      <c r="C48" s="397">
        <f t="shared" ref="C48:G48" si="20">C26</f>
        <v>187200000</v>
      </c>
      <c r="D48" s="397">
        <f t="shared" si="20"/>
        <v>156400000</v>
      </c>
      <c r="E48" s="397">
        <f t="shared" si="20"/>
        <v>125600000</v>
      </c>
      <c r="F48" s="397">
        <f t="shared" si="20"/>
        <v>94800000</v>
      </c>
      <c r="G48" s="397">
        <f t="shared" si="20"/>
        <v>64000000</v>
      </c>
    </row>
    <row r="49" spans="1:7" ht="16.5" thickBot="1">
      <c r="A49" s="396" t="s">
        <v>125</v>
      </c>
      <c r="B49" s="398">
        <f>B25</f>
        <v>0</v>
      </c>
      <c r="C49" s="398">
        <f t="shared" ref="C49:G49" si="21">C25</f>
        <v>30800000</v>
      </c>
      <c r="D49" s="398">
        <f t="shared" si="21"/>
        <v>61600000</v>
      </c>
      <c r="E49" s="398">
        <f t="shared" si="21"/>
        <v>92400000</v>
      </c>
      <c r="F49" s="398">
        <f t="shared" si="21"/>
        <v>123200000</v>
      </c>
      <c r="G49" s="398">
        <f t="shared" si="21"/>
        <v>154000000</v>
      </c>
    </row>
    <row r="50" spans="1:7" ht="16.5" thickTop="1">
      <c r="A50" s="399" t="s">
        <v>126</v>
      </c>
      <c r="B50" s="400">
        <f t="shared" ref="B50:G50" si="22">B48+B49</f>
        <v>218000000</v>
      </c>
      <c r="C50" s="400">
        <f t="shared" si="22"/>
        <v>218000000</v>
      </c>
      <c r="D50" s="400">
        <f t="shared" si="22"/>
        <v>218000000</v>
      </c>
      <c r="E50" s="400">
        <f t="shared" si="22"/>
        <v>218000000</v>
      </c>
      <c r="F50" s="400">
        <f t="shared" si="22"/>
        <v>218000000</v>
      </c>
      <c r="G50" s="400">
        <f t="shared" si="22"/>
        <v>218000000</v>
      </c>
    </row>
    <row r="51" spans="1:7">
      <c r="A51" s="396"/>
      <c r="B51" s="397"/>
      <c r="C51" s="397"/>
      <c r="D51" s="397"/>
      <c r="E51" s="397"/>
      <c r="F51" s="397"/>
      <c r="G51" s="397"/>
    </row>
    <row r="52" spans="1:7" ht="16.5" thickBot="1">
      <c r="A52" s="399" t="s">
        <v>127</v>
      </c>
      <c r="B52" s="401">
        <f t="shared" ref="B52:G52" si="23">B46+B48</f>
        <v>680936000</v>
      </c>
      <c r="C52" s="401">
        <f t="shared" si="23"/>
        <v>665329983.37994039</v>
      </c>
      <c r="D52" s="401">
        <f t="shared" si="23"/>
        <v>554294879.05943394</v>
      </c>
      <c r="E52" s="401">
        <f t="shared" si="23"/>
        <v>410565809.01291108</v>
      </c>
      <c r="F52" s="401">
        <f t="shared" si="23"/>
        <v>473108738.42237425</v>
      </c>
      <c r="G52" s="401">
        <f t="shared" si="23"/>
        <v>505385056.41397089</v>
      </c>
    </row>
    <row r="53" spans="1:7" ht="16.5" thickTop="1">
      <c r="A53" s="402"/>
      <c r="B53" s="397"/>
      <c r="C53" s="397"/>
      <c r="D53" s="397"/>
      <c r="E53" s="397"/>
      <c r="F53" s="397"/>
      <c r="G53" s="397"/>
    </row>
    <row r="54" spans="1:7">
      <c r="A54" s="481" t="s">
        <v>128</v>
      </c>
      <c r="B54" s="481"/>
      <c r="C54" s="481"/>
      <c r="D54" s="481"/>
      <c r="E54" s="481"/>
      <c r="F54" s="481"/>
      <c r="G54" s="481"/>
    </row>
    <row r="55" spans="1:7">
      <c r="A55" s="396" t="s">
        <v>129</v>
      </c>
      <c r="C55" s="397">
        <f>C13</f>
        <v>291328000</v>
      </c>
      <c r="D55" s="397">
        <f t="shared" ref="D55:G55" si="24">D13</f>
        <v>331131520</v>
      </c>
      <c r="E55" s="397">
        <f t="shared" si="24"/>
        <v>374009451.51999998</v>
      </c>
      <c r="F55" s="397">
        <f t="shared" si="24"/>
        <v>420167289.88057578</v>
      </c>
      <c r="G55" s="397">
        <f t="shared" si="24"/>
        <v>469823163.71380144</v>
      </c>
    </row>
    <row r="56" spans="1:7" ht="16.5" thickBot="1">
      <c r="A56" s="396" t="s">
        <v>130</v>
      </c>
      <c r="C56" s="398">
        <f>C55*'1. Ventas y Premisas'!$AB$7</f>
        <v>101964800</v>
      </c>
      <c r="D56" s="398">
        <f>D55*'1. Ventas y Premisas'!$AB$7</f>
        <v>115896032</v>
      </c>
      <c r="E56" s="398">
        <f>E55*'1. Ventas y Premisas'!$AB$7</f>
        <v>130903308.03199999</v>
      </c>
      <c r="F56" s="398">
        <f>F55*'1. Ventas y Premisas'!$AB$7</f>
        <v>147058551.4582015</v>
      </c>
      <c r="G56" s="398">
        <f>G55*'1. Ventas y Premisas'!$AB$7</f>
        <v>164438107.2998305</v>
      </c>
    </row>
    <row r="57" spans="1:7" ht="16.5" thickTop="1">
      <c r="A57" s="399" t="s">
        <v>131</v>
      </c>
      <c r="C57" s="397">
        <f>C55-C56</f>
        <v>189363200</v>
      </c>
      <c r="D57" s="397">
        <f>D55-D56</f>
        <v>215235488</v>
      </c>
      <c r="E57" s="397">
        <f>E55-E56</f>
        <v>243106143.48799998</v>
      </c>
      <c r="F57" s="397">
        <f>F55-F56</f>
        <v>273108738.42237425</v>
      </c>
      <c r="G57" s="397">
        <f>G55-G56</f>
        <v>305385056.41397095</v>
      </c>
    </row>
    <row r="58" spans="1:7" ht="16.5" thickBot="1">
      <c r="A58" s="396" t="s">
        <v>132</v>
      </c>
      <c r="C58" s="398">
        <f>-(C52-B52)</f>
        <v>15606016.620059609</v>
      </c>
      <c r="D58" s="398">
        <f t="shared" ref="D58:G58" si="25">-(D52-C52)</f>
        <v>111035104.32050645</v>
      </c>
      <c r="E58" s="398">
        <f t="shared" si="25"/>
        <v>143729070.04652286</v>
      </c>
      <c r="F58" s="398">
        <f t="shared" si="25"/>
        <v>-62542929.409463167</v>
      </c>
      <c r="G58" s="398">
        <f t="shared" si="25"/>
        <v>-32276317.991596639</v>
      </c>
    </row>
    <row r="59" spans="1:7" ht="17.25" thickTop="1" thickBot="1">
      <c r="A59" s="403" t="s">
        <v>133</v>
      </c>
      <c r="B59" s="372"/>
      <c r="C59" s="404">
        <f>SUM(C57:C58)</f>
        <v>204969216.62005961</v>
      </c>
      <c r="D59" s="404">
        <f t="shared" ref="D59:G59" si="26">SUM(D57:D58)</f>
        <v>326270592.32050645</v>
      </c>
      <c r="E59" s="404">
        <f t="shared" si="26"/>
        <v>386835213.53452283</v>
      </c>
      <c r="F59" s="404">
        <f t="shared" si="26"/>
        <v>210565809.01291108</v>
      </c>
      <c r="G59" s="404">
        <f t="shared" si="26"/>
        <v>273108738.42237431</v>
      </c>
    </row>
    <row r="60" spans="1:7" ht="16.5" thickTop="1"/>
  </sheetData>
  <sheetProtection algorithmName="SHA-512" hashValue="KLBhxYPsWRm/mDONeSdAIiuCHDVzFvjvnXci62rP+PvRkwTfgDMBnUm1lUq9hW+nalA7QvZtDlGH44e1gxba/w==" saltValue="qz8Leb/Kc1kBPTEK+6wHOA=="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73" priority="2" operator="lessThan">
      <formula>0</formula>
    </cfRule>
  </conditionalFormatting>
  <conditionalFormatting sqref="C17:G17">
    <cfRule type="cellIs" dxfId="72" priority="3" operator="lessThan">
      <formula>0</formula>
    </cfRule>
  </conditionalFormatting>
  <conditionalFormatting sqref="C59:G59">
    <cfRule type="cellIs" dxfId="71" priority="1" operator="lessThan">
      <formula>0</formula>
    </cfRule>
  </conditionalFormatting>
  <pageMargins left="0.7" right="0.7" top="0.75" bottom="0.75" header="0.3" footer="0.3"/>
  <pageSetup orientation="portrait" r:id="rId1"/>
  <headerFooter>
    <oddHeader>&amp;C&amp;"Arial"&amp;8&amp;K000000INTERNAL&amp;1#</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P54"/>
  <sheetViews>
    <sheetView showGridLines="0" zoomScale="80" zoomScaleNormal="80" workbookViewId="0">
      <selection activeCell="M10" sqref="M10"/>
    </sheetView>
  </sheetViews>
  <sheetFormatPr baseColWidth="10" defaultColWidth="11.42578125" defaultRowHeight="15.75"/>
  <cols>
    <col min="1" max="1" width="2.28515625" style="139" customWidth="1"/>
    <col min="2" max="2" width="24.85546875" style="139" customWidth="1"/>
    <col min="3" max="3" width="18.140625" style="139" customWidth="1"/>
    <col min="4" max="4" width="24.28515625" style="139" customWidth="1"/>
    <col min="5" max="5" width="21.7109375" style="139" customWidth="1"/>
    <col min="6" max="6" width="22.5703125" style="139" customWidth="1"/>
    <col min="7" max="8" width="21.140625" style="139" bestFit="1" customWidth="1"/>
    <col min="9" max="12" width="12" style="139" customWidth="1"/>
    <col min="13" max="14" width="11.42578125" style="139"/>
    <col min="15" max="15" width="15.28515625" style="139" bestFit="1" customWidth="1"/>
    <col min="16" max="16" width="21.5703125" style="139" bestFit="1" customWidth="1"/>
    <col min="17" max="16384" width="11.42578125" style="139"/>
  </cols>
  <sheetData>
    <row r="2" spans="2:16" ht="38.25" customHeight="1">
      <c r="B2" s="470" t="s">
        <v>134</v>
      </c>
      <c r="C2" s="470"/>
      <c r="D2" s="470"/>
      <c r="E2" s="470"/>
      <c r="F2" s="470"/>
      <c r="G2" s="470"/>
      <c r="H2" s="470"/>
    </row>
    <row r="3" spans="2:16" ht="15.75" customHeight="1">
      <c r="B3" s="486" t="s">
        <v>135</v>
      </c>
      <c r="C3" s="486"/>
      <c r="D3" s="486"/>
      <c r="E3" s="487">
        <v>0.25</v>
      </c>
      <c r="F3" s="487"/>
    </row>
    <row r="4" spans="2:16" ht="16.5" customHeight="1">
      <c r="B4" s="486"/>
      <c r="C4" s="486"/>
      <c r="D4" s="486"/>
      <c r="E4" s="487"/>
      <c r="F4" s="487"/>
      <c r="O4" s="140"/>
    </row>
    <row r="5" spans="2:16" ht="16.5" thickBot="1">
      <c r="O5" s="140"/>
      <c r="P5" s="141"/>
    </row>
    <row r="6" spans="2:16">
      <c r="B6" s="137" t="s">
        <v>136</v>
      </c>
      <c r="C6" s="142" t="s">
        <v>137</v>
      </c>
      <c r="D6" s="142">
        <f>'4. Resultados Financieros'!C20</f>
        <v>2025</v>
      </c>
      <c r="E6" s="142">
        <f>'4. Resultados Financieros'!D20</f>
        <v>2026</v>
      </c>
      <c r="F6" s="142">
        <f>'4. Resultados Financieros'!E20</f>
        <v>2027</v>
      </c>
      <c r="G6" s="142">
        <f>'4. Resultados Financieros'!F20</f>
        <v>2028</v>
      </c>
      <c r="H6" s="143">
        <f>'4. Resultados Financieros'!G20</f>
        <v>2029</v>
      </c>
      <c r="O6" s="140"/>
      <c r="P6" s="144"/>
    </row>
    <row r="7" spans="2:16" ht="16.5" thickBot="1">
      <c r="B7" s="145"/>
      <c r="C7" s="146">
        <f>-'3 Financiación'!D14</f>
        <v>-680936000</v>
      </c>
      <c r="D7" s="147">
        <f>'4. Resultados Financieros'!C59</f>
        <v>204969216.62005961</v>
      </c>
      <c r="E7" s="147">
        <f>'4. Resultados Financieros'!D59</f>
        <v>326270592.32050645</v>
      </c>
      <c r="F7" s="147">
        <f>'4. Resultados Financieros'!E59</f>
        <v>386835213.53452283</v>
      </c>
      <c r="G7" s="147">
        <f>'4. Resultados Financieros'!F59</f>
        <v>210565809.01291108</v>
      </c>
      <c r="H7" s="148">
        <f>'4. Resultados Financieros'!G59</f>
        <v>273108738.42237431</v>
      </c>
      <c r="O7" s="140"/>
      <c r="P7" s="144"/>
    </row>
    <row r="8" spans="2:16" ht="16.5" thickBot="1">
      <c r="C8" s="149">
        <f>C7/(1+$E$3)^0</f>
        <v>-680936000</v>
      </c>
      <c r="D8" s="149">
        <f>D7/(1+$E$3)^1</f>
        <v>163975373.29604769</v>
      </c>
      <c r="E8" s="149">
        <f>E7/(1+$E$3)^2</f>
        <v>208813179.08512414</v>
      </c>
      <c r="F8" s="149">
        <f>F7/(1+$E$3)^3</f>
        <v>198059629.3296757</v>
      </c>
      <c r="G8" s="149">
        <f>G7/(1+$E$3)^4</f>
        <v>86247755.371688381</v>
      </c>
      <c r="H8" s="149">
        <f>H7/(1+$E$3)^5</f>
        <v>89492271.406243607</v>
      </c>
      <c r="O8" s="140"/>
      <c r="P8" s="144"/>
    </row>
    <row r="9" spans="2:16" ht="16.5" thickBot="1">
      <c r="B9" s="138" t="s">
        <v>138</v>
      </c>
      <c r="C9" s="150"/>
      <c r="D9" s="151">
        <f>NPV(E3,D7:H7)+$C$7</f>
        <v>65652208.488779426</v>
      </c>
      <c r="O9" s="140"/>
      <c r="P9" s="144"/>
    </row>
    <row r="10" spans="2:16" ht="16.5" thickBot="1">
      <c r="B10" s="138" t="s">
        <v>139</v>
      </c>
      <c r="C10" s="150"/>
      <c r="D10" s="152">
        <f>IF(ISERROR(IRR(C7:H7)),"NO_APLICA",(IRR(C7:H7)))</f>
        <v>0.29490675914901332</v>
      </c>
      <c r="F10" s="138" t="s">
        <v>140</v>
      </c>
      <c r="G10" s="150"/>
      <c r="H10" s="153">
        <f>IF(ISERROR(-C8/AVERAGE(D8:H8)),"NO_APLICA",(-C8/AVERAGE(D8:H8)))</f>
        <v>4.5603184744795895</v>
      </c>
      <c r="I10" s="154" t="s">
        <v>141</v>
      </c>
      <c r="P10" s="155"/>
    </row>
    <row r="12" spans="2:16">
      <c r="B12" s="488" t="s">
        <v>142</v>
      </c>
      <c r="C12" s="488"/>
      <c r="D12" s="488"/>
      <c r="E12" s="488"/>
      <c r="F12" s="488"/>
      <c r="G12" s="488"/>
      <c r="H12" s="488"/>
    </row>
    <row r="13" spans="2:16" ht="63">
      <c r="B13" s="156" t="str">
        <f>'1. Ventas y Premisas'!B2</f>
        <v>NOMBRE DEL PRODUCTO O SERVICIO</v>
      </c>
      <c r="C13" s="156" t="s">
        <v>143</v>
      </c>
      <c r="D13" s="156" t="s">
        <v>144</v>
      </c>
      <c r="E13" s="156" t="s">
        <v>145</v>
      </c>
      <c r="F13" s="156" t="s">
        <v>146</v>
      </c>
      <c r="H13" s="149"/>
      <c r="I13" s="149"/>
      <c r="J13" s="149" t="s">
        <v>147</v>
      </c>
    </row>
    <row r="14" spans="2:16" ht="31.5">
      <c r="B14" s="405" t="str">
        <f>'1. Ventas y Premisas'!B3</f>
        <v>Patrocinios a jugadores y Premiaciones</v>
      </c>
      <c r="C14" s="157">
        <f>'1. Ventas y Premisas'!D3-'1. Ventas y Premisas'!D17</f>
        <v>141000000</v>
      </c>
      <c r="D14" s="158">
        <f>'1. Ventas y Premisas'!F3</f>
        <v>1</v>
      </c>
      <c r="E14" s="157">
        <f>C14*D14</f>
        <v>141000000</v>
      </c>
      <c r="F14" s="159">
        <f t="shared" ref="F14:F23" si="0">$E$27*D14</f>
        <v>5.7154042553191493</v>
      </c>
      <c r="G14" s="139" t="s">
        <v>148</v>
      </c>
      <c r="H14" s="160">
        <f>'1. Ventas y Premisas'!D3</f>
        <v>156000000</v>
      </c>
      <c r="I14" s="161">
        <f t="shared" ref="I14:I23" si="1">$B$34*D14</f>
        <v>11.430808510638299</v>
      </c>
      <c r="J14" s="160">
        <f>'1. Ventas y Premisas'!D17</f>
        <v>15000000</v>
      </c>
    </row>
    <row r="15" spans="2:16">
      <c r="B15" s="162">
        <f>'1. Ventas y Premisas'!B4</f>
        <v>0</v>
      </c>
      <c r="C15" s="157">
        <f>'1. Ventas y Premisas'!D4-'1. Ventas y Premisas'!D18</f>
        <v>0</v>
      </c>
      <c r="D15" s="158">
        <f>'1. Ventas y Premisas'!F4</f>
        <v>0</v>
      </c>
      <c r="E15" s="157">
        <f t="shared" ref="E15:E23" si="2">C15*D15</f>
        <v>0</v>
      </c>
      <c r="F15" s="159">
        <f t="shared" si="0"/>
        <v>0</v>
      </c>
      <c r="G15" s="139" t="str">
        <f>G14</f>
        <v>UNIDADES</v>
      </c>
      <c r="H15" s="160">
        <f>'1. Ventas y Premisas'!D4</f>
        <v>0</v>
      </c>
      <c r="I15" s="161">
        <f t="shared" si="1"/>
        <v>0</v>
      </c>
      <c r="J15" s="160">
        <f>'1. Ventas y Premisas'!D18</f>
        <v>0</v>
      </c>
    </row>
    <row r="16" spans="2:16">
      <c r="B16" s="162">
        <f>'1. Ventas y Premisas'!B5</f>
        <v>0</v>
      </c>
      <c r="C16" s="157">
        <f>'1. Ventas y Premisas'!D5-'1. Ventas y Premisas'!D19</f>
        <v>0</v>
      </c>
      <c r="D16" s="158">
        <f>'1. Ventas y Premisas'!F5</f>
        <v>0</v>
      </c>
      <c r="E16" s="157">
        <f t="shared" si="2"/>
        <v>0</v>
      </c>
      <c r="F16" s="159">
        <f t="shared" si="0"/>
        <v>0</v>
      </c>
      <c r="G16" s="139" t="str">
        <f t="shared" ref="G16:G23" si="3">G15</f>
        <v>UNIDADES</v>
      </c>
      <c r="H16" s="160">
        <f>'1. Ventas y Premisas'!D5</f>
        <v>0</v>
      </c>
      <c r="I16" s="161">
        <f t="shared" si="1"/>
        <v>0</v>
      </c>
      <c r="J16" s="160">
        <f>'1. Ventas y Premisas'!D19</f>
        <v>0</v>
      </c>
    </row>
    <row r="17" spans="2:10">
      <c r="B17" s="162">
        <f>'1. Ventas y Premisas'!B6</f>
        <v>0</v>
      </c>
      <c r="C17" s="157">
        <f>'1. Ventas y Premisas'!D6-'1. Ventas y Premisas'!D20</f>
        <v>0</v>
      </c>
      <c r="D17" s="158">
        <f>'1. Ventas y Premisas'!F6</f>
        <v>0</v>
      </c>
      <c r="E17" s="157">
        <f t="shared" si="2"/>
        <v>0</v>
      </c>
      <c r="F17" s="159">
        <f t="shared" si="0"/>
        <v>0</v>
      </c>
      <c r="G17" s="139" t="str">
        <f t="shared" si="3"/>
        <v>UNIDADES</v>
      </c>
      <c r="H17" s="160">
        <f>'1. Ventas y Premisas'!D6</f>
        <v>0</v>
      </c>
      <c r="I17" s="161">
        <f t="shared" si="1"/>
        <v>0</v>
      </c>
      <c r="J17" s="160">
        <f>'1. Ventas y Premisas'!D20</f>
        <v>0</v>
      </c>
    </row>
    <row r="18" spans="2:10">
      <c r="B18" s="162">
        <f>'1. Ventas y Premisas'!B7</f>
        <v>0</v>
      </c>
      <c r="C18" s="157">
        <f>'1. Ventas y Premisas'!D7-'1. Ventas y Premisas'!D21</f>
        <v>0</v>
      </c>
      <c r="D18" s="158">
        <f>'1. Ventas y Premisas'!F7</f>
        <v>0</v>
      </c>
      <c r="E18" s="157">
        <f t="shared" si="2"/>
        <v>0</v>
      </c>
      <c r="F18" s="159">
        <f t="shared" si="0"/>
        <v>0</v>
      </c>
      <c r="G18" s="139" t="str">
        <f t="shared" si="3"/>
        <v>UNIDADES</v>
      </c>
      <c r="H18" s="160">
        <f>'1. Ventas y Premisas'!D7</f>
        <v>0</v>
      </c>
      <c r="I18" s="161">
        <f t="shared" si="1"/>
        <v>0</v>
      </c>
      <c r="J18" s="160">
        <f>'1. Ventas y Premisas'!D21</f>
        <v>0</v>
      </c>
    </row>
    <row r="19" spans="2:10">
      <c r="B19" s="162">
        <f>'1. Ventas y Premisas'!B8</f>
        <v>0</v>
      </c>
      <c r="C19" s="157">
        <f>'1. Ventas y Premisas'!D8-'1. Ventas y Premisas'!D22</f>
        <v>0</v>
      </c>
      <c r="D19" s="158">
        <f>'1. Ventas y Premisas'!F8</f>
        <v>0</v>
      </c>
      <c r="E19" s="157">
        <f t="shared" si="2"/>
        <v>0</v>
      </c>
      <c r="F19" s="159">
        <f t="shared" si="0"/>
        <v>0</v>
      </c>
      <c r="G19" s="139" t="str">
        <f t="shared" si="3"/>
        <v>UNIDADES</v>
      </c>
      <c r="H19" s="160">
        <f>'1. Ventas y Premisas'!D8</f>
        <v>0</v>
      </c>
      <c r="I19" s="161">
        <f t="shared" si="1"/>
        <v>0</v>
      </c>
      <c r="J19" s="160">
        <f>'1. Ventas y Premisas'!D22</f>
        <v>0</v>
      </c>
    </row>
    <row r="20" spans="2:10">
      <c r="B20" s="162">
        <f>'1. Ventas y Premisas'!B9</f>
        <v>0</v>
      </c>
      <c r="C20" s="157">
        <f>'1. Ventas y Premisas'!D9-'1. Ventas y Premisas'!D23</f>
        <v>0</v>
      </c>
      <c r="D20" s="158">
        <f>'1. Ventas y Premisas'!F9</f>
        <v>0</v>
      </c>
      <c r="E20" s="157">
        <f t="shared" si="2"/>
        <v>0</v>
      </c>
      <c r="F20" s="159">
        <f t="shared" si="0"/>
        <v>0</v>
      </c>
      <c r="G20" s="139" t="str">
        <f t="shared" si="3"/>
        <v>UNIDADES</v>
      </c>
      <c r="H20" s="160">
        <f>'1. Ventas y Premisas'!D9</f>
        <v>0</v>
      </c>
      <c r="I20" s="161">
        <f t="shared" si="1"/>
        <v>0</v>
      </c>
      <c r="J20" s="160">
        <f>'1. Ventas y Premisas'!D23</f>
        <v>0</v>
      </c>
    </row>
    <row r="21" spans="2:10">
      <c r="B21" s="162">
        <f>'1. Ventas y Premisas'!B10</f>
        <v>0</v>
      </c>
      <c r="C21" s="157">
        <f>'1. Ventas y Premisas'!D10-'1. Ventas y Premisas'!D24</f>
        <v>0</v>
      </c>
      <c r="D21" s="158">
        <f>'1. Ventas y Premisas'!F10</f>
        <v>0</v>
      </c>
      <c r="E21" s="157">
        <f t="shared" si="2"/>
        <v>0</v>
      </c>
      <c r="F21" s="159">
        <f t="shared" si="0"/>
        <v>0</v>
      </c>
      <c r="G21" s="139" t="str">
        <f t="shared" si="3"/>
        <v>UNIDADES</v>
      </c>
      <c r="H21" s="160">
        <f>'1. Ventas y Premisas'!D10</f>
        <v>0</v>
      </c>
      <c r="I21" s="161">
        <f t="shared" si="1"/>
        <v>0</v>
      </c>
      <c r="J21" s="160">
        <f>'1. Ventas y Premisas'!D24</f>
        <v>0</v>
      </c>
    </row>
    <row r="22" spans="2:10">
      <c r="B22" s="162">
        <f>'1. Ventas y Premisas'!B11</f>
        <v>0</v>
      </c>
      <c r="C22" s="157">
        <f>'1. Ventas y Premisas'!D11-'1. Ventas y Premisas'!D25</f>
        <v>0</v>
      </c>
      <c r="D22" s="158">
        <f>'1. Ventas y Premisas'!F11</f>
        <v>0</v>
      </c>
      <c r="E22" s="157">
        <f t="shared" si="2"/>
        <v>0</v>
      </c>
      <c r="F22" s="159">
        <f t="shared" si="0"/>
        <v>0</v>
      </c>
      <c r="G22" s="139" t="str">
        <f t="shared" si="3"/>
        <v>UNIDADES</v>
      </c>
      <c r="H22" s="160">
        <f>'1. Ventas y Premisas'!D11</f>
        <v>0</v>
      </c>
      <c r="I22" s="161">
        <f t="shared" si="1"/>
        <v>0</v>
      </c>
      <c r="J22" s="160">
        <f>'1. Ventas y Premisas'!D25</f>
        <v>0</v>
      </c>
    </row>
    <row r="23" spans="2:10">
      <c r="B23" s="139">
        <f>'1. Ventas y Premisas'!B12</f>
        <v>0</v>
      </c>
      <c r="C23" s="157">
        <f>'1. Ventas y Premisas'!D12-'1. Ventas y Premisas'!D26</f>
        <v>0</v>
      </c>
      <c r="D23" s="158">
        <f>'1. Ventas y Premisas'!F12</f>
        <v>0</v>
      </c>
      <c r="E23" s="157">
        <f t="shared" si="2"/>
        <v>0</v>
      </c>
      <c r="F23" s="159">
        <f t="shared" si="0"/>
        <v>0</v>
      </c>
      <c r="G23" s="139" t="str">
        <f t="shared" si="3"/>
        <v>UNIDADES</v>
      </c>
      <c r="H23" s="160">
        <f>'1. Ventas y Premisas'!D12</f>
        <v>0</v>
      </c>
      <c r="I23" s="161">
        <f t="shared" si="1"/>
        <v>0</v>
      </c>
      <c r="J23" s="160">
        <f>'1. Ventas y Premisas'!D26</f>
        <v>0</v>
      </c>
    </row>
    <row r="24" spans="2:10">
      <c r="C24" s="163"/>
      <c r="D24" s="158"/>
      <c r="E24" s="163"/>
      <c r="F24" s="164">
        <f>SUM(F14:F23)</f>
        <v>5.7154042553191493</v>
      </c>
      <c r="G24" s="139" t="str">
        <f>G23</f>
        <v>UNIDADES</v>
      </c>
      <c r="H24" s="160"/>
      <c r="I24" s="161"/>
      <c r="J24" s="160"/>
    </row>
    <row r="25" spans="2:10" ht="12.75" customHeight="1">
      <c r="C25" s="163"/>
      <c r="D25" s="158"/>
      <c r="E25" s="163"/>
      <c r="F25" s="165"/>
      <c r="H25" s="160"/>
      <c r="I25" s="161"/>
      <c r="J25" s="160"/>
    </row>
    <row r="26" spans="2:10" ht="21" customHeight="1">
      <c r="B26" s="485" t="s">
        <v>149</v>
      </c>
      <c r="C26" s="485"/>
      <c r="D26" s="485"/>
      <c r="E26" s="166">
        <f>SUM(E14:E23)</f>
        <v>141000000</v>
      </c>
      <c r="H26" s="149"/>
      <c r="I26" s="149"/>
      <c r="J26" s="149"/>
    </row>
    <row r="27" spans="2:10" ht="19.5" customHeight="1">
      <c r="B27" s="485" t="s">
        <v>150</v>
      </c>
      <c r="C27" s="485"/>
      <c r="D27" s="485"/>
      <c r="E27" s="167">
        <f>IF(E26=0,0,('2. Inversión y Gastos'!C23+'2. Inversión y Gastos'!F31+'2. Inversión y Gastos'!C25)/'5. KPIs'!E26)</f>
        <v>5.7154042553191493</v>
      </c>
      <c r="F27" s="168" t="s">
        <v>148</v>
      </c>
      <c r="H27" s="165"/>
    </row>
    <row r="28" spans="2:10">
      <c r="B28" s="485" t="s">
        <v>151</v>
      </c>
      <c r="C28" s="485"/>
      <c r="D28" s="485"/>
      <c r="E28" s="166">
        <f>E48</f>
        <v>891603063.82978725</v>
      </c>
    </row>
    <row r="30" spans="2:10">
      <c r="B30" s="149"/>
      <c r="C30" s="149"/>
      <c r="D30" s="149"/>
      <c r="E30" s="149"/>
      <c r="F30" s="149"/>
      <c r="G30" s="149"/>
    </row>
    <row r="31" spans="2:10">
      <c r="B31" s="149"/>
      <c r="C31" s="149" t="s">
        <v>152</v>
      </c>
      <c r="D31" s="149" t="s">
        <v>153</v>
      </c>
      <c r="E31" s="149" t="s">
        <v>154</v>
      </c>
      <c r="F31" s="149" t="s">
        <v>155</v>
      </c>
      <c r="G31" s="149"/>
      <c r="H31" s="149"/>
    </row>
    <row r="32" spans="2:10">
      <c r="B32" s="149">
        <v>0</v>
      </c>
      <c r="C32" s="160">
        <f>'2. Inversión y Gastos'!C25+'2. Inversión y Gastos'!F31+'2. Inversión y Gastos'!C23</f>
        <v>805872000</v>
      </c>
      <c r="D32" s="149">
        <f>0</f>
        <v>0</v>
      </c>
      <c r="E32" s="149">
        <v>0</v>
      </c>
      <c r="F32" s="160">
        <f>C32+E32</f>
        <v>805872000</v>
      </c>
      <c r="G32" s="149"/>
      <c r="H32" s="149"/>
    </row>
    <row r="33" spans="2:8">
      <c r="B33" s="161">
        <f>F24</f>
        <v>5.7154042553191493</v>
      </c>
      <c r="C33" s="160">
        <f>C32</f>
        <v>805872000</v>
      </c>
      <c r="D33" s="169">
        <f>SUMPRODUCT(F14:F23,H14:H23)</f>
        <v>891603063.82978725</v>
      </c>
      <c r="E33" s="169">
        <f>SUMPRODUCT(F14:F23,J14:J23)</f>
        <v>85731063.829787239</v>
      </c>
      <c r="F33" s="160">
        <f t="shared" ref="F33:F34" si="4">C33+E33</f>
        <v>891603063.82978725</v>
      </c>
      <c r="G33" s="149"/>
      <c r="H33" s="149"/>
    </row>
    <row r="34" spans="2:8">
      <c r="B34" s="161">
        <f>B33*2</f>
        <v>11.430808510638299</v>
      </c>
      <c r="C34" s="160">
        <f>C33</f>
        <v>805872000</v>
      </c>
      <c r="D34" s="169">
        <f>SUMPRODUCT(H14:H23,I14:I23)</f>
        <v>1783206127.6595745</v>
      </c>
      <c r="E34" s="169">
        <f>SUMPRODUCT(I14:I23,J14:J23)</f>
        <v>171462127.65957448</v>
      </c>
      <c r="F34" s="160">
        <f t="shared" si="4"/>
        <v>977334127.65957451</v>
      </c>
      <c r="G34" s="149"/>
      <c r="H34" s="149"/>
    </row>
    <row r="35" spans="2:8">
      <c r="B35" s="149"/>
      <c r="C35" s="160"/>
      <c r="D35" s="149"/>
      <c r="E35" s="149"/>
      <c r="F35" s="149"/>
      <c r="G35" s="149"/>
      <c r="H35" s="149"/>
    </row>
    <row r="36" spans="2:8">
      <c r="B36" s="149"/>
      <c r="C36" s="160"/>
      <c r="D36" s="149"/>
      <c r="E36" s="149"/>
      <c r="F36" s="149"/>
      <c r="G36" s="149"/>
      <c r="H36" s="149"/>
    </row>
    <row r="37" spans="2:8">
      <c r="B37" s="149"/>
      <c r="C37" s="170" t="s">
        <v>156</v>
      </c>
      <c r="D37" s="149" t="s">
        <v>148</v>
      </c>
      <c r="E37" s="149" t="s">
        <v>157</v>
      </c>
      <c r="F37" s="149"/>
      <c r="G37" s="149"/>
      <c r="H37" s="149"/>
    </row>
    <row r="38" spans="2:8">
      <c r="B38" s="149">
        <v>1</v>
      </c>
      <c r="C38" s="160">
        <f>'1. Ventas y Premisas'!D3</f>
        <v>156000000</v>
      </c>
      <c r="D38" s="161">
        <f>F14</f>
        <v>5.7154042553191493</v>
      </c>
      <c r="E38" s="149">
        <f>C38*D38</f>
        <v>891603063.82978725</v>
      </c>
      <c r="F38" s="149"/>
      <c r="G38" s="149"/>
      <c r="H38" s="149"/>
    </row>
    <row r="39" spans="2:8">
      <c r="B39" s="149">
        <f>B38+1</f>
        <v>2</v>
      </c>
      <c r="C39" s="160">
        <f>'1. Ventas y Premisas'!D4</f>
        <v>0</v>
      </c>
      <c r="D39" s="161">
        <f t="shared" ref="D39:D47" si="5">F15</f>
        <v>0</v>
      </c>
      <c r="E39" s="149">
        <f t="shared" ref="E39:E47" si="6">C39*D39</f>
        <v>0</v>
      </c>
      <c r="F39" s="149"/>
      <c r="G39" s="149"/>
      <c r="H39" s="149"/>
    </row>
    <row r="40" spans="2:8">
      <c r="B40" s="149">
        <f t="shared" ref="B40:B47" si="7">B39+1</f>
        <v>3</v>
      </c>
      <c r="C40" s="160">
        <f>'1. Ventas y Premisas'!D5</f>
        <v>0</v>
      </c>
      <c r="D40" s="161">
        <f t="shared" si="5"/>
        <v>0</v>
      </c>
      <c r="E40" s="149">
        <f t="shared" si="6"/>
        <v>0</v>
      </c>
      <c r="F40" s="149"/>
      <c r="G40" s="149"/>
      <c r="H40" s="149"/>
    </row>
    <row r="41" spans="2:8">
      <c r="B41" s="149">
        <f t="shared" si="7"/>
        <v>4</v>
      </c>
      <c r="C41" s="160">
        <f>'1. Ventas y Premisas'!D6</f>
        <v>0</v>
      </c>
      <c r="D41" s="161">
        <f t="shared" si="5"/>
        <v>0</v>
      </c>
      <c r="E41" s="149">
        <f t="shared" si="6"/>
        <v>0</v>
      </c>
      <c r="F41" s="149"/>
      <c r="G41" s="149"/>
      <c r="H41" s="149"/>
    </row>
    <row r="42" spans="2:8">
      <c r="B42" s="149">
        <f t="shared" si="7"/>
        <v>5</v>
      </c>
      <c r="C42" s="160">
        <f>'1. Ventas y Premisas'!D7</f>
        <v>0</v>
      </c>
      <c r="D42" s="161">
        <f t="shared" si="5"/>
        <v>0</v>
      </c>
      <c r="E42" s="149">
        <f t="shared" si="6"/>
        <v>0</v>
      </c>
      <c r="F42" s="149"/>
      <c r="G42" s="149"/>
      <c r="H42" s="149"/>
    </row>
    <row r="43" spans="2:8">
      <c r="B43" s="149">
        <f t="shared" si="7"/>
        <v>6</v>
      </c>
      <c r="C43" s="160">
        <f>'1. Ventas y Premisas'!D8</f>
        <v>0</v>
      </c>
      <c r="D43" s="161">
        <f t="shared" si="5"/>
        <v>0</v>
      </c>
      <c r="E43" s="149">
        <f t="shared" si="6"/>
        <v>0</v>
      </c>
      <c r="F43" s="149"/>
      <c r="G43" s="149"/>
      <c r="H43" s="149"/>
    </row>
    <row r="44" spans="2:8">
      <c r="B44" s="149">
        <f t="shared" si="7"/>
        <v>7</v>
      </c>
      <c r="C44" s="160">
        <f>'1. Ventas y Premisas'!D9</f>
        <v>0</v>
      </c>
      <c r="D44" s="161">
        <f t="shared" si="5"/>
        <v>0</v>
      </c>
      <c r="E44" s="149">
        <f t="shared" si="6"/>
        <v>0</v>
      </c>
      <c r="F44" s="149"/>
      <c r="G44" s="149"/>
      <c r="H44" s="149"/>
    </row>
    <row r="45" spans="2:8">
      <c r="B45" s="149">
        <f t="shared" si="7"/>
        <v>8</v>
      </c>
      <c r="C45" s="160">
        <f>'1. Ventas y Premisas'!D10</f>
        <v>0</v>
      </c>
      <c r="D45" s="161">
        <f t="shared" si="5"/>
        <v>0</v>
      </c>
      <c r="E45" s="149">
        <f t="shared" si="6"/>
        <v>0</v>
      </c>
      <c r="F45" s="149"/>
      <c r="G45" s="149"/>
      <c r="H45" s="149"/>
    </row>
    <row r="46" spans="2:8">
      <c r="B46" s="149">
        <f t="shared" si="7"/>
        <v>9</v>
      </c>
      <c r="C46" s="160">
        <f>'1. Ventas y Premisas'!D11</f>
        <v>0</v>
      </c>
      <c r="D46" s="161">
        <f t="shared" si="5"/>
        <v>0</v>
      </c>
      <c r="E46" s="149">
        <f t="shared" si="6"/>
        <v>0</v>
      </c>
      <c r="F46" s="149"/>
      <c r="G46" s="149"/>
      <c r="H46" s="149"/>
    </row>
    <row r="47" spans="2:8">
      <c r="B47" s="149">
        <f t="shared" si="7"/>
        <v>10</v>
      </c>
      <c r="C47" s="160">
        <f>'1. Ventas y Premisas'!D12</f>
        <v>0</v>
      </c>
      <c r="D47" s="161">
        <f t="shared" si="5"/>
        <v>0</v>
      </c>
      <c r="E47" s="149">
        <f t="shared" si="6"/>
        <v>0</v>
      </c>
      <c r="F47" s="149"/>
      <c r="G47" s="149"/>
      <c r="H47" s="149"/>
    </row>
    <row r="48" spans="2:8">
      <c r="B48" s="149"/>
      <c r="C48" s="160"/>
      <c r="D48" s="149"/>
      <c r="E48" s="171">
        <f>SUM(E38:E47)</f>
        <v>891603063.82978725</v>
      </c>
      <c r="F48" s="149"/>
      <c r="G48" s="149"/>
      <c r="H48" s="149"/>
    </row>
    <row r="49" spans="2:8">
      <c r="B49" s="149"/>
      <c r="C49" s="149"/>
      <c r="D49" s="149"/>
      <c r="E49" s="149"/>
      <c r="F49" s="149"/>
      <c r="G49" s="149"/>
      <c r="H49" s="149"/>
    </row>
    <row r="50" spans="2:8">
      <c r="B50" s="149"/>
      <c r="C50" s="160"/>
      <c r="D50" s="149"/>
      <c r="E50" s="149"/>
      <c r="F50" s="149"/>
      <c r="G50" s="149"/>
      <c r="H50" s="149"/>
    </row>
    <row r="51" spans="2:8">
      <c r="B51" s="149"/>
      <c r="C51" s="160"/>
      <c r="D51" s="149"/>
      <c r="E51" s="149"/>
      <c r="F51" s="149"/>
      <c r="G51" s="149"/>
      <c r="H51" s="149"/>
    </row>
    <row r="52" spans="2:8">
      <c r="B52" s="149"/>
      <c r="C52" s="160"/>
      <c r="D52" s="149"/>
      <c r="E52" s="149"/>
      <c r="F52" s="149"/>
      <c r="G52" s="149"/>
      <c r="H52" s="149"/>
    </row>
    <row r="53" spans="2:8">
      <c r="B53" s="149"/>
      <c r="C53" s="149"/>
      <c r="D53" s="149"/>
      <c r="E53" s="149"/>
      <c r="F53" s="149"/>
      <c r="G53" s="149"/>
      <c r="H53" s="149"/>
    </row>
    <row r="54" spans="2:8">
      <c r="B54" s="149"/>
      <c r="C54" s="149"/>
      <c r="D54" s="149"/>
      <c r="E54" s="149"/>
      <c r="F54" s="149"/>
      <c r="G54" s="149"/>
      <c r="H54" s="149"/>
    </row>
  </sheetData>
  <sheetProtection algorithmName="SHA-512" hashValue="3+YCEPd7MiOqwxJUwxbw9lH+NZ/deTsqsi74b6CqtvqHoCDjURZmTtZwU3qtErjyzyXe96heae9720a7WTNDKg==" saltValue="8qrNxEUAu0WQgdLevZOh7A==" spinCount="100000" sheet="1" objects="1" scenarios="1" formatCells="0" formatColumns="0" formatRows="0"/>
  <mergeCells count="8">
    <mergeCell ref="B28:D28"/>
    <mergeCell ref="B26:D26"/>
    <mergeCell ref="B27:D27"/>
    <mergeCell ref="B2:F2"/>
    <mergeCell ref="G2:H2"/>
    <mergeCell ref="B3:D4"/>
    <mergeCell ref="E3:F4"/>
    <mergeCell ref="B12:H12"/>
  </mergeCells>
  <conditionalFormatting sqref="D9:D10">
    <cfRule type="cellIs" dxfId="70" priority="4" operator="lessThan">
      <formula>0</formula>
    </cfRule>
  </conditionalFormatting>
  <conditionalFormatting sqref="D10">
    <cfRule type="containsText" dxfId="69" priority="2" operator="containsText" text="NO_APLICA">
      <formula>NOT(ISERROR(SEARCH("NO_APLICA",D10)))</formula>
    </cfRule>
    <cfRule type="cellIs" dxfId="68" priority="6" operator="equal">
      <formula>$E$3</formula>
    </cfRule>
    <cfRule type="cellIs" dxfId="67" priority="7" operator="greaterThan">
      <formula>$E$3</formula>
    </cfRule>
    <cfRule type="cellIs" dxfId="66" priority="8" operator="lessThan">
      <formula>$E$3</formula>
    </cfRule>
  </conditionalFormatting>
  <conditionalFormatting sqref="H10">
    <cfRule type="containsText" dxfId="65" priority="1" operator="containsText" text="NO_APLICA">
      <formula>NOT(ISERROR(SEARCH("NO_APLICA",H10)))</formula>
    </cfRule>
    <cfRule type="cellIs" dxfId="64" priority="3" operator="lessThan">
      <formula>0</formula>
    </cfRule>
  </conditionalFormatting>
  <pageMargins left="0.7" right="0.7" top="0.75" bottom="0.75" header="0.3" footer="0.3"/>
  <pageSetup orientation="portrait" r:id="rId1"/>
  <headerFooter>
    <oddHeader>&amp;C&amp;"Arial"&amp;8&amp;K000000INTERNAL&amp;1#</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4883-6836-46C7-B9F0-1009BB8ED9B5}">
  <sheetPr codeName="Hoja7"/>
  <dimension ref="A1:BX202"/>
  <sheetViews>
    <sheetView topLeftCell="D1" zoomScale="90" zoomScaleNormal="90" workbookViewId="0">
      <pane ySplit="6" topLeftCell="A7" activePane="bottomLeft" state="frozen"/>
      <selection activeCell="A2" sqref="A2"/>
      <selection pane="bottomLeft" activeCell="X85" sqref="X85"/>
    </sheetView>
  </sheetViews>
  <sheetFormatPr baseColWidth="10" defaultRowHeight="12" outlineLevelRow="2" outlineLevelCol="1"/>
  <cols>
    <col min="1" max="1" width="14.140625" style="210" hidden="1" customWidth="1" outlineLevel="1"/>
    <col min="2" max="2" width="11.42578125" style="210" hidden="1" customWidth="1" outlineLevel="1"/>
    <col min="3" max="3" width="14.140625" style="210" hidden="1" customWidth="1" outlineLevel="1"/>
    <col min="4" max="4" width="8" style="210" customWidth="1" collapsed="1"/>
    <col min="5" max="5" width="30.42578125" style="212" customWidth="1"/>
    <col min="6" max="6" width="11.5703125" style="210" customWidth="1"/>
    <col min="7" max="7" width="13.7109375" style="210" hidden="1" customWidth="1" outlineLevel="1"/>
    <col min="8" max="8" width="11.5703125" style="210" hidden="1" customWidth="1" outlineLevel="1"/>
    <col min="9" max="9" width="12.42578125" style="210" hidden="1" customWidth="1" outlineLevel="1"/>
    <col min="10" max="18" width="11.85546875" style="210" hidden="1" customWidth="1" outlineLevel="1"/>
    <col min="19" max="19" width="4.85546875" style="210" hidden="1" customWidth="1" outlineLevel="1"/>
    <col min="20" max="20" width="14.140625" style="210" customWidth="1" collapsed="1"/>
    <col min="21" max="21" width="15.28515625" style="210" customWidth="1"/>
    <col min="22" max="24" width="14.140625" style="210" customWidth="1"/>
    <col min="25" max="25" width="11.42578125" style="210" customWidth="1"/>
    <col min="26" max="26" width="11.42578125" style="210" hidden="1" customWidth="1" outlineLevel="1"/>
    <col min="27" max="27" width="23.140625" style="210" hidden="1" customWidth="1" outlineLevel="1"/>
    <col min="28" max="28" width="13.7109375" style="210" hidden="1" customWidth="1" outlineLevel="1"/>
    <col min="29" max="29" width="12.7109375" style="210" hidden="1" customWidth="1" outlineLevel="1"/>
    <col min="30" max="30" width="12.42578125" style="210" hidden="1" customWidth="1" outlineLevel="1"/>
    <col min="31" max="31" width="13" style="210" hidden="1" customWidth="1" outlineLevel="1"/>
    <col min="32" max="36" width="12.28515625" style="210" hidden="1" customWidth="1" outlineLevel="1"/>
    <col min="37" max="67" width="11.42578125" style="210" hidden="1" customWidth="1" outlineLevel="1"/>
    <col min="68" max="68" width="0" style="211" hidden="1" customWidth="1" outlineLevel="1"/>
    <col min="69" max="75" width="0" style="210" hidden="1" customWidth="1" outlineLevel="1"/>
    <col min="76" max="76" width="11.42578125" style="210" collapsed="1"/>
    <col min="77" max="16384" width="11.42578125" style="210"/>
  </cols>
  <sheetData>
    <row r="1" spans="1:74">
      <c r="T1" s="292" t="s">
        <v>511</v>
      </c>
      <c r="U1" s="233">
        <v>2026</v>
      </c>
      <c r="V1" s="233">
        <v>2027</v>
      </c>
      <c r="W1" s="233">
        <v>2028</v>
      </c>
      <c r="X1" s="233">
        <v>2029</v>
      </c>
    </row>
    <row r="2" spans="1:74" hidden="1" outlineLevel="1">
      <c r="T2" s="210" t="s">
        <v>21</v>
      </c>
      <c r="U2" s="288">
        <f>+'1. Ventas y Premisas'!G3</f>
        <v>0.02</v>
      </c>
      <c r="V2" s="288">
        <f>+U2</f>
        <v>0.02</v>
      </c>
      <c r="W2" s="288">
        <f t="shared" ref="W2:X2" si="0">+V2</f>
        <v>0.02</v>
      </c>
      <c r="X2" s="288">
        <f t="shared" si="0"/>
        <v>0.02</v>
      </c>
    </row>
    <row r="3" spans="1:74" hidden="1" outlineLevel="1">
      <c r="T3" s="210" t="s">
        <v>89</v>
      </c>
      <c r="U3" s="288">
        <v>0.01</v>
      </c>
      <c r="V3" s="288">
        <v>0.01</v>
      </c>
      <c r="W3" s="288">
        <v>0.01</v>
      </c>
      <c r="X3" s="288">
        <v>0.01</v>
      </c>
    </row>
    <row r="4" spans="1:74" hidden="1" outlineLevel="1">
      <c r="G4" s="231"/>
      <c r="H4" s="231"/>
      <c r="I4" s="231"/>
      <c r="J4" s="231"/>
      <c r="K4" s="231"/>
      <c r="L4" s="231"/>
      <c r="M4" s="231"/>
      <c r="N4" s="231"/>
      <c r="O4" s="231"/>
      <c r="P4" s="231"/>
      <c r="Q4" s="231"/>
      <c r="R4" s="231"/>
      <c r="U4" s="289">
        <f>SUM(U2:U3)+1</f>
        <v>1.03</v>
      </c>
      <c r="V4" s="289">
        <f t="shared" ref="V4:X4" si="1">SUM(V2:V3)+1</f>
        <v>1.03</v>
      </c>
      <c r="W4" s="289">
        <f t="shared" si="1"/>
        <v>1.03</v>
      </c>
      <c r="X4" s="289">
        <f t="shared" si="1"/>
        <v>1.03</v>
      </c>
    </row>
    <row r="5" spans="1:74" hidden="1" outlineLevel="1">
      <c r="T5" s="217"/>
      <c r="U5" s="217">
        <v>1.03</v>
      </c>
      <c r="V5" s="217"/>
      <c r="W5" s="217"/>
      <c r="X5" s="217"/>
      <c r="BQ5" s="257" t="s">
        <v>79</v>
      </c>
      <c r="BR5" s="257" t="s">
        <v>288</v>
      </c>
      <c r="BS5" s="257" t="s">
        <v>10</v>
      </c>
      <c r="BT5" s="257" t="s">
        <v>11</v>
      </c>
      <c r="BU5" s="257" t="s">
        <v>12</v>
      </c>
      <c r="BV5" s="257" t="s">
        <v>13</v>
      </c>
    </row>
    <row r="6" spans="1:74" collapsed="1">
      <c r="F6" s="254" t="s">
        <v>498</v>
      </c>
      <c r="G6" s="254" t="s">
        <v>497</v>
      </c>
      <c r="H6" s="254" t="s">
        <v>496</v>
      </c>
      <c r="I6" s="254" t="s">
        <v>495</v>
      </c>
      <c r="J6" s="254" t="s">
        <v>494</v>
      </c>
      <c r="K6" s="254" t="s">
        <v>493</v>
      </c>
      <c r="L6" s="254" t="s">
        <v>492</v>
      </c>
      <c r="M6" s="254" t="s">
        <v>491</v>
      </c>
      <c r="N6" s="254" t="s">
        <v>490</v>
      </c>
      <c r="O6" s="254" t="s">
        <v>489</v>
      </c>
      <c r="P6" s="254" t="s">
        <v>488</v>
      </c>
      <c r="Q6" s="254" t="s">
        <v>487</v>
      </c>
      <c r="R6" s="254" t="s">
        <v>486</v>
      </c>
      <c r="S6" s="283"/>
      <c r="T6" s="256" t="s">
        <v>288</v>
      </c>
      <c r="U6" s="256" t="s">
        <v>10</v>
      </c>
      <c r="V6" s="256" t="s">
        <v>11</v>
      </c>
      <c r="W6" s="256" t="s">
        <v>12</v>
      </c>
      <c r="X6" s="256" t="s">
        <v>13</v>
      </c>
      <c r="Y6" s="255" t="s">
        <v>485</v>
      </c>
      <c r="Z6" s="254" t="s">
        <v>484</v>
      </c>
      <c r="AA6" s="254" t="s">
        <v>483</v>
      </c>
      <c r="AB6" s="254" t="s">
        <v>482</v>
      </c>
      <c r="AC6" s="254" t="s">
        <v>481</v>
      </c>
      <c r="AD6" s="254" t="s">
        <v>480</v>
      </c>
      <c r="AE6" s="254" t="s">
        <v>479</v>
      </c>
      <c r="AF6" s="254" t="s">
        <v>478</v>
      </c>
      <c r="AG6" s="254" t="s">
        <v>477</v>
      </c>
      <c r="AH6" s="254" t="s">
        <v>476</v>
      </c>
      <c r="AI6" s="254" t="s">
        <v>475</v>
      </c>
      <c r="AJ6" s="254" t="s">
        <v>474</v>
      </c>
      <c r="AK6" s="254" t="s">
        <v>473</v>
      </c>
      <c r="AL6" s="254" t="s">
        <v>472</v>
      </c>
      <c r="AM6" s="254" t="s">
        <v>471</v>
      </c>
      <c r="AN6" s="254" t="s">
        <v>470</v>
      </c>
      <c r="AO6" s="254" t="s">
        <v>469</v>
      </c>
      <c r="AP6" s="254" t="s">
        <v>468</v>
      </c>
      <c r="AQ6" s="254" t="s">
        <v>467</v>
      </c>
      <c r="AR6" s="254" t="s">
        <v>466</v>
      </c>
      <c r="AS6" s="254" t="s">
        <v>465</v>
      </c>
      <c r="AT6" s="254" t="s">
        <v>464</v>
      </c>
      <c r="AU6" s="254" t="s">
        <v>463</v>
      </c>
      <c r="AV6" s="254" t="s">
        <v>462</v>
      </c>
      <c r="AW6" s="254" t="s">
        <v>461</v>
      </c>
      <c r="AX6" s="254" t="s">
        <v>460</v>
      </c>
      <c r="AY6" s="254" t="s">
        <v>459</v>
      </c>
      <c r="AZ6" s="254" t="s">
        <v>458</v>
      </c>
      <c r="BA6" s="254" t="s">
        <v>457</v>
      </c>
      <c r="BB6" s="254" t="s">
        <v>456</v>
      </c>
      <c r="BC6" s="254" t="s">
        <v>455</v>
      </c>
      <c r="BD6" s="254" t="s">
        <v>454</v>
      </c>
      <c r="BE6" s="254" t="s">
        <v>453</v>
      </c>
      <c r="BF6" s="254" t="s">
        <v>452</v>
      </c>
      <c r="BG6" s="254" t="s">
        <v>451</v>
      </c>
      <c r="BH6" s="254" t="s">
        <v>450</v>
      </c>
      <c r="BI6" s="254" t="s">
        <v>449</v>
      </c>
      <c r="BJ6" s="254" t="s">
        <v>448</v>
      </c>
      <c r="BK6" s="254" t="s">
        <v>447</v>
      </c>
      <c r="BL6" s="254" t="s">
        <v>446</v>
      </c>
      <c r="BM6" s="254" t="s">
        <v>445</v>
      </c>
      <c r="BN6" s="254" t="s">
        <v>444</v>
      </c>
      <c r="BO6" s="254" t="s">
        <v>443</v>
      </c>
      <c r="BP6" s="253">
        <f>5*12</f>
        <v>60</v>
      </c>
      <c r="BQ6" s="217">
        <v>2024</v>
      </c>
      <c r="BR6" s="217">
        <f>+BQ6+1</f>
        <v>2025</v>
      </c>
      <c r="BS6" s="217">
        <f>+BR6+1</f>
        <v>2026</v>
      </c>
      <c r="BT6" s="217">
        <f>+BS6+1</f>
        <v>2027</v>
      </c>
      <c r="BU6" s="217">
        <f>+BT6+1</f>
        <v>2028</v>
      </c>
      <c r="BV6" s="217">
        <f>+BU6+1</f>
        <v>2029</v>
      </c>
    </row>
    <row r="7" spans="1:74">
      <c r="E7" s="219" t="s">
        <v>266</v>
      </c>
      <c r="F7" s="229" t="s">
        <v>519</v>
      </c>
      <c r="G7" s="229"/>
      <c r="H7" s="229"/>
      <c r="I7" s="229"/>
      <c r="J7" s="229"/>
      <c r="K7" s="229"/>
      <c r="L7" s="229"/>
      <c r="M7" s="229"/>
      <c r="N7" s="229"/>
      <c r="O7" s="229"/>
      <c r="P7" s="229"/>
      <c r="Q7" s="229"/>
      <c r="R7" s="229"/>
      <c r="S7" s="229"/>
      <c r="T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30"/>
    </row>
    <row r="8" spans="1:74" ht="13.5" customHeight="1">
      <c r="A8" s="225"/>
      <c r="B8" s="233" t="s">
        <v>442</v>
      </c>
      <c r="C8" s="235"/>
      <c r="D8" s="216"/>
      <c r="E8" s="226" t="s">
        <v>47</v>
      </c>
      <c r="F8" s="234">
        <f>+F10+F14+F21</f>
        <v>218000000</v>
      </c>
      <c r="G8" s="234"/>
      <c r="H8" s="233"/>
      <c r="I8" s="233"/>
      <c r="J8" s="233"/>
      <c r="K8" s="233"/>
      <c r="L8" s="233"/>
      <c r="M8" s="233"/>
      <c r="N8" s="233"/>
      <c r="O8" s="233"/>
      <c r="P8" s="233"/>
      <c r="Q8" s="233"/>
      <c r="R8" s="233"/>
      <c r="S8" s="229"/>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0"/>
      <c r="BQ8" s="225"/>
      <c r="BR8" s="225"/>
      <c r="BS8" s="225"/>
      <c r="BT8" s="225"/>
      <c r="BU8" s="225"/>
      <c r="BV8" s="225"/>
    </row>
    <row r="9" spans="1:74" outlineLevel="1">
      <c r="B9" s="229"/>
      <c r="C9" s="293"/>
      <c r="D9" s="216"/>
      <c r="E9" s="219" t="s">
        <v>388</v>
      </c>
      <c r="F9" s="237">
        <v>0</v>
      </c>
      <c r="G9" s="237"/>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row>
    <row r="10" spans="1:74" outlineLevel="1">
      <c r="A10" s="247"/>
      <c r="B10" s="240"/>
      <c r="C10" s="240" t="s">
        <v>520</v>
      </c>
      <c r="D10" s="216"/>
      <c r="E10" s="241" t="s">
        <v>513</v>
      </c>
      <c r="F10" s="242">
        <f>SUM(F11:F13)</f>
        <v>128000000</v>
      </c>
      <c r="G10" s="242"/>
      <c r="H10" s="240"/>
      <c r="I10" s="240"/>
      <c r="J10" s="240"/>
      <c r="K10" s="240"/>
      <c r="L10" s="240"/>
      <c r="M10" s="240"/>
      <c r="N10" s="240"/>
      <c r="O10" s="240"/>
      <c r="P10" s="240"/>
      <c r="Q10" s="240"/>
      <c r="R10" s="240"/>
      <c r="S10" s="229"/>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7"/>
      <c r="BR10" s="247"/>
      <c r="BS10" s="247"/>
      <c r="BT10" s="247"/>
      <c r="BU10" s="247"/>
      <c r="BV10" s="247"/>
    </row>
    <row r="11" spans="1:74" outlineLevel="2">
      <c r="A11" s="217">
        <v>1</v>
      </c>
      <c r="B11" s="218">
        <v>5000000</v>
      </c>
      <c r="C11" s="210">
        <v>20</v>
      </c>
      <c r="D11" s="243" t="s">
        <v>439</v>
      </c>
      <c r="E11" s="249" t="s">
        <v>441</v>
      </c>
      <c r="F11" s="216">
        <f>+B11*C11</f>
        <v>100000000</v>
      </c>
    </row>
    <row r="12" spans="1:74" outlineLevel="2">
      <c r="A12" s="217">
        <v>1</v>
      </c>
      <c r="B12" s="218">
        <v>800000</v>
      </c>
      <c r="C12" s="210">
        <v>20</v>
      </c>
      <c r="D12" s="243" t="s">
        <v>439</v>
      </c>
      <c r="E12" s="249" t="s">
        <v>440</v>
      </c>
      <c r="F12" s="216">
        <f>+C12*B12</f>
        <v>16000000</v>
      </c>
      <c r="T12" s="231"/>
      <c r="U12" s="231"/>
      <c r="V12" s="231"/>
      <c r="W12" s="231"/>
      <c r="X12" s="231"/>
      <c r="AI12" s="231"/>
      <c r="AJ12" s="231"/>
    </row>
    <row r="13" spans="1:74" outlineLevel="2">
      <c r="A13" s="217">
        <v>1</v>
      </c>
      <c r="B13" s="218">
        <v>600000</v>
      </c>
      <c r="C13" s="210">
        <v>20</v>
      </c>
      <c r="D13" s="243" t="s">
        <v>439</v>
      </c>
      <c r="E13" s="249" t="s">
        <v>438</v>
      </c>
      <c r="F13" s="216">
        <f>+C13*B13</f>
        <v>12000000</v>
      </c>
      <c r="T13" s="231"/>
      <c r="U13" s="231"/>
      <c r="V13" s="231"/>
      <c r="W13" s="231"/>
      <c r="X13" s="231"/>
      <c r="AI13" s="231"/>
      <c r="AJ13" s="231"/>
    </row>
    <row r="14" spans="1:74" outlineLevel="1">
      <c r="A14" s="247"/>
      <c r="B14" s="240"/>
      <c r="C14" s="294"/>
      <c r="D14" s="216"/>
      <c r="E14" s="241" t="s">
        <v>391</v>
      </c>
      <c r="F14" s="242">
        <f>SUM(F15:F16)</f>
        <v>45000000</v>
      </c>
      <c r="G14" s="242"/>
      <c r="H14" s="240"/>
      <c r="I14" s="240"/>
      <c r="J14" s="240"/>
      <c r="K14" s="240"/>
      <c r="L14" s="240"/>
      <c r="M14" s="240"/>
      <c r="N14" s="240"/>
      <c r="O14" s="240"/>
      <c r="P14" s="240"/>
      <c r="Q14" s="240"/>
      <c r="R14" s="240"/>
      <c r="S14" s="229"/>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7"/>
      <c r="BR14" s="247"/>
      <c r="BS14" s="247"/>
      <c r="BT14" s="247"/>
      <c r="BU14" s="247"/>
      <c r="BV14" s="247"/>
    </row>
    <row r="15" spans="1:74" outlineLevel="2">
      <c r="A15" s="217">
        <v>1</v>
      </c>
      <c r="B15" s="218">
        <v>2000000</v>
      </c>
      <c r="C15" s="210">
        <v>20</v>
      </c>
      <c r="D15" s="243" t="s">
        <v>436</v>
      </c>
      <c r="E15" s="249" t="s">
        <v>437</v>
      </c>
      <c r="F15" s="216">
        <f>+C15*B15</f>
        <v>40000000</v>
      </c>
      <c r="G15" s="221"/>
      <c r="U15" s="232"/>
      <c r="V15" s="232"/>
      <c r="W15" s="232"/>
      <c r="X15" s="232"/>
      <c r="AI15" s="232"/>
      <c r="AJ15" s="232"/>
    </row>
    <row r="16" spans="1:74" outlineLevel="2">
      <c r="A16" s="217">
        <v>1</v>
      </c>
      <c r="B16" s="218">
        <v>2500000</v>
      </c>
      <c r="C16" s="210">
        <v>2</v>
      </c>
      <c r="D16" s="243" t="s">
        <v>436</v>
      </c>
      <c r="E16" s="249" t="s">
        <v>435</v>
      </c>
      <c r="F16" s="216">
        <f>+C16*B16</f>
        <v>5000000</v>
      </c>
      <c r="U16" s="232"/>
      <c r="V16" s="232"/>
      <c r="W16" s="232"/>
      <c r="X16" s="232"/>
      <c r="AI16" s="232"/>
      <c r="AJ16" s="232"/>
    </row>
    <row r="17" spans="1:74" outlineLevel="1">
      <c r="A17" s="217"/>
      <c r="B17" s="218"/>
      <c r="D17" s="243"/>
      <c r="E17" s="219" t="s">
        <v>515</v>
      </c>
      <c r="F17" s="216">
        <v>0</v>
      </c>
      <c r="U17" s="232"/>
      <c r="V17" s="232"/>
      <c r="W17" s="232"/>
      <c r="X17" s="232"/>
      <c r="AI17" s="232"/>
      <c r="AJ17" s="232"/>
    </row>
    <row r="18" spans="1:74" outlineLevel="1">
      <c r="A18" s="217"/>
      <c r="B18" s="218"/>
      <c r="D18" s="243"/>
      <c r="E18" s="219" t="s">
        <v>516</v>
      </c>
      <c r="F18" s="216">
        <v>0</v>
      </c>
      <c r="U18" s="232"/>
      <c r="V18" s="232"/>
      <c r="W18" s="232"/>
      <c r="X18" s="232"/>
      <c r="AI18" s="232"/>
      <c r="AJ18" s="232"/>
    </row>
    <row r="19" spans="1:74" outlineLevel="1">
      <c r="A19" s="217"/>
      <c r="B19" s="218"/>
      <c r="D19" s="243"/>
      <c r="E19" s="219" t="s">
        <v>517</v>
      </c>
      <c r="F19" s="216">
        <v>0</v>
      </c>
      <c r="U19" s="232"/>
      <c r="V19" s="232"/>
      <c r="W19" s="232"/>
      <c r="X19" s="232"/>
      <c r="AI19" s="232"/>
      <c r="AJ19" s="232"/>
    </row>
    <row r="20" spans="1:74" outlineLevel="1">
      <c r="A20" s="217"/>
      <c r="B20" s="218"/>
      <c r="D20" s="243"/>
      <c r="E20" s="219" t="s">
        <v>518</v>
      </c>
      <c r="F20" s="216">
        <v>0</v>
      </c>
      <c r="U20" s="232"/>
      <c r="V20" s="232"/>
      <c r="W20" s="232"/>
      <c r="X20" s="232"/>
      <c r="AI20" s="232"/>
      <c r="AJ20" s="232"/>
    </row>
    <row r="21" spans="1:74" outlineLevel="1">
      <c r="A21" s="247"/>
      <c r="B21" s="240"/>
      <c r="C21" s="294"/>
      <c r="D21" s="216"/>
      <c r="E21" s="241" t="s">
        <v>514</v>
      </c>
      <c r="F21" s="242">
        <f>SUM(F22)</f>
        <v>45000000</v>
      </c>
      <c r="G21" s="242"/>
      <c r="H21" s="240"/>
      <c r="I21" s="240"/>
      <c r="J21" s="240"/>
      <c r="K21" s="240"/>
      <c r="L21" s="240"/>
      <c r="M21" s="240"/>
      <c r="N21" s="240"/>
      <c r="O21" s="240"/>
      <c r="P21" s="240"/>
      <c r="Q21" s="240"/>
      <c r="R21" s="240"/>
      <c r="S21" s="229"/>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7"/>
      <c r="BR21" s="247"/>
      <c r="BS21" s="247"/>
      <c r="BT21" s="247"/>
      <c r="BU21" s="247"/>
      <c r="BV21" s="247"/>
    </row>
    <row r="22" spans="1:74" outlineLevel="1">
      <c r="B22" s="218">
        <v>35000000</v>
      </c>
      <c r="C22" s="210">
        <v>1</v>
      </c>
      <c r="D22" s="243" t="s">
        <v>434</v>
      </c>
      <c r="E22" s="212" t="s">
        <v>433</v>
      </c>
      <c r="F22" s="216">
        <v>45000000</v>
      </c>
      <c r="T22" s="221">
        <v>1248000000</v>
      </c>
      <c r="U22" s="221">
        <v>1323878400</v>
      </c>
      <c r="V22" s="221">
        <v>1404370206.72</v>
      </c>
      <c r="W22" s="221">
        <v>1489755915.2885759</v>
      </c>
      <c r="X22" s="221">
        <v>1580333074.9381216</v>
      </c>
    </row>
    <row r="23" spans="1:74">
      <c r="D23" s="284"/>
      <c r="E23" s="252" t="s">
        <v>153</v>
      </c>
      <c r="F23" s="250"/>
      <c r="G23" s="251">
        <f t="shared" ref="G23:R23" si="2">+G24+G27</f>
        <v>104000000</v>
      </c>
      <c r="H23" s="251">
        <f t="shared" si="2"/>
        <v>104000000</v>
      </c>
      <c r="I23" s="251">
        <f t="shared" si="2"/>
        <v>104000000</v>
      </c>
      <c r="J23" s="251">
        <f t="shared" si="2"/>
        <v>104000000</v>
      </c>
      <c r="K23" s="251">
        <f t="shared" si="2"/>
        <v>104000000</v>
      </c>
      <c r="L23" s="251">
        <f t="shared" si="2"/>
        <v>104000000</v>
      </c>
      <c r="M23" s="251">
        <f t="shared" si="2"/>
        <v>104000000</v>
      </c>
      <c r="N23" s="251">
        <f t="shared" si="2"/>
        <v>104000000</v>
      </c>
      <c r="O23" s="251">
        <f t="shared" si="2"/>
        <v>104000000</v>
      </c>
      <c r="P23" s="251">
        <f t="shared" si="2"/>
        <v>104000000</v>
      </c>
      <c r="Q23" s="251">
        <f t="shared" si="2"/>
        <v>104000000</v>
      </c>
      <c r="R23" s="251">
        <f t="shared" si="2"/>
        <v>104000000</v>
      </c>
      <c r="S23" s="284"/>
      <c r="T23" s="251">
        <f>SUM(G23:R23)</f>
        <v>1248000000</v>
      </c>
      <c r="U23" s="251">
        <f>+T23*U4</f>
        <v>1285440000</v>
      </c>
      <c r="V23" s="251">
        <f t="shared" ref="V23:X23" si="3">+U23*V4</f>
        <v>1324003200</v>
      </c>
      <c r="W23" s="251">
        <f t="shared" si="3"/>
        <v>1363723296</v>
      </c>
      <c r="X23" s="251">
        <f t="shared" si="3"/>
        <v>1404634994.8800001</v>
      </c>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Q23" s="250" t="s">
        <v>89</v>
      </c>
      <c r="BR23" s="250"/>
      <c r="BS23" s="250"/>
      <c r="BT23" s="250"/>
      <c r="BU23" s="250"/>
      <c r="BV23" s="250"/>
    </row>
    <row r="24" spans="1:74" hidden="1" outlineLevel="1">
      <c r="D24" s="216"/>
      <c r="E24" s="241" t="s">
        <v>432</v>
      </c>
      <c r="F24" s="247"/>
      <c r="G24" s="248">
        <f t="shared" ref="G24:R24" si="4">+G26*G25</f>
        <v>104000000</v>
      </c>
      <c r="H24" s="248">
        <f t="shared" si="4"/>
        <v>104000000</v>
      </c>
      <c r="I24" s="248">
        <f t="shared" si="4"/>
        <v>104000000</v>
      </c>
      <c r="J24" s="248">
        <f t="shared" si="4"/>
        <v>104000000</v>
      </c>
      <c r="K24" s="248">
        <f t="shared" si="4"/>
        <v>104000000</v>
      </c>
      <c r="L24" s="248">
        <f t="shared" si="4"/>
        <v>104000000</v>
      </c>
      <c r="M24" s="248">
        <f t="shared" si="4"/>
        <v>104000000</v>
      </c>
      <c r="N24" s="248">
        <f t="shared" si="4"/>
        <v>104000000</v>
      </c>
      <c r="O24" s="248">
        <f t="shared" si="4"/>
        <v>104000000</v>
      </c>
      <c r="P24" s="248">
        <f t="shared" si="4"/>
        <v>104000000</v>
      </c>
      <c r="Q24" s="248">
        <f t="shared" si="4"/>
        <v>104000000</v>
      </c>
      <c r="R24" s="248">
        <f t="shared" si="4"/>
        <v>104000000</v>
      </c>
      <c r="S24" s="285"/>
      <c r="T24" s="248">
        <f>SUM(G24:R24)</f>
        <v>1248000000</v>
      </c>
      <c r="U24" s="248">
        <f>+U25*U26</f>
        <v>1285440000</v>
      </c>
      <c r="V24" s="248">
        <f>+V25*V26</f>
        <v>1324003200</v>
      </c>
      <c r="W24" s="248">
        <f t="shared" ref="W24:X24" si="5">+W25*W26</f>
        <v>1363723296</v>
      </c>
      <c r="X24" s="248">
        <f t="shared" si="5"/>
        <v>1404634994.8800001</v>
      </c>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Q24" s="247"/>
      <c r="BR24" s="247"/>
      <c r="BS24" s="247"/>
      <c r="BT24" s="247"/>
      <c r="BU24" s="247"/>
      <c r="BV24" s="247"/>
    </row>
    <row r="25" spans="1:74" hidden="1" outlineLevel="1">
      <c r="D25" s="216"/>
      <c r="E25" s="249" t="s">
        <v>431</v>
      </c>
      <c r="G25" s="281">
        <v>8</v>
      </c>
      <c r="H25" s="210">
        <f t="shared" ref="H25:R25" si="6">+G25</f>
        <v>8</v>
      </c>
      <c r="I25" s="210">
        <f t="shared" si="6"/>
        <v>8</v>
      </c>
      <c r="J25" s="210">
        <f t="shared" si="6"/>
        <v>8</v>
      </c>
      <c r="K25" s="210">
        <f t="shared" si="6"/>
        <v>8</v>
      </c>
      <c r="L25" s="210">
        <f t="shared" si="6"/>
        <v>8</v>
      </c>
      <c r="M25" s="210">
        <f t="shared" si="6"/>
        <v>8</v>
      </c>
      <c r="N25" s="210">
        <f t="shared" si="6"/>
        <v>8</v>
      </c>
      <c r="O25" s="210">
        <f t="shared" si="6"/>
        <v>8</v>
      </c>
      <c r="P25" s="210">
        <f t="shared" si="6"/>
        <v>8</v>
      </c>
      <c r="Q25" s="210">
        <f t="shared" si="6"/>
        <v>8</v>
      </c>
      <c r="R25" s="210">
        <f t="shared" si="6"/>
        <v>8</v>
      </c>
      <c r="T25" s="210">
        <f>+AVERAGE(G25:R25)</f>
        <v>8</v>
      </c>
      <c r="U25" s="210">
        <f>+T25</f>
        <v>8</v>
      </c>
      <c r="V25" s="210">
        <f t="shared" ref="V25:X25" si="7">+U25</f>
        <v>8</v>
      </c>
      <c r="W25" s="210">
        <f t="shared" si="7"/>
        <v>8</v>
      </c>
      <c r="X25" s="210">
        <f t="shared" si="7"/>
        <v>8</v>
      </c>
    </row>
    <row r="26" spans="1:74" hidden="1" outlineLevel="1">
      <c r="D26" s="216"/>
      <c r="E26" s="249" t="s">
        <v>430</v>
      </c>
      <c r="G26" s="282">
        <v>13000000</v>
      </c>
      <c r="H26" s="221">
        <f t="shared" ref="H26:R26" si="8">+G26</f>
        <v>13000000</v>
      </c>
      <c r="I26" s="221">
        <f t="shared" si="8"/>
        <v>13000000</v>
      </c>
      <c r="J26" s="221">
        <f t="shared" si="8"/>
        <v>13000000</v>
      </c>
      <c r="K26" s="221">
        <f t="shared" si="8"/>
        <v>13000000</v>
      </c>
      <c r="L26" s="221">
        <f t="shared" si="8"/>
        <v>13000000</v>
      </c>
      <c r="M26" s="221">
        <f t="shared" si="8"/>
        <v>13000000</v>
      </c>
      <c r="N26" s="221">
        <f t="shared" si="8"/>
        <v>13000000</v>
      </c>
      <c r="O26" s="221">
        <f t="shared" si="8"/>
        <v>13000000</v>
      </c>
      <c r="P26" s="221">
        <f t="shared" si="8"/>
        <v>13000000</v>
      </c>
      <c r="Q26" s="221">
        <f t="shared" si="8"/>
        <v>13000000</v>
      </c>
      <c r="R26" s="221">
        <f t="shared" si="8"/>
        <v>13000000</v>
      </c>
      <c r="S26" s="285"/>
      <c r="T26" s="221">
        <f>SUM(G26:R26)</f>
        <v>156000000</v>
      </c>
      <c r="U26" s="221">
        <f>+T26*U4</f>
        <v>160680000</v>
      </c>
      <c r="V26" s="221">
        <f t="shared" ref="V26:X26" si="9">+U26*V4</f>
        <v>165500400</v>
      </c>
      <c r="W26" s="221">
        <f t="shared" si="9"/>
        <v>170465412</v>
      </c>
      <c r="X26" s="221">
        <f t="shared" si="9"/>
        <v>175579374.36000001</v>
      </c>
    </row>
    <row r="27" spans="1:74" hidden="1" outlineLevel="1">
      <c r="D27" s="216"/>
      <c r="E27" s="241" t="s">
        <v>429</v>
      </c>
      <c r="F27" s="247"/>
      <c r="G27" s="248">
        <v>0</v>
      </c>
      <c r="H27" s="248">
        <v>0</v>
      </c>
      <c r="I27" s="248">
        <v>0</v>
      </c>
      <c r="J27" s="248">
        <v>0</v>
      </c>
      <c r="K27" s="248">
        <v>0</v>
      </c>
      <c r="L27" s="248">
        <v>0</v>
      </c>
      <c r="M27" s="248">
        <v>0</v>
      </c>
      <c r="N27" s="248">
        <v>0</v>
      </c>
      <c r="O27" s="248">
        <v>0</v>
      </c>
      <c r="P27" s="248">
        <v>0</v>
      </c>
      <c r="Q27" s="248">
        <v>0</v>
      </c>
      <c r="R27" s="248">
        <v>0</v>
      </c>
      <c r="S27" s="285"/>
      <c r="T27" s="248">
        <f>SUM(G27:R27)</f>
        <v>0</v>
      </c>
      <c r="U27" s="248"/>
      <c r="V27" s="248"/>
      <c r="W27" s="248"/>
      <c r="X27" s="248"/>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Q27" s="247"/>
      <c r="BR27" s="247"/>
      <c r="BS27" s="247"/>
      <c r="BT27" s="247"/>
      <c r="BU27" s="247"/>
      <c r="BV27" s="247"/>
    </row>
    <row r="28" spans="1:74" collapsed="1">
      <c r="D28" s="216"/>
      <c r="E28" s="226" t="s">
        <v>428</v>
      </c>
      <c r="F28" s="233"/>
      <c r="G28" s="234">
        <f t="shared" ref="G28:R28" si="10">+G31</f>
        <v>10000000</v>
      </c>
      <c r="H28" s="234">
        <f t="shared" si="10"/>
        <v>10000000</v>
      </c>
      <c r="I28" s="234">
        <f t="shared" si="10"/>
        <v>10000000</v>
      </c>
      <c r="J28" s="234">
        <f t="shared" si="10"/>
        <v>10000000</v>
      </c>
      <c r="K28" s="234">
        <f t="shared" si="10"/>
        <v>10000000</v>
      </c>
      <c r="L28" s="234">
        <f t="shared" si="10"/>
        <v>10000000</v>
      </c>
      <c r="M28" s="234">
        <f t="shared" si="10"/>
        <v>10000000</v>
      </c>
      <c r="N28" s="234">
        <f t="shared" si="10"/>
        <v>10000000</v>
      </c>
      <c r="O28" s="234">
        <f t="shared" si="10"/>
        <v>10000000</v>
      </c>
      <c r="P28" s="234">
        <f t="shared" si="10"/>
        <v>10000000</v>
      </c>
      <c r="Q28" s="234">
        <f t="shared" si="10"/>
        <v>10000000</v>
      </c>
      <c r="R28" s="234">
        <f t="shared" si="10"/>
        <v>10000000</v>
      </c>
      <c r="S28" s="237"/>
      <c r="T28" s="234">
        <f>SUM(G28:R28)</f>
        <v>120000000</v>
      </c>
      <c r="U28" s="234">
        <f>+T28*(1+U3)</f>
        <v>121200000</v>
      </c>
      <c r="V28" s="234">
        <f>+U28*(1+V3)</f>
        <v>122412000</v>
      </c>
      <c r="W28" s="234">
        <f>+V28*(1+W3)</f>
        <v>123636120</v>
      </c>
      <c r="X28" s="234">
        <f>+W28*(1+X3)</f>
        <v>124872481.2</v>
      </c>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0"/>
      <c r="BQ28" s="225"/>
      <c r="BR28" s="225"/>
      <c r="BS28" s="225"/>
      <c r="BT28" s="225"/>
      <c r="BU28" s="225"/>
      <c r="BV28" s="225"/>
    </row>
    <row r="29" spans="1:74" hidden="1" outlineLevel="1">
      <c r="D29" s="216"/>
      <c r="E29" s="219" t="s">
        <v>267</v>
      </c>
      <c r="F29" s="229"/>
      <c r="G29" s="243">
        <f t="shared" ref="G29:R29" si="11">+G25*5</f>
        <v>40</v>
      </c>
      <c r="H29" s="243">
        <f t="shared" si="11"/>
        <v>40</v>
      </c>
      <c r="I29" s="243">
        <f t="shared" si="11"/>
        <v>40</v>
      </c>
      <c r="J29" s="243">
        <f t="shared" si="11"/>
        <v>40</v>
      </c>
      <c r="K29" s="243">
        <f t="shared" si="11"/>
        <v>40</v>
      </c>
      <c r="L29" s="243">
        <f t="shared" si="11"/>
        <v>40</v>
      </c>
      <c r="M29" s="243">
        <f t="shared" si="11"/>
        <v>40</v>
      </c>
      <c r="N29" s="243">
        <f t="shared" si="11"/>
        <v>40</v>
      </c>
      <c r="O29" s="243">
        <f t="shared" si="11"/>
        <v>40</v>
      </c>
      <c r="P29" s="243">
        <f t="shared" si="11"/>
        <v>40</v>
      </c>
      <c r="Q29" s="243">
        <f t="shared" si="11"/>
        <v>40</v>
      </c>
      <c r="R29" s="243">
        <f t="shared" si="11"/>
        <v>40</v>
      </c>
      <c r="S29" s="243"/>
      <c r="T29" s="243">
        <f>+T25*5</f>
        <v>40</v>
      </c>
      <c r="U29" s="243">
        <f>+U25*5</f>
        <v>40</v>
      </c>
      <c r="V29" s="243">
        <f>+V25*5</f>
        <v>40</v>
      </c>
      <c r="W29" s="243">
        <f>+W25*5</f>
        <v>40</v>
      </c>
      <c r="X29" s="243">
        <f>+X25*5</f>
        <v>40</v>
      </c>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30"/>
    </row>
    <row r="30" spans="1:74" hidden="1" outlineLevel="1">
      <c r="B30" s="228"/>
      <c r="D30" s="216"/>
      <c r="E30" s="219" t="s">
        <v>427</v>
      </c>
      <c r="F30" s="229"/>
      <c r="G30" s="232">
        <f>+G31/G24</f>
        <v>9.6153846153846159E-2</v>
      </c>
      <c r="H30" s="232">
        <f t="shared" ref="H30:R30" si="12">+G30</f>
        <v>9.6153846153846159E-2</v>
      </c>
      <c r="I30" s="232">
        <f t="shared" si="12"/>
        <v>9.6153846153846159E-2</v>
      </c>
      <c r="J30" s="232">
        <f t="shared" si="12"/>
        <v>9.6153846153846159E-2</v>
      </c>
      <c r="K30" s="232">
        <f t="shared" si="12"/>
        <v>9.6153846153846159E-2</v>
      </c>
      <c r="L30" s="232">
        <f t="shared" si="12"/>
        <v>9.6153846153846159E-2</v>
      </c>
      <c r="M30" s="232">
        <f t="shared" si="12"/>
        <v>9.6153846153846159E-2</v>
      </c>
      <c r="N30" s="232">
        <f t="shared" si="12"/>
        <v>9.6153846153846159E-2</v>
      </c>
      <c r="O30" s="232">
        <f t="shared" si="12"/>
        <v>9.6153846153846159E-2</v>
      </c>
      <c r="P30" s="232">
        <f t="shared" si="12"/>
        <v>9.6153846153846159E-2</v>
      </c>
      <c r="Q30" s="232">
        <f t="shared" si="12"/>
        <v>9.6153846153846159E-2</v>
      </c>
      <c r="R30" s="232">
        <f t="shared" si="12"/>
        <v>9.6153846153846159E-2</v>
      </c>
      <c r="S30" s="286"/>
      <c r="T30" s="232"/>
      <c r="U30" s="232"/>
      <c r="V30" s="232"/>
      <c r="W30" s="232"/>
      <c r="X30" s="232"/>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row>
    <row r="31" spans="1:74" hidden="1" outlineLevel="1">
      <c r="B31" s="216"/>
      <c r="D31" s="284"/>
      <c r="E31" s="219"/>
      <c r="F31" s="229"/>
      <c r="G31" s="221">
        <v>10000000</v>
      </c>
      <c r="H31" s="221">
        <f t="shared" ref="H31:R31" si="13">+H30*H23</f>
        <v>10000000</v>
      </c>
      <c r="I31" s="221">
        <f t="shared" si="13"/>
        <v>10000000</v>
      </c>
      <c r="J31" s="221">
        <f t="shared" si="13"/>
        <v>10000000</v>
      </c>
      <c r="K31" s="221">
        <f t="shared" si="13"/>
        <v>10000000</v>
      </c>
      <c r="L31" s="221">
        <f t="shared" si="13"/>
        <v>10000000</v>
      </c>
      <c r="M31" s="221">
        <f t="shared" si="13"/>
        <v>10000000</v>
      </c>
      <c r="N31" s="221">
        <f t="shared" si="13"/>
        <v>10000000</v>
      </c>
      <c r="O31" s="221">
        <f t="shared" si="13"/>
        <v>10000000</v>
      </c>
      <c r="P31" s="221">
        <f t="shared" si="13"/>
        <v>10000000</v>
      </c>
      <c r="Q31" s="221">
        <f t="shared" si="13"/>
        <v>10000000</v>
      </c>
      <c r="R31" s="221">
        <f t="shared" si="13"/>
        <v>10000000</v>
      </c>
      <c r="S31" s="285"/>
      <c r="T31" s="221"/>
      <c r="U31" s="221"/>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row>
    <row r="32" spans="1:74" collapsed="1">
      <c r="B32" s="216">
        <f>+C55</f>
        <v>3060000</v>
      </c>
      <c r="D32" s="216"/>
      <c r="E32" s="226" t="s">
        <v>512</v>
      </c>
      <c r="F32" s="233"/>
      <c r="G32" s="234">
        <f>+G23-G28</f>
        <v>94000000</v>
      </c>
      <c r="H32" s="234">
        <f t="shared" ref="H32:R32" si="14">+H23-H28</f>
        <v>94000000</v>
      </c>
      <c r="I32" s="234">
        <f t="shared" si="14"/>
        <v>94000000</v>
      </c>
      <c r="J32" s="234">
        <f t="shared" si="14"/>
        <v>94000000</v>
      </c>
      <c r="K32" s="234">
        <f t="shared" si="14"/>
        <v>94000000</v>
      </c>
      <c r="L32" s="234">
        <f t="shared" si="14"/>
        <v>94000000</v>
      </c>
      <c r="M32" s="234">
        <f t="shared" si="14"/>
        <v>94000000</v>
      </c>
      <c r="N32" s="234">
        <f t="shared" si="14"/>
        <v>94000000</v>
      </c>
      <c r="O32" s="234">
        <f t="shared" si="14"/>
        <v>94000000</v>
      </c>
      <c r="P32" s="234">
        <f t="shared" si="14"/>
        <v>94000000</v>
      </c>
      <c r="Q32" s="234">
        <f t="shared" si="14"/>
        <v>94000000</v>
      </c>
      <c r="R32" s="234">
        <f t="shared" si="14"/>
        <v>94000000</v>
      </c>
      <c r="S32" s="229"/>
      <c r="T32" s="234">
        <f>+T23-T28</f>
        <v>1128000000</v>
      </c>
      <c r="U32" s="234">
        <f>+U23-U28</f>
        <v>1164240000</v>
      </c>
      <c r="V32" s="234">
        <f>+V23-V28</f>
        <v>1201591200</v>
      </c>
      <c r="W32" s="234">
        <f>+W23-W28</f>
        <v>1240087176</v>
      </c>
      <c r="X32" s="234">
        <f>+X23-X28</f>
        <v>1279762513.6800001</v>
      </c>
      <c r="Y32" s="233"/>
      <c r="Z32" s="233"/>
      <c r="AA32" s="233"/>
      <c r="AB32" s="233"/>
      <c r="AC32" s="233"/>
      <c r="AD32" s="233"/>
      <c r="AE32" s="233"/>
      <c r="AF32" s="233"/>
      <c r="AG32" s="233"/>
      <c r="AH32" s="233"/>
      <c r="AI32" s="233"/>
      <c r="AJ32" s="233"/>
      <c r="AK32" s="233"/>
      <c r="AL32" s="233"/>
      <c r="AM32" s="233"/>
      <c r="AN32" s="233"/>
      <c r="AO32" s="233"/>
      <c r="AP32" s="233"/>
      <c r="AQ32" s="233"/>
      <c r="AR32" s="233"/>
      <c r="AS32" s="233"/>
      <c r="AT32" s="233"/>
      <c r="AU32" s="233"/>
      <c r="AV32" s="233"/>
      <c r="AW32" s="233"/>
      <c r="AX32" s="233"/>
      <c r="AY32" s="233"/>
      <c r="AZ32" s="233"/>
      <c r="BA32" s="233"/>
      <c r="BB32" s="233"/>
      <c r="BC32" s="233"/>
      <c r="BD32" s="233"/>
      <c r="BE32" s="233"/>
      <c r="BF32" s="233"/>
      <c r="BG32" s="233"/>
      <c r="BH32" s="233"/>
      <c r="BI32" s="233"/>
      <c r="BJ32" s="233"/>
      <c r="BK32" s="233"/>
      <c r="BL32" s="233"/>
      <c r="BM32" s="233"/>
      <c r="BN32" s="233"/>
      <c r="BO32" s="233"/>
      <c r="BP32" s="230"/>
      <c r="BQ32" s="225"/>
      <c r="BR32" s="225"/>
      <c r="BS32" s="225"/>
      <c r="BT32" s="225"/>
      <c r="BU32" s="225"/>
      <c r="BV32" s="225"/>
    </row>
    <row r="33" spans="1:74">
      <c r="B33" s="216">
        <f>+C56*4</f>
        <v>9180000</v>
      </c>
      <c r="D33" s="284"/>
      <c r="E33" s="246" t="s">
        <v>259</v>
      </c>
      <c r="F33" s="244"/>
      <c r="G33" s="245">
        <f>+G45+G57+G66</f>
        <v>67156000</v>
      </c>
      <c r="H33" s="245">
        <f t="shared" ref="H33:R33" si="15">+H45+H57+H66</f>
        <v>67156000</v>
      </c>
      <c r="I33" s="245">
        <f t="shared" si="15"/>
        <v>67156000</v>
      </c>
      <c r="J33" s="245">
        <f t="shared" si="15"/>
        <v>67156000</v>
      </c>
      <c r="K33" s="245">
        <f t="shared" si="15"/>
        <v>67156000</v>
      </c>
      <c r="L33" s="245">
        <f t="shared" si="15"/>
        <v>67156000</v>
      </c>
      <c r="M33" s="245">
        <f t="shared" si="15"/>
        <v>67156000</v>
      </c>
      <c r="N33" s="245">
        <f t="shared" si="15"/>
        <v>67156000</v>
      </c>
      <c r="O33" s="245">
        <f t="shared" si="15"/>
        <v>67156000</v>
      </c>
      <c r="P33" s="245">
        <f t="shared" si="15"/>
        <v>67156000</v>
      </c>
      <c r="Q33" s="245">
        <f t="shared" si="15"/>
        <v>67156000</v>
      </c>
      <c r="R33" s="245">
        <f t="shared" si="15"/>
        <v>67156000</v>
      </c>
      <c r="S33" s="284"/>
      <c r="T33" s="245">
        <f>+T45+T57+T66</f>
        <v>805872000</v>
      </c>
      <c r="U33" s="245">
        <f>+U45+U57+U67</f>
        <v>823909440</v>
      </c>
      <c r="V33" s="245">
        <f t="shared" ref="V33:X33" si="16">+V45+V57+V66</f>
        <v>842499628.79999995</v>
      </c>
      <c r="W33" s="245">
        <f t="shared" si="16"/>
        <v>861672821.37599993</v>
      </c>
      <c r="X33" s="245">
        <f t="shared" si="16"/>
        <v>881461797.80352008</v>
      </c>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Q33" s="244"/>
      <c r="BR33" s="244"/>
      <c r="BS33" s="244"/>
      <c r="BT33" s="244"/>
      <c r="BU33" s="244"/>
      <c r="BV33" s="244"/>
    </row>
    <row r="34" spans="1:74" hidden="1" outlineLevel="1">
      <c r="B34" s="284">
        <f>SUM(B32:B33)</f>
        <v>12240000</v>
      </c>
      <c r="D34" s="216"/>
      <c r="E34" s="226" t="s">
        <v>426</v>
      </c>
      <c r="F34" s="233"/>
      <c r="G34" s="233">
        <f>SUM(G35:G44)</f>
        <v>10</v>
      </c>
      <c r="H34" s="233">
        <f t="shared" ref="H34:T34" si="17">SUM(H35:H44)</f>
        <v>10</v>
      </c>
      <c r="I34" s="233">
        <f t="shared" si="17"/>
        <v>10</v>
      </c>
      <c r="J34" s="233">
        <f t="shared" si="17"/>
        <v>10</v>
      </c>
      <c r="K34" s="233">
        <f t="shared" si="17"/>
        <v>10</v>
      </c>
      <c r="L34" s="233">
        <f t="shared" si="17"/>
        <v>10</v>
      </c>
      <c r="M34" s="233">
        <f t="shared" si="17"/>
        <v>10</v>
      </c>
      <c r="N34" s="233">
        <f t="shared" si="17"/>
        <v>10</v>
      </c>
      <c r="O34" s="233">
        <f t="shared" si="17"/>
        <v>10</v>
      </c>
      <c r="P34" s="233">
        <f t="shared" si="17"/>
        <v>10</v>
      </c>
      <c r="Q34" s="233">
        <f t="shared" si="17"/>
        <v>10</v>
      </c>
      <c r="R34" s="233">
        <f t="shared" si="17"/>
        <v>10</v>
      </c>
      <c r="S34" s="229"/>
      <c r="T34" s="233">
        <f t="shared" si="17"/>
        <v>10</v>
      </c>
      <c r="U34" s="233">
        <f t="shared" ref="U34:X34" si="18">SUM(U35:U44)</f>
        <v>10</v>
      </c>
      <c r="V34" s="233">
        <f t="shared" si="18"/>
        <v>10</v>
      </c>
      <c r="W34" s="233">
        <f t="shared" si="18"/>
        <v>10</v>
      </c>
      <c r="X34" s="233">
        <f t="shared" si="18"/>
        <v>10</v>
      </c>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3"/>
      <c r="BF34" s="233"/>
      <c r="BG34" s="233"/>
      <c r="BH34" s="233"/>
      <c r="BI34" s="233"/>
      <c r="BJ34" s="233"/>
      <c r="BK34" s="233"/>
      <c r="BL34" s="233"/>
      <c r="BM34" s="233"/>
      <c r="BN34" s="233"/>
      <c r="BO34" s="233"/>
      <c r="BP34" s="230"/>
      <c r="BQ34" s="225"/>
      <c r="BR34" s="225"/>
      <c r="BS34" s="225"/>
      <c r="BT34" s="225"/>
      <c r="BU34" s="225"/>
      <c r="BV34" s="225"/>
    </row>
    <row r="35" spans="1:74" hidden="1" outlineLevel="1">
      <c r="C35" s="219"/>
      <c r="D35" s="216" t="s">
        <v>538</v>
      </c>
      <c r="E35" s="219" t="s">
        <v>424</v>
      </c>
      <c r="F35" s="229"/>
      <c r="G35" s="217">
        <v>1</v>
      </c>
      <c r="H35" s="217">
        <f t="shared" ref="H35:R35" si="19">+G35</f>
        <v>1</v>
      </c>
      <c r="I35" s="217">
        <f t="shared" si="19"/>
        <v>1</v>
      </c>
      <c r="J35" s="217">
        <f t="shared" si="19"/>
        <v>1</v>
      </c>
      <c r="K35" s="217">
        <f t="shared" si="19"/>
        <v>1</v>
      </c>
      <c r="L35" s="217">
        <f t="shared" si="19"/>
        <v>1</v>
      </c>
      <c r="M35" s="217">
        <f t="shared" si="19"/>
        <v>1</v>
      </c>
      <c r="N35" s="217">
        <f t="shared" si="19"/>
        <v>1</v>
      </c>
      <c r="O35" s="217">
        <f t="shared" si="19"/>
        <v>1</v>
      </c>
      <c r="P35" s="217">
        <f t="shared" si="19"/>
        <v>1</v>
      </c>
      <c r="Q35" s="217">
        <f t="shared" si="19"/>
        <v>1</v>
      </c>
      <c r="R35" s="217">
        <f t="shared" si="19"/>
        <v>1</v>
      </c>
      <c r="S35" s="217"/>
      <c r="T35" s="217">
        <f t="shared" ref="T35:T44" si="20">+R35</f>
        <v>1</v>
      </c>
      <c r="U35" s="217">
        <f>+T35</f>
        <v>1</v>
      </c>
      <c r="V35" s="217">
        <f>+U35</f>
        <v>1</v>
      </c>
      <c r="W35" s="217">
        <f t="shared" ref="W35:X35" si="21">+V35</f>
        <v>1</v>
      </c>
      <c r="X35" s="217">
        <f t="shared" si="21"/>
        <v>1</v>
      </c>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30"/>
    </row>
    <row r="36" spans="1:74" hidden="1" outlineLevel="1">
      <c r="D36" s="216" t="s">
        <v>538</v>
      </c>
      <c r="E36" s="219" t="s">
        <v>536</v>
      </c>
      <c r="F36" s="229"/>
      <c r="G36" s="217">
        <v>1</v>
      </c>
      <c r="H36" s="217">
        <f t="shared" ref="H36:R36" si="22">+G36</f>
        <v>1</v>
      </c>
      <c r="I36" s="217">
        <f t="shared" si="22"/>
        <v>1</v>
      </c>
      <c r="J36" s="217">
        <f t="shared" si="22"/>
        <v>1</v>
      </c>
      <c r="K36" s="217">
        <f t="shared" si="22"/>
        <v>1</v>
      </c>
      <c r="L36" s="217">
        <f t="shared" si="22"/>
        <v>1</v>
      </c>
      <c r="M36" s="217">
        <f t="shared" si="22"/>
        <v>1</v>
      </c>
      <c r="N36" s="217">
        <f t="shared" si="22"/>
        <v>1</v>
      </c>
      <c r="O36" s="217">
        <f t="shared" si="22"/>
        <v>1</v>
      </c>
      <c r="P36" s="217">
        <f t="shared" si="22"/>
        <v>1</v>
      </c>
      <c r="Q36" s="217">
        <f t="shared" si="22"/>
        <v>1</v>
      </c>
      <c r="R36" s="217">
        <f t="shared" si="22"/>
        <v>1</v>
      </c>
      <c r="S36" s="217"/>
      <c r="T36" s="217">
        <f t="shared" si="20"/>
        <v>1</v>
      </c>
      <c r="U36" s="217">
        <f t="shared" ref="U36:V44" si="23">+T36</f>
        <v>1</v>
      </c>
      <c r="V36" s="217">
        <f t="shared" si="23"/>
        <v>1</v>
      </c>
      <c r="W36" s="217">
        <f t="shared" ref="W36:X36" si="24">+V36</f>
        <v>1</v>
      </c>
      <c r="X36" s="217">
        <f t="shared" si="24"/>
        <v>1</v>
      </c>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30"/>
    </row>
    <row r="37" spans="1:74" hidden="1" outlineLevel="1">
      <c r="D37" s="216" t="s">
        <v>538</v>
      </c>
      <c r="E37" s="219" t="s">
        <v>423</v>
      </c>
      <c r="F37" s="229"/>
      <c r="G37" s="217">
        <v>1</v>
      </c>
      <c r="H37" s="217">
        <f t="shared" ref="H37:R37" si="25">+G37</f>
        <v>1</v>
      </c>
      <c r="I37" s="217">
        <f t="shared" si="25"/>
        <v>1</v>
      </c>
      <c r="J37" s="217">
        <f t="shared" si="25"/>
        <v>1</v>
      </c>
      <c r="K37" s="217">
        <f t="shared" si="25"/>
        <v>1</v>
      </c>
      <c r="L37" s="217">
        <f t="shared" si="25"/>
        <v>1</v>
      </c>
      <c r="M37" s="217">
        <f t="shared" si="25"/>
        <v>1</v>
      </c>
      <c r="N37" s="217">
        <f t="shared" si="25"/>
        <v>1</v>
      </c>
      <c r="O37" s="217">
        <f t="shared" si="25"/>
        <v>1</v>
      </c>
      <c r="P37" s="217">
        <f t="shared" si="25"/>
        <v>1</v>
      </c>
      <c r="Q37" s="217">
        <f t="shared" si="25"/>
        <v>1</v>
      </c>
      <c r="R37" s="217">
        <f t="shared" si="25"/>
        <v>1</v>
      </c>
      <c r="S37" s="217"/>
      <c r="T37" s="217">
        <f t="shared" si="20"/>
        <v>1</v>
      </c>
      <c r="U37" s="217">
        <f t="shared" si="23"/>
        <v>1</v>
      </c>
      <c r="V37" s="217">
        <f t="shared" si="23"/>
        <v>1</v>
      </c>
      <c r="W37" s="217">
        <f t="shared" ref="W37:X37" si="26">+V37</f>
        <v>1</v>
      </c>
      <c r="X37" s="217">
        <f t="shared" si="26"/>
        <v>1</v>
      </c>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30"/>
    </row>
    <row r="38" spans="1:74" hidden="1" outlineLevel="1">
      <c r="D38" s="216" t="s">
        <v>538</v>
      </c>
      <c r="E38" s="219" t="s">
        <v>320</v>
      </c>
      <c r="F38" s="229"/>
      <c r="G38" s="217">
        <v>1</v>
      </c>
      <c r="H38" s="217">
        <f t="shared" ref="H38:R38" si="27">+G38</f>
        <v>1</v>
      </c>
      <c r="I38" s="217">
        <f t="shared" si="27"/>
        <v>1</v>
      </c>
      <c r="J38" s="217">
        <f t="shared" si="27"/>
        <v>1</v>
      </c>
      <c r="K38" s="217">
        <f t="shared" si="27"/>
        <v>1</v>
      </c>
      <c r="L38" s="217">
        <f t="shared" si="27"/>
        <v>1</v>
      </c>
      <c r="M38" s="217">
        <f t="shared" si="27"/>
        <v>1</v>
      </c>
      <c r="N38" s="217">
        <f t="shared" si="27"/>
        <v>1</v>
      </c>
      <c r="O38" s="217">
        <f t="shared" si="27"/>
        <v>1</v>
      </c>
      <c r="P38" s="217">
        <f t="shared" si="27"/>
        <v>1</v>
      </c>
      <c r="Q38" s="217">
        <f t="shared" si="27"/>
        <v>1</v>
      </c>
      <c r="R38" s="217">
        <f t="shared" si="27"/>
        <v>1</v>
      </c>
      <c r="S38" s="217"/>
      <c r="T38" s="217">
        <f t="shared" si="20"/>
        <v>1</v>
      </c>
      <c r="U38" s="217">
        <f t="shared" si="23"/>
        <v>1</v>
      </c>
      <c r="V38" s="217">
        <f t="shared" si="23"/>
        <v>1</v>
      </c>
      <c r="W38" s="217">
        <f t="shared" ref="W38:X38" si="28">+V38</f>
        <v>1</v>
      </c>
      <c r="X38" s="217">
        <f t="shared" si="28"/>
        <v>1</v>
      </c>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30"/>
    </row>
    <row r="39" spans="1:74" hidden="1" outlineLevel="1">
      <c r="D39" s="216" t="s">
        <v>538</v>
      </c>
      <c r="E39" s="219" t="s">
        <v>537</v>
      </c>
      <c r="F39" s="229"/>
      <c r="G39" s="217">
        <v>1</v>
      </c>
      <c r="H39" s="217">
        <f t="shared" ref="H39:R39" si="29">+G39</f>
        <v>1</v>
      </c>
      <c r="I39" s="217">
        <f t="shared" si="29"/>
        <v>1</v>
      </c>
      <c r="J39" s="217">
        <f t="shared" si="29"/>
        <v>1</v>
      </c>
      <c r="K39" s="217">
        <f t="shared" si="29"/>
        <v>1</v>
      </c>
      <c r="L39" s="217">
        <f t="shared" si="29"/>
        <v>1</v>
      </c>
      <c r="M39" s="217">
        <f t="shared" si="29"/>
        <v>1</v>
      </c>
      <c r="N39" s="217">
        <f t="shared" si="29"/>
        <v>1</v>
      </c>
      <c r="O39" s="217">
        <f t="shared" si="29"/>
        <v>1</v>
      </c>
      <c r="P39" s="217">
        <f t="shared" si="29"/>
        <v>1</v>
      </c>
      <c r="Q39" s="217">
        <f t="shared" si="29"/>
        <v>1</v>
      </c>
      <c r="R39" s="217">
        <f t="shared" si="29"/>
        <v>1</v>
      </c>
      <c r="S39" s="217"/>
      <c r="T39" s="217">
        <f t="shared" si="20"/>
        <v>1</v>
      </c>
      <c r="U39" s="217">
        <f t="shared" si="23"/>
        <v>1</v>
      </c>
      <c r="V39" s="217">
        <f t="shared" si="23"/>
        <v>1</v>
      </c>
      <c r="W39" s="217">
        <f t="shared" ref="W39:X39" si="30">+V39</f>
        <v>1</v>
      </c>
      <c r="X39" s="217">
        <f t="shared" si="30"/>
        <v>1</v>
      </c>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30"/>
    </row>
    <row r="40" spans="1:74" hidden="1" outlineLevel="1">
      <c r="D40" s="216" t="s">
        <v>538</v>
      </c>
      <c r="E40" s="219" t="s">
        <v>358</v>
      </c>
      <c r="F40" s="229"/>
      <c r="G40" s="217">
        <v>1</v>
      </c>
      <c r="H40" s="217">
        <f t="shared" ref="H40:R40" si="31">+G40</f>
        <v>1</v>
      </c>
      <c r="I40" s="217">
        <f t="shared" si="31"/>
        <v>1</v>
      </c>
      <c r="J40" s="217">
        <f t="shared" si="31"/>
        <v>1</v>
      </c>
      <c r="K40" s="217">
        <f t="shared" si="31"/>
        <v>1</v>
      </c>
      <c r="L40" s="217">
        <f t="shared" si="31"/>
        <v>1</v>
      </c>
      <c r="M40" s="217">
        <f t="shared" si="31"/>
        <v>1</v>
      </c>
      <c r="N40" s="217">
        <f t="shared" si="31"/>
        <v>1</v>
      </c>
      <c r="O40" s="217">
        <f t="shared" si="31"/>
        <v>1</v>
      </c>
      <c r="P40" s="217">
        <f t="shared" si="31"/>
        <v>1</v>
      </c>
      <c r="Q40" s="217">
        <f t="shared" si="31"/>
        <v>1</v>
      </c>
      <c r="R40" s="217">
        <f t="shared" si="31"/>
        <v>1</v>
      </c>
      <c r="S40" s="217"/>
      <c r="T40" s="217">
        <f t="shared" si="20"/>
        <v>1</v>
      </c>
      <c r="U40" s="217">
        <f t="shared" si="23"/>
        <v>1</v>
      </c>
      <c r="V40" s="217">
        <f t="shared" si="23"/>
        <v>1</v>
      </c>
      <c r="W40" s="217">
        <f t="shared" ref="W40:X40" si="32">+V40</f>
        <v>1</v>
      </c>
      <c r="X40" s="217">
        <f t="shared" si="32"/>
        <v>1</v>
      </c>
      <c r="Y40" s="290"/>
      <c r="Z40" s="290"/>
      <c r="AA40" s="290"/>
      <c r="AB40" s="290"/>
      <c r="AC40" s="290"/>
      <c r="AD40" s="290"/>
      <c r="AE40" s="290"/>
      <c r="AF40" s="290"/>
      <c r="AG40" s="290"/>
      <c r="AH40" s="290"/>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30"/>
    </row>
    <row r="41" spans="1:74" hidden="1" outlineLevel="1">
      <c r="C41" s="216"/>
      <c r="D41" s="216" t="s">
        <v>538</v>
      </c>
      <c r="E41" s="219" t="s">
        <v>421</v>
      </c>
      <c r="F41" s="229"/>
      <c r="G41" s="217">
        <v>1</v>
      </c>
      <c r="H41" s="217">
        <f t="shared" ref="H41:R41" si="33">+G41</f>
        <v>1</v>
      </c>
      <c r="I41" s="217">
        <f t="shared" si="33"/>
        <v>1</v>
      </c>
      <c r="J41" s="217">
        <f t="shared" si="33"/>
        <v>1</v>
      </c>
      <c r="K41" s="217">
        <f t="shared" si="33"/>
        <v>1</v>
      </c>
      <c r="L41" s="217">
        <f t="shared" si="33"/>
        <v>1</v>
      </c>
      <c r="M41" s="217">
        <f t="shared" si="33"/>
        <v>1</v>
      </c>
      <c r="N41" s="217">
        <f t="shared" si="33"/>
        <v>1</v>
      </c>
      <c r="O41" s="217">
        <f t="shared" si="33"/>
        <v>1</v>
      </c>
      <c r="P41" s="217">
        <f t="shared" si="33"/>
        <v>1</v>
      </c>
      <c r="Q41" s="217">
        <f t="shared" si="33"/>
        <v>1</v>
      </c>
      <c r="R41" s="217">
        <f t="shared" si="33"/>
        <v>1</v>
      </c>
      <c r="S41" s="217"/>
      <c r="T41" s="217">
        <f t="shared" si="20"/>
        <v>1</v>
      </c>
      <c r="U41" s="217">
        <f t="shared" si="23"/>
        <v>1</v>
      </c>
      <c r="V41" s="217">
        <f t="shared" si="23"/>
        <v>1</v>
      </c>
      <c r="W41" s="217">
        <f t="shared" ref="W41:X41" si="34">+V41</f>
        <v>1</v>
      </c>
      <c r="X41" s="217">
        <f t="shared" si="34"/>
        <v>1</v>
      </c>
      <c r="Y41" s="290"/>
      <c r="Z41" s="290"/>
      <c r="AA41" s="290"/>
      <c r="AB41" s="290"/>
      <c r="AC41" s="290"/>
      <c r="AD41" s="290"/>
      <c r="AE41" s="290"/>
      <c r="AF41" s="290"/>
      <c r="AG41" s="290"/>
      <c r="AH41" s="290"/>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30"/>
    </row>
    <row r="42" spans="1:74" hidden="1" outlineLevel="1">
      <c r="D42" s="216" t="s">
        <v>538</v>
      </c>
      <c r="E42" s="219" t="s">
        <v>419</v>
      </c>
      <c r="F42" s="229"/>
      <c r="G42" s="217">
        <v>1</v>
      </c>
      <c r="H42" s="217">
        <f t="shared" ref="H42:R42" si="35">+G42</f>
        <v>1</v>
      </c>
      <c r="I42" s="217">
        <f t="shared" si="35"/>
        <v>1</v>
      </c>
      <c r="J42" s="217">
        <f t="shared" si="35"/>
        <v>1</v>
      </c>
      <c r="K42" s="217">
        <f t="shared" si="35"/>
        <v>1</v>
      </c>
      <c r="L42" s="217">
        <f t="shared" si="35"/>
        <v>1</v>
      </c>
      <c r="M42" s="217">
        <f t="shared" si="35"/>
        <v>1</v>
      </c>
      <c r="N42" s="217">
        <f t="shared" si="35"/>
        <v>1</v>
      </c>
      <c r="O42" s="217">
        <f t="shared" si="35"/>
        <v>1</v>
      </c>
      <c r="P42" s="217">
        <f t="shared" si="35"/>
        <v>1</v>
      </c>
      <c r="Q42" s="217">
        <f t="shared" si="35"/>
        <v>1</v>
      </c>
      <c r="R42" s="217">
        <f t="shared" si="35"/>
        <v>1</v>
      </c>
      <c r="S42" s="217"/>
      <c r="T42" s="217">
        <f t="shared" si="20"/>
        <v>1</v>
      </c>
      <c r="U42" s="217">
        <f t="shared" si="23"/>
        <v>1</v>
      </c>
      <c r="V42" s="217">
        <f t="shared" si="23"/>
        <v>1</v>
      </c>
      <c r="W42" s="217">
        <f t="shared" ref="W42:X42" si="36">+V42</f>
        <v>1</v>
      </c>
      <c r="X42" s="217">
        <f t="shared" si="36"/>
        <v>1</v>
      </c>
      <c r="Y42" s="291"/>
      <c r="Z42" s="291"/>
      <c r="AA42" s="291"/>
      <c r="AB42" s="291"/>
      <c r="AC42" s="291"/>
      <c r="AD42" s="291"/>
      <c r="AE42" s="291"/>
      <c r="AF42" s="291"/>
      <c r="AG42" s="291"/>
      <c r="AH42" s="291"/>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30"/>
    </row>
    <row r="43" spans="1:74" hidden="1" outlineLevel="1">
      <c r="D43" s="216" t="s">
        <v>538</v>
      </c>
      <c r="E43" s="219" t="s">
        <v>539</v>
      </c>
      <c r="F43" s="229"/>
      <c r="G43" s="217">
        <v>1</v>
      </c>
      <c r="H43" s="217">
        <f t="shared" ref="H43:R43" si="37">+G43</f>
        <v>1</v>
      </c>
      <c r="I43" s="217">
        <f t="shared" si="37"/>
        <v>1</v>
      </c>
      <c r="J43" s="217">
        <f t="shared" si="37"/>
        <v>1</v>
      </c>
      <c r="K43" s="217">
        <f t="shared" si="37"/>
        <v>1</v>
      </c>
      <c r="L43" s="217">
        <f t="shared" si="37"/>
        <v>1</v>
      </c>
      <c r="M43" s="217">
        <f t="shared" si="37"/>
        <v>1</v>
      </c>
      <c r="N43" s="217">
        <f t="shared" si="37"/>
        <v>1</v>
      </c>
      <c r="O43" s="217">
        <f t="shared" si="37"/>
        <v>1</v>
      </c>
      <c r="P43" s="217">
        <f t="shared" si="37"/>
        <v>1</v>
      </c>
      <c r="Q43" s="217">
        <f t="shared" si="37"/>
        <v>1</v>
      </c>
      <c r="R43" s="217">
        <f t="shared" si="37"/>
        <v>1</v>
      </c>
      <c r="S43" s="217"/>
      <c r="T43" s="217">
        <f t="shared" si="20"/>
        <v>1</v>
      </c>
      <c r="U43" s="217">
        <f t="shared" si="23"/>
        <v>1</v>
      </c>
      <c r="V43" s="217">
        <f t="shared" si="23"/>
        <v>1</v>
      </c>
      <c r="W43" s="217">
        <f t="shared" ref="W43:X43" si="38">+V43</f>
        <v>1</v>
      </c>
      <c r="X43" s="217">
        <f t="shared" si="38"/>
        <v>1</v>
      </c>
      <c r="Y43" s="291"/>
      <c r="Z43" s="291"/>
      <c r="AA43" s="291"/>
      <c r="AB43" s="291"/>
      <c r="AC43" s="291"/>
      <c r="AD43" s="291"/>
      <c r="AE43" s="291"/>
      <c r="AF43" s="291"/>
      <c r="AG43" s="291"/>
      <c r="AH43" s="291"/>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30"/>
    </row>
    <row r="44" spans="1:74" hidden="1" outlineLevel="1">
      <c r="C44" s="219"/>
      <c r="D44" s="216" t="s">
        <v>538</v>
      </c>
      <c r="E44" s="219" t="s">
        <v>540</v>
      </c>
      <c r="F44" s="229"/>
      <c r="G44" s="217">
        <v>1</v>
      </c>
      <c r="H44" s="217">
        <f t="shared" ref="H44:R44" si="39">+G44</f>
        <v>1</v>
      </c>
      <c r="I44" s="217">
        <f t="shared" si="39"/>
        <v>1</v>
      </c>
      <c r="J44" s="217">
        <f t="shared" si="39"/>
        <v>1</v>
      </c>
      <c r="K44" s="217">
        <f t="shared" si="39"/>
        <v>1</v>
      </c>
      <c r="L44" s="217">
        <f t="shared" si="39"/>
        <v>1</v>
      </c>
      <c r="M44" s="217">
        <f t="shared" si="39"/>
        <v>1</v>
      </c>
      <c r="N44" s="217">
        <f t="shared" si="39"/>
        <v>1</v>
      </c>
      <c r="O44" s="217">
        <f t="shared" si="39"/>
        <v>1</v>
      </c>
      <c r="P44" s="217">
        <f t="shared" si="39"/>
        <v>1</v>
      </c>
      <c r="Q44" s="217">
        <f t="shared" si="39"/>
        <v>1</v>
      </c>
      <c r="R44" s="217">
        <f t="shared" si="39"/>
        <v>1</v>
      </c>
      <c r="S44" s="217"/>
      <c r="T44" s="217">
        <f t="shared" si="20"/>
        <v>1</v>
      </c>
      <c r="U44" s="217">
        <f t="shared" si="23"/>
        <v>1</v>
      </c>
      <c r="V44" s="217">
        <f t="shared" si="23"/>
        <v>1</v>
      </c>
      <c r="W44" s="217">
        <f t="shared" ref="W44:X44" si="40">+V44</f>
        <v>1</v>
      </c>
      <c r="X44" s="217">
        <f t="shared" si="40"/>
        <v>1</v>
      </c>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30"/>
    </row>
    <row r="45" spans="1:74" collapsed="1">
      <c r="A45" s="225"/>
      <c r="B45" s="233" t="s">
        <v>180</v>
      </c>
      <c r="C45" s="235" t="s">
        <v>181</v>
      </c>
      <c r="D45" s="284" t="s">
        <v>416</v>
      </c>
      <c r="E45" s="226" t="s">
        <v>425</v>
      </c>
      <c r="F45" s="233"/>
      <c r="G45" s="234">
        <f t="shared" ref="G45:R45" si="41">SUM(G46:G56)</f>
        <v>45900000</v>
      </c>
      <c r="H45" s="234">
        <f t="shared" si="41"/>
        <v>45900000</v>
      </c>
      <c r="I45" s="234">
        <f t="shared" si="41"/>
        <v>45900000</v>
      </c>
      <c r="J45" s="234">
        <f t="shared" si="41"/>
        <v>45900000</v>
      </c>
      <c r="K45" s="234">
        <f t="shared" si="41"/>
        <v>45900000</v>
      </c>
      <c r="L45" s="234">
        <f t="shared" si="41"/>
        <v>45900000</v>
      </c>
      <c r="M45" s="234">
        <f t="shared" si="41"/>
        <v>45900000</v>
      </c>
      <c r="N45" s="234">
        <f t="shared" si="41"/>
        <v>45900000</v>
      </c>
      <c r="O45" s="234">
        <f t="shared" si="41"/>
        <v>45900000</v>
      </c>
      <c r="P45" s="234">
        <f t="shared" si="41"/>
        <v>45900000</v>
      </c>
      <c r="Q45" s="234">
        <f t="shared" si="41"/>
        <v>45900000</v>
      </c>
      <c r="R45" s="234">
        <f t="shared" si="41"/>
        <v>45900000</v>
      </c>
      <c r="S45" s="237"/>
      <c r="T45" s="234">
        <f t="shared" ref="T45:T65" si="42">SUM(G45:R45)</f>
        <v>550800000</v>
      </c>
      <c r="U45" s="234">
        <f>+T45*(1+U2)</f>
        <v>561816000</v>
      </c>
      <c r="V45" s="234">
        <f>+U45*(1+V2)</f>
        <v>573052320</v>
      </c>
      <c r="W45" s="234">
        <f>+V45*(1+W2)</f>
        <v>584513366.39999998</v>
      </c>
      <c r="X45" s="234">
        <f>+W45*(1+X2)</f>
        <v>596203633.72800004</v>
      </c>
      <c r="Y45" s="234"/>
      <c r="Z45" s="453">
        <f>+T45/T33</f>
        <v>0.6834832330692715</v>
      </c>
      <c r="AA45" s="234"/>
      <c r="AB45" s="234"/>
      <c r="AC45" s="234"/>
      <c r="AD45" s="234"/>
      <c r="AE45" s="234"/>
      <c r="AF45" s="234"/>
      <c r="AG45" s="234"/>
      <c r="AH45" s="234"/>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233"/>
      <c r="BO45" s="233"/>
      <c r="BP45" s="230"/>
      <c r="BQ45" s="225"/>
      <c r="BR45" s="225"/>
      <c r="BS45" s="225"/>
      <c r="BT45" s="225"/>
      <c r="BU45" s="225"/>
      <c r="BV45" s="225"/>
    </row>
    <row r="46" spans="1:74" hidden="1" outlineLevel="1">
      <c r="A46" s="217">
        <v>1</v>
      </c>
      <c r="B46" s="218">
        <v>5000000</v>
      </c>
      <c r="C46" s="218">
        <f t="shared" ref="C46:C56" si="43">+B46*1.53</f>
        <v>7650000</v>
      </c>
      <c r="D46" s="237" t="s">
        <v>422</v>
      </c>
      <c r="E46" s="219" t="s">
        <v>424</v>
      </c>
      <c r="F46" s="229"/>
      <c r="G46" s="218">
        <f>+C46*G35</f>
        <v>7650000</v>
      </c>
      <c r="H46" s="213">
        <f t="shared" ref="H46:R46" si="44">+G46</f>
        <v>7650000</v>
      </c>
      <c r="I46" s="213">
        <f t="shared" si="44"/>
        <v>7650000</v>
      </c>
      <c r="J46" s="213">
        <f t="shared" si="44"/>
        <v>7650000</v>
      </c>
      <c r="K46" s="213">
        <f t="shared" si="44"/>
        <v>7650000</v>
      </c>
      <c r="L46" s="213">
        <f t="shared" si="44"/>
        <v>7650000</v>
      </c>
      <c r="M46" s="213">
        <f t="shared" si="44"/>
        <v>7650000</v>
      </c>
      <c r="N46" s="213">
        <f t="shared" si="44"/>
        <v>7650000</v>
      </c>
      <c r="O46" s="213">
        <f t="shared" si="44"/>
        <v>7650000</v>
      </c>
      <c r="P46" s="213">
        <f t="shared" si="44"/>
        <v>7650000</v>
      </c>
      <c r="Q46" s="213">
        <f t="shared" si="44"/>
        <v>7650000</v>
      </c>
      <c r="R46" s="213">
        <f t="shared" si="44"/>
        <v>7650000</v>
      </c>
      <c r="S46" s="213"/>
      <c r="T46" s="213">
        <f t="shared" si="42"/>
        <v>91800000</v>
      </c>
      <c r="U46" s="213"/>
      <c r="V46" s="213"/>
      <c r="W46" s="213"/>
      <c r="X46" s="213"/>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row>
    <row r="47" spans="1:74" hidden="1" outlineLevel="1">
      <c r="A47" s="217">
        <v>1</v>
      </c>
      <c r="B47" s="218">
        <v>3000000</v>
      </c>
      <c r="C47" s="218">
        <f t="shared" si="43"/>
        <v>4590000</v>
      </c>
      <c r="D47" s="237" t="s">
        <v>422</v>
      </c>
      <c r="E47" s="219" t="s">
        <v>536</v>
      </c>
      <c r="F47" s="229"/>
      <c r="G47" s="218">
        <f>+C47*G36</f>
        <v>4590000</v>
      </c>
      <c r="H47" s="213">
        <f t="shared" ref="H47:R47" si="45">+G47</f>
        <v>4590000</v>
      </c>
      <c r="I47" s="213">
        <f t="shared" si="45"/>
        <v>4590000</v>
      </c>
      <c r="J47" s="213">
        <f t="shared" si="45"/>
        <v>4590000</v>
      </c>
      <c r="K47" s="213">
        <f t="shared" si="45"/>
        <v>4590000</v>
      </c>
      <c r="L47" s="213">
        <f t="shared" si="45"/>
        <v>4590000</v>
      </c>
      <c r="M47" s="213">
        <f t="shared" si="45"/>
        <v>4590000</v>
      </c>
      <c r="N47" s="213">
        <f t="shared" si="45"/>
        <v>4590000</v>
      </c>
      <c r="O47" s="213">
        <f t="shared" si="45"/>
        <v>4590000</v>
      </c>
      <c r="P47" s="213">
        <f t="shared" si="45"/>
        <v>4590000</v>
      </c>
      <c r="Q47" s="213">
        <f t="shared" si="45"/>
        <v>4590000</v>
      </c>
      <c r="R47" s="213">
        <f t="shared" si="45"/>
        <v>4590000</v>
      </c>
      <c r="S47" s="213"/>
      <c r="T47" s="213">
        <f t="shared" si="42"/>
        <v>55080000</v>
      </c>
      <c r="U47" s="213"/>
      <c r="V47" s="213"/>
      <c r="W47" s="213"/>
      <c r="X47" s="213"/>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row>
    <row r="48" spans="1:74" hidden="1" outlineLevel="1">
      <c r="A48" s="217">
        <v>1</v>
      </c>
      <c r="B48" s="218">
        <v>3000000</v>
      </c>
      <c r="C48" s="218">
        <f t="shared" si="43"/>
        <v>4590000</v>
      </c>
      <c r="D48" s="237" t="s">
        <v>422</v>
      </c>
      <c r="E48" s="219" t="s">
        <v>423</v>
      </c>
      <c r="F48" s="229"/>
      <c r="G48" s="218">
        <f>+C48*G37</f>
        <v>4590000</v>
      </c>
      <c r="H48" s="213">
        <f t="shared" ref="H48:R48" si="46">+G48</f>
        <v>4590000</v>
      </c>
      <c r="I48" s="213">
        <f t="shared" si="46"/>
        <v>4590000</v>
      </c>
      <c r="J48" s="213">
        <f t="shared" si="46"/>
        <v>4590000</v>
      </c>
      <c r="K48" s="213">
        <f t="shared" si="46"/>
        <v>4590000</v>
      </c>
      <c r="L48" s="213">
        <f t="shared" si="46"/>
        <v>4590000</v>
      </c>
      <c r="M48" s="213">
        <f t="shared" si="46"/>
        <v>4590000</v>
      </c>
      <c r="N48" s="213">
        <f t="shared" si="46"/>
        <v>4590000</v>
      </c>
      <c r="O48" s="213">
        <f t="shared" si="46"/>
        <v>4590000</v>
      </c>
      <c r="P48" s="213">
        <f t="shared" si="46"/>
        <v>4590000</v>
      </c>
      <c r="Q48" s="213">
        <f t="shared" si="46"/>
        <v>4590000</v>
      </c>
      <c r="R48" s="213">
        <f t="shared" si="46"/>
        <v>4590000</v>
      </c>
      <c r="S48" s="213"/>
      <c r="T48" s="213">
        <f t="shared" si="42"/>
        <v>55080000</v>
      </c>
      <c r="U48" s="213"/>
      <c r="V48" s="213"/>
      <c r="W48" s="213"/>
      <c r="X48" s="213"/>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row>
    <row r="49" spans="1:74" hidden="1" outlineLevel="1">
      <c r="A49" s="217">
        <v>1</v>
      </c>
      <c r="B49" s="218">
        <v>3000000</v>
      </c>
      <c r="C49" s="218">
        <f t="shared" si="43"/>
        <v>4590000</v>
      </c>
      <c r="D49" s="237" t="s">
        <v>422</v>
      </c>
      <c r="E49" s="219" t="s">
        <v>421</v>
      </c>
      <c r="F49" s="229"/>
      <c r="G49" s="218">
        <f>+C49*G41</f>
        <v>4590000</v>
      </c>
      <c r="H49" s="213">
        <f t="shared" ref="H49:R49" si="47">+G49</f>
        <v>4590000</v>
      </c>
      <c r="I49" s="213">
        <f t="shared" si="47"/>
        <v>4590000</v>
      </c>
      <c r="J49" s="213">
        <f t="shared" si="47"/>
        <v>4590000</v>
      </c>
      <c r="K49" s="213">
        <f t="shared" si="47"/>
        <v>4590000</v>
      </c>
      <c r="L49" s="213">
        <f t="shared" si="47"/>
        <v>4590000</v>
      </c>
      <c r="M49" s="213">
        <f t="shared" si="47"/>
        <v>4590000</v>
      </c>
      <c r="N49" s="213">
        <f t="shared" si="47"/>
        <v>4590000</v>
      </c>
      <c r="O49" s="213">
        <f t="shared" si="47"/>
        <v>4590000</v>
      </c>
      <c r="P49" s="213">
        <f t="shared" si="47"/>
        <v>4590000</v>
      </c>
      <c r="Q49" s="213">
        <f t="shared" si="47"/>
        <v>4590000</v>
      </c>
      <c r="R49" s="213">
        <f t="shared" si="47"/>
        <v>4590000</v>
      </c>
      <c r="S49" s="213"/>
      <c r="T49" s="213">
        <f t="shared" si="42"/>
        <v>55080000</v>
      </c>
      <c r="U49" s="213"/>
      <c r="V49" s="213"/>
      <c r="W49" s="213"/>
      <c r="X49" s="213"/>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row>
    <row r="50" spans="1:74" hidden="1" outlineLevel="1">
      <c r="A50" s="217">
        <v>1</v>
      </c>
      <c r="B50" s="218">
        <v>3000000</v>
      </c>
      <c r="C50" s="218">
        <f t="shared" si="43"/>
        <v>4590000</v>
      </c>
      <c r="D50" s="237" t="s">
        <v>89</v>
      </c>
      <c r="E50" s="241" t="s">
        <v>320</v>
      </c>
      <c r="F50" s="240"/>
      <c r="G50" s="239">
        <f>+C50*G38</f>
        <v>4590000</v>
      </c>
      <c r="H50" s="238">
        <f t="shared" ref="H50:R50" si="48">+G50</f>
        <v>4590000</v>
      </c>
      <c r="I50" s="238">
        <f t="shared" si="48"/>
        <v>4590000</v>
      </c>
      <c r="J50" s="238">
        <f t="shared" si="48"/>
        <v>4590000</v>
      </c>
      <c r="K50" s="238">
        <f t="shared" si="48"/>
        <v>4590000</v>
      </c>
      <c r="L50" s="238">
        <f t="shared" si="48"/>
        <v>4590000</v>
      </c>
      <c r="M50" s="238">
        <f t="shared" si="48"/>
        <v>4590000</v>
      </c>
      <c r="N50" s="238">
        <f t="shared" si="48"/>
        <v>4590000</v>
      </c>
      <c r="O50" s="238">
        <f t="shared" si="48"/>
        <v>4590000</v>
      </c>
      <c r="P50" s="238">
        <f t="shared" si="48"/>
        <v>4590000</v>
      </c>
      <c r="Q50" s="238">
        <f t="shared" si="48"/>
        <v>4590000</v>
      </c>
      <c r="R50" s="238">
        <f t="shared" si="48"/>
        <v>4590000</v>
      </c>
      <c r="S50" s="213"/>
      <c r="T50" s="238">
        <f t="shared" si="42"/>
        <v>55080000</v>
      </c>
      <c r="U50" s="238"/>
      <c r="V50" s="238"/>
      <c r="W50" s="238"/>
      <c r="X50" s="238"/>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row>
    <row r="51" spans="1:74" hidden="1" outlineLevel="1">
      <c r="A51" s="217">
        <v>1</v>
      </c>
      <c r="B51" s="218">
        <v>3000000</v>
      </c>
      <c r="C51" s="218">
        <f t="shared" si="43"/>
        <v>4590000</v>
      </c>
      <c r="D51" s="237" t="s">
        <v>89</v>
      </c>
      <c r="E51" s="241" t="s">
        <v>316</v>
      </c>
      <c r="F51" s="240"/>
      <c r="G51" s="239">
        <f>+C51*G39</f>
        <v>4590000</v>
      </c>
      <c r="H51" s="238">
        <f t="shared" ref="H51:R51" si="49">+G51</f>
        <v>4590000</v>
      </c>
      <c r="I51" s="238">
        <f t="shared" si="49"/>
        <v>4590000</v>
      </c>
      <c r="J51" s="238">
        <f t="shared" si="49"/>
        <v>4590000</v>
      </c>
      <c r="K51" s="238">
        <f t="shared" si="49"/>
        <v>4590000</v>
      </c>
      <c r="L51" s="238">
        <f t="shared" si="49"/>
        <v>4590000</v>
      </c>
      <c r="M51" s="238">
        <f t="shared" si="49"/>
        <v>4590000</v>
      </c>
      <c r="N51" s="238">
        <f t="shared" si="49"/>
        <v>4590000</v>
      </c>
      <c r="O51" s="238">
        <f t="shared" si="49"/>
        <v>4590000</v>
      </c>
      <c r="P51" s="238">
        <f t="shared" si="49"/>
        <v>4590000</v>
      </c>
      <c r="Q51" s="238">
        <f t="shared" si="49"/>
        <v>4590000</v>
      </c>
      <c r="R51" s="238">
        <f t="shared" si="49"/>
        <v>4590000</v>
      </c>
      <c r="S51" s="213"/>
      <c r="T51" s="238">
        <f t="shared" si="42"/>
        <v>55080000</v>
      </c>
      <c r="U51" s="238"/>
      <c r="V51" s="238"/>
      <c r="W51" s="238"/>
      <c r="X51" s="238"/>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row>
    <row r="52" spans="1:74" hidden="1" outlineLevel="1">
      <c r="A52" s="217">
        <v>1</v>
      </c>
      <c r="B52" s="218">
        <v>3000000</v>
      </c>
      <c r="C52" s="218">
        <f t="shared" si="43"/>
        <v>4590000</v>
      </c>
      <c r="D52" s="237" t="s">
        <v>89</v>
      </c>
      <c r="E52" s="241" t="s">
        <v>420</v>
      </c>
      <c r="F52" s="240"/>
      <c r="G52" s="239">
        <f>+C52*G40</f>
        <v>4590000</v>
      </c>
      <c r="H52" s="238">
        <f t="shared" ref="H52:R52" si="50">+G52</f>
        <v>4590000</v>
      </c>
      <c r="I52" s="238">
        <f t="shared" si="50"/>
        <v>4590000</v>
      </c>
      <c r="J52" s="238">
        <f t="shared" si="50"/>
        <v>4590000</v>
      </c>
      <c r="K52" s="238">
        <f t="shared" si="50"/>
        <v>4590000</v>
      </c>
      <c r="L52" s="238">
        <f t="shared" si="50"/>
        <v>4590000</v>
      </c>
      <c r="M52" s="238">
        <f t="shared" si="50"/>
        <v>4590000</v>
      </c>
      <c r="N52" s="238">
        <f t="shared" si="50"/>
        <v>4590000</v>
      </c>
      <c r="O52" s="238">
        <f t="shared" si="50"/>
        <v>4590000</v>
      </c>
      <c r="P52" s="238">
        <f t="shared" si="50"/>
        <v>4590000</v>
      </c>
      <c r="Q52" s="238">
        <f t="shared" si="50"/>
        <v>4590000</v>
      </c>
      <c r="R52" s="238">
        <f t="shared" si="50"/>
        <v>4590000</v>
      </c>
      <c r="S52" s="213"/>
      <c r="T52" s="238">
        <f t="shared" si="42"/>
        <v>55080000</v>
      </c>
      <c r="U52" s="238"/>
      <c r="V52" s="238"/>
      <c r="W52" s="238"/>
      <c r="X52" s="238"/>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row>
    <row r="53" spans="1:74" hidden="1" outlineLevel="1">
      <c r="A53" s="217">
        <v>1</v>
      </c>
      <c r="B53" s="218">
        <v>3000000</v>
      </c>
      <c r="C53" s="218">
        <f t="shared" si="43"/>
        <v>4590000</v>
      </c>
      <c r="D53" s="237" t="s">
        <v>418</v>
      </c>
      <c r="E53" s="219" t="s">
        <v>419</v>
      </c>
      <c r="F53" s="229"/>
      <c r="G53" s="218">
        <f>+C53*G42</f>
        <v>4590000</v>
      </c>
      <c r="H53" s="213">
        <f t="shared" ref="H53:R53" si="51">+G53</f>
        <v>4590000</v>
      </c>
      <c r="I53" s="213">
        <f t="shared" si="51"/>
        <v>4590000</v>
      </c>
      <c r="J53" s="213">
        <f t="shared" si="51"/>
        <v>4590000</v>
      </c>
      <c r="K53" s="213">
        <f t="shared" si="51"/>
        <v>4590000</v>
      </c>
      <c r="L53" s="213">
        <f t="shared" si="51"/>
        <v>4590000</v>
      </c>
      <c r="M53" s="213">
        <f t="shared" si="51"/>
        <v>4590000</v>
      </c>
      <c r="N53" s="213">
        <f t="shared" si="51"/>
        <v>4590000</v>
      </c>
      <c r="O53" s="213">
        <f t="shared" si="51"/>
        <v>4590000</v>
      </c>
      <c r="P53" s="213">
        <f t="shared" si="51"/>
        <v>4590000</v>
      </c>
      <c r="Q53" s="213">
        <f t="shared" si="51"/>
        <v>4590000</v>
      </c>
      <c r="R53" s="213">
        <f t="shared" si="51"/>
        <v>4590000</v>
      </c>
      <c r="S53" s="213"/>
      <c r="T53" s="213">
        <f t="shared" si="42"/>
        <v>55080000</v>
      </c>
      <c r="U53" s="213"/>
      <c r="V53" s="213"/>
      <c r="W53" s="213"/>
      <c r="X53" s="213"/>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row>
    <row r="54" spans="1:74" hidden="1" outlineLevel="1">
      <c r="A54" s="217">
        <v>1</v>
      </c>
      <c r="B54" s="218">
        <v>2000000</v>
      </c>
      <c r="C54" s="218">
        <f t="shared" si="43"/>
        <v>3060000</v>
      </c>
      <c r="D54" s="237" t="s">
        <v>418</v>
      </c>
      <c r="E54" s="219" t="s">
        <v>539</v>
      </c>
      <c r="F54" s="229"/>
      <c r="G54" s="218">
        <f>+C54*G43</f>
        <v>3060000</v>
      </c>
      <c r="H54" s="213">
        <f t="shared" ref="H54:R54" si="52">+G54</f>
        <v>3060000</v>
      </c>
      <c r="I54" s="213">
        <f t="shared" si="52"/>
        <v>3060000</v>
      </c>
      <c r="J54" s="213">
        <f t="shared" si="52"/>
        <v>3060000</v>
      </c>
      <c r="K54" s="213">
        <f t="shared" si="52"/>
        <v>3060000</v>
      </c>
      <c r="L54" s="213">
        <f t="shared" si="52"/>
        <v>3060000</v>
      </c>
      <c r="M54" s="213">
        <f t="shared" si="52"/>
        <v>3060000</v>
      </c>
      <c r="N54" s="213">
        <f t="shared" si="52"/>
        <v>3060000</v>
      </c>
      <c r="O54" s="213">
        <f t="shared" si="52"/>
        <v>3060000</v>
      </c>
      <c r="P54" s="213">
        <f t="shared" si="52"/>
        <v>3060000</v>
      </c>
      <c r="Q54" s="213">
        <f t="shared" si="52"/>
        <v>3060000</v>
      </c>
      <c r="R54" s="213">
        <f t="shared" si="52"/>
        <v>3060000</v>
      </c>
      <c r="S54" s="213"/>
      <c r="T54" s="213">
        <f t="shared" si="42"/>
        <v>36720000</v>
      </c>
      <c r="U54" s="213"/>
      <c r="V54" s="213"/>
      <c r="W54" s="213"/>
      <c r="X54" s="213"/>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row>
    <row r="55" spans="1:74" hidden="1" outlineLevel="1">
      <c r="A55" s="217">
        <v>1</v>
      </c>
      <c r="B55" s="218">
        <v>2000000</v>
      </c>
      <c r="C55" s="218">
        <f t="shared" si="43"/>
        <v>3060000</v>
      </c>
      <c r="D55" s="237" t="s">
        <v>418</v>
      </c>
      <c r="E55" s="219" t="s">
        <v>540</v>
      </c>
      <c r="F55" s="229"/>
      <c r="G55" s="218">
        <f>+C55*G44</f>
        <v>3060000</v>
      </c>
      <c r="H55" s="218">
        <f t="shared" ref="H55:R55" si="53">+G55</f>
        <v>3060000</v>
      </c>
      <c r="I55" s="218">
        <f t="shared" si="53"/>
        <v>3060000</v>
      </c>
      <c r="J55" s="218">
        <f t="shared" si="53"/>
        <v>3060000</v>
      </c>
      <c r="K55" s="218">
        <f t="shared" si="53"/>
        <v>3060000</v>
      </c>
      <c r="L55" s="218">
        <f t="shared" si="53"/>
        <v>3060000</v>
      </c>
      <c r="M55" s="218">
        <f t="shared" si="53"/>
        <v>3060000</v>
      </c>
      <c r="N55" s="218">
        <f t="shared" si="53"/>
        <v>3060000</v>
      </c>
      <c r="O55" s="218">
        <f t="shared" si="53"/>
        <v>3060000</v>
      </c>
      <c r="P55" s="218">
        <f t="shared" si="53"/>
        <v>3060000</v>
      </c>
      <c r="Q55" s="218">
        <f t="shared" si="53"/>
        <v>3060000</v>
      </c>
      <c r="R55" s="218">
        <f t="shared" si="53"/>
        <v>3060000</v>
      </c>
      <c r="S55" s="287"/>
      <c r="T55" s="218">
        <f t="shared" si="42"/>
        <v>36720000</v>
      </c>
      <c r="U55" s="218"/>
      <c r="V55" s="218"/>
      <c r="W55" s="218"/>
      <c r="X55" s="218"/>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row>
    <row r="56" spans="1:74" hidden="1" outlineLevel="1">
      <c r="A56" s="217">
        <v>1</v>
      </c>
      <c r="B56" s="218">
        <v>1500000</v>
      </c>
      <c r="C56" s="218">
        <f t="shared" si="43"/>
        <v>2295000</v>
      </c>
      <c r="D56" s="237" t="s">
        <v>418</v>
      </c>
      <c r="E56" s="219" t="s">
        <v>417</v>
      </c>
      <c r="F56" s="217">
        <v>0</v>
      </c>
      <c r="G56" s="218">
        <f>+C56*G29*F56</f>
        <v>0</v>
      </c>
      <c r="H56" s="218">
        <f t="shared" ref="H56:R56" si="54">+G56</f>
        <v>0</v>
      </c>
      <c r="I56" s="218">
        <f t="shared" si="54"/>
        <v>0</v>
      </c>
      <c r="J56" s="218">
        <f t="shared" si="54"/>
        <v>0</v>
      </c>
      <c r="K56" s="218">
        <f t="shared" si="54"/>
        <v>0</v>
      </c>
      <c r="L56" s="218">
        <f t="shared" si="54"/>
        <v>0</v>
      </c>
      <c r="M56" s="218">
        <f t="shared" si="54"/>
        <v>0</v>
      </c>
      <c r="N56" s="218">
        <f t="shared" si="54"/>
        <v>0</v>
      </c>
      <c r="O56" s="218">
        <f t="shared" si="54"/>
        <v>0</v>
      </c>
      <c r="P56" s="218">
        <f t="shared" si="54"/>
        <v>0</v>
      </c>
      <c r="Q56" s="218">
        <f t="shared" si="54"/>
        <v>0</v>
      </c>
      <c r="R56" s="218">
        <f t="shared" si="54"/>
        <v>0</v>
      </c>
      <c r="S56" s="287"/>
      <c r="T56" s="218">
        <f t="shared" si="42"/>
        <v>0</v>
      </c>
      <c r="U56" s="218"/>
      <c r="V56" s="218"/>
      <c r="W56" s="218"/>
      <c r="X56" s="218"/>
    </row>
    <row r="57" spans="1:74" collapsed="1">
      <c r="A57" s="225"/>
      <c r="B57" s="233" t="s">
        <v>180</v>
      </c>
      <c r="C57" s="235" t="s">
        <v>181</v>
      </c>
      <c r="D57" s="284" t="s">
        <v>416</v>
      </c>
      <c r="E57" s="226" t="s">
        <v>415</v>
      </c>
      <c r="F57" s="233"/>
      <c r="G57" s="234">
        <f t="shared" ref="G57:R57" si="55">SUM(G58:G65)</f>
        <v>19256000</v>
      </c>
      <c r="H57" s="234">
        <f t="shared" si="55"/>
        <v>19256000</v>
      </c>
      <c r="I57" s="234">
        <f t="shared" si="55"/>
        <v>19256000</v>
      </c>
      <c r="J57" s="234">
        <f t="shared" si="55"/>
        <v>19256000</v>
      </c>
      <c r="K57" s="234">
        <f t="shared" si="55"/>
        <v>19256000</v>
      </c>
      <c r="L57" s="234">
        <f t="shared" si="55"/>
        <v>19256000</v>
      </c>
      <c r="M57" s="234">
        <f t="shared" si="55"/>
        <v>19256000</v>
      </c>
      <c r="N57" s="234">
        <f t="shared" si="55"/>
        <v>19256000</v>
      </c>
      <c r="O57" s="234">
        <f t="shared" si="55"/>
        <v>19256000</v>
      </c>
      <c r="P57" s="234">
        <f t="shared" si="55"/>
        <v>19256000</v>
      </c>
      <c r="Q57" s="234">
        <f t="shared" si="55"/>
        <v>19256000</v>
      </c>
      <c r="R57" s="234">
        <f t="shared" si="55"/>
        <v>19256000</v>
      </c>
      <c r="S57" s="237"/>
      <c r="T57" s="234">
        <f t="shared" si="42"/>
        <v>231072000</v>
      </c>
      <c r="U57" s="234">
        <f>+T57*(1+U2)</f>
        <v>235693440</v>
      </c>
      <c r="V57" s="234">
        <f>+U57*(1+V2)</f>
        <v>240407308.80000001</v>
      </c>
      <c r="W57" s="234">
        <f>+V57*(1+W2)</f>
        <v>245215454.97600001</v>
      </c>
      <c r="X57" s="234">
        <f>+W57*(1+X2)</f>
        <v>250119764.07552001</v>
      </c>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0"/>
      <c r="BQ57" s="225"/>
      <c r="BR57" s="225"/>
      <c r="BS57" s="225"/>
      <c r="BT57" s="225"/>
      <c r="BU57" s="225"/>
      <c r="BV57" s="225"/>
    </row>
    <row r="58" spans="1:74" hidden="1" outlineLevel="1">
      <c r="A58" s="217">
        <v>1</v>
      </c>
      <c r="B58" s="218">
        <v>8000000</v>
      </c>
      <c r="C58" s="236"/>
      <c r="D58" s="216"/>
      <c r="E58" s="212" t="s">
        <v>261</v>
      </c>
      <c r="F58" s="229"/>
      <c r="G58" s="213">
        <f>+B58</f>
        <v>8000000</v>
      </c>
      <c r="H58" s="213">
        <f t="shared" ref="H58:R58" si="56">+G58</f>
        <v>8000000</v>
      </c>
      <c r="I58" s="213">
        <f t="shared" si="56"/>
        <v>8000000</v>
      </c>
      <c r="J58" s="213">
        <f t="shared" si="56"/>
        <v>8000000</v>
      </c>
      <c r="K58" s="213">
        <f t="shared" si="56"/>
        <v>8000000</v>
      </c>
      <c r="L58" s="213">
        <f t="shared" si="56"/>
        <v>8000000</v>
      </c>
      <c r="M58" s="213">
        <f t="shared" si="56"/>
        <v>8000000</v>
      </c>
      <c r="N58" s="213">
        <f t="shared" si="56"/>
        <v>8000000</v>
      </c>
      <c r="O58" s="213">
        <f t="shared" si="56"/>
        <v>8000000</v>
      </c>
      <c r="P58" s="213">
        <f t="shared" si="56"/>
        <v>8000000</v>
      </c>
      <c r="Q58" s="213">
        <f t="shared" si="56"/>
        <v>8000000</v>
      </c>
      <c r="R58" s="213">
        <f t="shared" si="56"/>
        <v>8000000</v>
      </c>
      <c r="S58" s="213"/>
      <c r="T58" s="213">
        <f t="shared" si="42"/>
        <v>96000000</v>
      </c>
      <c r="U58" s="213"/>
      <c r="V58" s="213"/>
      <c r="W58" s="213"/>
      <c r="X58" s="213"/>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30"/>
    </row>
    <row r="59" spans="1:74" hidden="1" outlineLevel="1">
      <c r="A59" s="217">
        <v>1</v>
      </c>
      <c r="B59" s="218">
        <v>1000000</v>
      </c>
      <c r="C59" s="236"/>
      <c r="D59" s="216"/>
      <c r="E59" s="212" t="s">
        <v>414</v>
      </c>
      <c r="F59" s="229"/>
      <c r="G59" s="213">
        <f>+B59</f>
        <v>1000000</v>
      </c>
      <c r="H59" s="213">
        <f t="shared" ref="H59:R59" si="57">+G59</f>
        <v>1000000</v>
      </c>
      <c r="I59" s="213">
        <f t="shared" si="57"/>
        <v>1000000</v>
      </c>
      <c r="J59" s="213">
        <f t="shared" si="57"/>
        <v>1000000</v>
      </c>
      <c r="K59" s="213">
        <f t="shared" si="57"/>
        <v>1000000</v>
      </c>
      <c r="L59" s="213">
        <f t="shared" si="57"/>
        <v>1000000</v>
      </c>
      <c r="M59" s="213">
        <f t="shared" si="57"/>
        <v>1000000</v>
      </c>
      <c r="N59" s="213">
        <f t="shared" si="57"/>
        <v>1000000</v>
      </c>
      <c r="O59" s="213">
        <f t="shared" si="57"/>
        <v>1000000</v>
      </c>
      <c r="P59" s="213">
        <f t="shared" si="57"/>
        <v>1000000</v>
      </c>
      <c r="Q59" s="213">
        <f t="shared" si="57"/>
        <v>1000000</v>
      </c>
      <c r="R59" s="213">
        <f t="shared" si="57"/>
        <v>1000000</v>
      </c>
      <c r="S59" s="213"/>
      <c r="T59" s="213">
        <f t="shared" si="42"/>
        <v>12000000</v>
      </c>
      <c r="U59" s="213"/>
      <c r="V59" s="213"/>
      <c r="W59" s="213"/>
      <c r="X59" s="213"/>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30"/>
    </row>
    <row r="60" spans="1:74" hidden="1" outlineLevel="1">
      <c r="A60" s="217">
        <v>1</v>
      </c>
      <c r="B60" s="218">
        <v>100000</v>
      </c>
      <c r="C60" s="236">
        <v>2</v>
      </c>
      <c r="D60" s="216"/>
      <c r="E60" s="212" t="s">
        <v>413</v>
      </c>
      <c r="F60" s="229"/>
      <c r="G60" s="213">
        <f>+B60*C60</f>
        <v>200000</v>
      </c>
      <c r="H60" s="213">
        <f t="shared" ref="H60:R60" si="58">+G60</f>
        <v>200000</v>
      </c>
      <c r="I60" s="213">
        <f t="shared" si="58"/>
        <v>200000</v>
      </c>
      <c r="J60" s="213">
        <f t="shared" si="58"/>
        <v>200000</v>
      </c>
      <c r="K60" s="213">
        <f t="shared" si="58"/>
        <v>200000</v>
      </c>
      <c r="L60" s="213">
        <f t="shared" si="58"/>
        <v>200000</v>
      </c>
      <c r="M60" s="213">
        <f t="shared" si="58"/>
        <v>200000</v>
      </c>
      <c r="N60" s="213">
        <f t="shared" si="58"/>
        <v>200000</v>
      </c>
      <c r="O60" s="213">
        <f t="shared" si="58"/>
        <v>200000</v>
      </c>
      <c r="P60" s="213">
        <f t="shared" si="58"/>
        <v>200000</v>
      </c>
      <c r="Q60" s="213">
        <f t="shared" si="58"/>
        <v>200000</v>
      </c>
      <c r="R60" s="213">
        <f t="shared" si="58"/>
        <v>200000</v>
      </c>
      <c r="S60" s="213"/>
      <c r="T60" s="213">
        <f t="shared" si="42"/>
        <v>2400000</v>
      </c>
      <c r="U60" s="213"/>
      <c r="V60" s="213"/>
      <c r="W60" s="213"/>
      <c r="X60" s="213"/>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30"/>
    </row>
    <row r="61" spans="1:74" hidden="1" outlineLevel="1">
      <c r="A61" s="217">
        <v>1</v>
      </c>
      <c r="B61" s="216">
        <v>100000</v>
      </c>
      <c r="C61" s="218"/>
      <c r="E61" s="212" t="s">
        <v>412</v>
      </c>
      <c r="F61" s="217"/>
      <c r="G61" s="218">
        <f>+B61</f>
        <v>100000</v>
      </c>
      <c r="H61" s="213">
        <f t="shared" ref="H61:R61" si="59">+G61</f>
        <v>100000</v>
      </c>
      <c r="I61" s="213">
        <f t="shared" si="59"/>
        <v>100000</v>
      </c>
      <c r="J61" s="213">
        <f t="shared" si="59"/>
        <v>100000</v>
      </c>
      <c r="K61" s="213">
        <f t="shared" si="59"/>
        <v>100000</v>
      </c>
      <c r="L61" s="213">
        <f t="shared" si="59"/>
        <v>100000</v>
      </c>
      <c r="M61" s="213">
        <f t="shared" si="59"/>
        <v>100000</v>
      </c>
      <c r="N61" s="213">
        <f t="shared" si="59"/>
        <v>100000</v>
      </c>
      <c r="O61" s="213">
        <f t="shared" si="59"/>
        <v>100000</v>
      </c>
      <c r="P61" s="213">
        <f t="shared" si="59"/>
        <v>100000</v>
      </c>
      <c r="Q61" s="213">
        <f t="shared" si="59"/>
        <v>100000</v>
      </c>
      <c r="R61" s="213">
        <f t="shared" si="59"/>
        <v>100000</v>
      </c>
      <c r="S61" s="213"/>
      <c r="T61" s="213">
        <f t="shared" si="42"/>
        <v>1200000</v>
      </c>
      <c r="U61" s="213"/>
      <c r="V61" s="213"/>
      <c r="W61" s="213"/>
      <c r="X61" s="213"/>
    </row>
    <row r="62" spans="1:74" hidden="1" outlineLevel="1">
      <c r="A62" s="217">
        <v>1</v>
      </c>
      <c r="B62" s="218">
        <v>1300000</v>
      </c>
      <c r="C62" s="218">
        <f>+B62*1.53</f>
        <v>1989000</v>
      </c>
      <c r="D62" s="210">
        <v>2</v>
      </c>
      <c r="E62" s="212" t="s">
        <v>411</v>
      </c>
      <c r="F62" s="217"/>
      <c r="G62" s="218">
        <f>+C62*D62</f>
        <v>3978000</v>
      </c>
      <c r="H62" s="213">
        <f t="shared" ref="H62:R62" si="60">+G62</f>
        <v>3978000</v>
      </c>
      <c r="I62" s="213">
        <f t="shared" si="60"/>
        <v>3978000</v>
      </c>
      <c r="J62" s="213">
        <f t="shared" si="60"/>
        <v>3978000</v>
      </c>
      <c r="K62" s="213">
        <f t="shared" si="60"/>
        <v>3978000</v>
      </c>
      <c r="L62" s="213">
        <f t="shared" si="60"/>
        <v>3978000</v>
      </c>
      <c r="M62" s="213">
        <f t="shared" si="60"/>
        <v>3978000</v>
      </c>
      <c r="N62" s="213">
        <f t="shared" si="60"/>
        <v>3978000</v>
      </c>
      <c r="O62" s="213">
        <f t="shared" si="60"/>
        <v>3978000</v>
      </c>
      <c r="P62" s="213">
        <f t="shared" si="60"/>
        <v>3978000</v>
      </c>
      <c r="Q62" s="213">
        <f t="shared" si="60"/>
        <v>3978000</v>
      </c>
      <c r="R62" s="213">
        <f t="shared" si="60"/>
        <v>3978000</v>
      </c>
      <c r="S62" s="213"/>
      <c r="T62" s="213">
        <f t="shared" si="42"/>
        <v>47736000</v>
      </c>
      <c r="U62" s="213"/>
      <c r="V62" s="213"/>
      <c r="W62" s="213"/>
      <c r="X62" s="213"/>
    </row>
    <row r="63" spans="1:74" hidden="1" outlineLevel="1">
      <c r="A63" s="217">
        <v>1</v>
      </c>
      <c r="B63" s="218">
        <v>1300000</v>
      </c>
      <c r="C63" s="218">
        <f>+B63*1.53</f>
        <v>1989000</v>
      </c>
      <c r="D63" s="210">
        <v>2</v>
      </c>
      <c r="E63" s="212" t="s">
        <v>410</v>
      </c>
      <c r="F63" s="217"/>
      <c r="G63" s="218">
        <f>+C63*D63</f>
        <v>3978000</v>
      </c>
      <c r="H63" s="213">
        <f t="shared" ref="H63:R63" si="61">+G63</f>
        <v>3978000</v>
      </c>
      <c r="I63" s="213">
        <f t="shared" si="61"/>
        <v>3978000</v>
      </c>
      <c r="J63" s="213">
        <f t="shared" si="61"/>
        <v>3978000</v>
      </c>
      <c r="K63" s="213">
        <f t="shared" si="61"/>
        <v>3978000</v>
      </c>
      <c r="L63" s="213">
        <f t="shared" si="61"/>
        <v>3978000</v>
      </c>
      <c r="M63" s="213">
        <f t="shared" si="61"/>
        <v>3978000</v>
      </c>
      <c r="N63" s="213">
        <f t="shared" si="61"/>
        <v>3978000</v>
      </c>
      <c r="O63" s="213">
        <f t="shared" si="61"/>
        <v>3978000</v>
      </c>
      <c r="P63" s="213">
        <f t="shared" si="61"/>
        <v>3978000</v>
      </c>
      <c r="Q63" s="213">
        <f t="shared" si="61"/>
        <v>3978000</v>
      </c>
      <c r="R63" s="213">
        <f t="shared" si="61"/>
        <v>3978000</v>
      </c>
      <c r="S63" s="213"/>
      <c r="T63" s="213">
        <f t="shared" si="42"/>
        <v>47736000</v>
      </c>
      <c r="U63" s="213"/>
      <c r="V63" s="213"/>
      <c r="W63" s="213"/>
      <c r="X63" s="213"/>
    </row>
    <row r="64" spans="1:74" hidden="1" outlineLevel="1">
      <c r="A64" s="217">
        <v>1</v>
      </c>
      <c r="B64" s="216">
        <v>1000000</v>
      </c>
      <c r="C64" s="218"/>
      <c r="E64" s="212" t="s">
        <v>409</v>
      </c>
      <c r="F64" s="217"/>
      <c r="G64" s="218">
        <f>+B64</f>
        <v>1000000</v>
      </c>
      <c r="H64" s="213">
        <f t="shared" ref="H64:R64" si="62">+G64</f>
        <v>1000000</v>
      </c>
      <c r="I64" s="213">
        <f t="shared" si="62"/>
        <v>1000000</v>
      </c>
      <c r="J64" s="213">
        <f t="shared" si="62"/>
        <v>1000000</v>
      </c>
      <c r="K64" s="213">
        <f t="shared" si="62"/>
        <v>1000000</v>
      </c>
      <c r="L64" s="213">
        <f t="shared" si="62"/>
        <v>1000000</v>
      </c>
      <c r="M64" s="213">
        <f t="shared" si="62"/>
        <v>1000000</v>
      </c>
      <c r="N64" s="213">
        <f t="shared" si="62"/>
        <v>1000000</v>
      </c>
      <c r="O64" s="213">
        <f t="shared" si="62"/>
        <v>1000000</v>
      </c>
      <c r="P64" s="213">
        <f t="shared" si="62"/>
        <v>1000000</v>
      </c>
      <c r="Q64" s="213">
        <f t="shared" si="62"/>
        <v>1000000</v>
      </c>
      <c r="R64" s="213">
        <f t="shared" si="62"/>
        <v>1000000</v>
      </c>
      <c r="S64" s="213"/>
      <c r="T64" s="213">
        <f t="shared" si="42"/>
        <v>12000000</v>
      </c>
      <c r="U64" s="213"/>
      <c r="V64" s="213"/>
      <c r="W64" s="213"/>
      <c r="X64" s="213"/>
    </row>
    <row r="65" spans="1:74" hidden="1" outlineLevel="1">
      <c r="A65" s="217">
        <v>1</v>
      </c>
      <c r="B65" s="218">
        <v>4000000</v>
      </c>
      <c r="C65" s="218">
        <f>+B65*1.53</f>
        <v>6120000</v>
      </c>
      <c r="E65" s="212" t="s">
        <v>408</v>
      </c>
      <c r="G65" s="218">
        <v>1000000</v>
      </c>
      <c r="H65" s="218">
        <f t="shared" ref="H65:R65" si="63">+G65</f>
        <v>1000000</v>
      </c>
      <c r="I65" s="218">
        <f t="shared" si="63"/>
        <v>1000000</v>
      </c>
      <c r="J65" s="218">
        <f t="shared" si="63"/>
        <v>1000000</v>
      </c>
      <c r="K65" s="218">
        <f t="shared" si="63"/>
        <v>1000000</v>
      </c>
      <c r="L65" s="218">
        <f t="shared" si="63"/>
        <v>1000000</v>
      </c>
      <c r="M65" s="218">
        <f t="shared" si="63"/>
        <v>1000000</v>
      </c>
      <c r="N65" s="218">
        <f t="shared" si="63"/>
        <v>1000000</v>
      </c>
      <c r="O65" s="218">
        <f t="shared" si="63"/>
        <v>1000000</v>
      </c>
      <c r="P65" s="218">
        <f t="shared" si="63"/>
        <v>1000000</v>
      </c>
      <c r="Q65" s="218">
        <f t="shared" si="63"/>
        <v>1000000</v>
      </c>
      <c r="R65" s="218">
        <f t="shared" si="63"/>
        <v>1000000</v>
      </c>
      <c r="S65" s="287"/>
      <c r="T65" s="218">
        <f t="shared" si="42"/>
        <v>12000000</v>
      </c>
      <c r="U65" s="218"/>
      <c r="V65" s="218"/>
      <c r="W65" s="218"/>
      <c r="X65" s="218"/>
    </row>
    <row r="66" spans="1:74" collapsed="1">
      <c r="A66" s="247"/>
      <c r="B66" s="240"/>
      <c r="C66" s="294"/>
      <c r="D66" s="284"/>
      <c r="E66" s="241" t="s">
        <v>529</v>
      </c>
      <c r="F66" s="240"/>
      <c r="G66" s="242">
        <f>SUM(G67:G69)</f>
        <v>2000000</v>
      </c>
      <c r="H66" s="242">
        <f t="shared" ref="H66:T66" si="64">SUM(H67:H69)</f>
        <v>2000000</v>
      </c>
      <c r="I66" s="242">
        <f t="shared" si="64"/>
        <v>2000000</v>
      </c>
      <c r="J66" s="242">
        <f t="shared" si="64"/>
        <v>2000000</v>
      </c>
      <c r="K66" s="242">
        <f t="shared" si="64"/>
        <v>2000000</v>
      </c>
      <c r="L66" s="242">
        <f t="shared" si="64"/>
        <v>2000000</v>
      </c>
      <c r="M66" s="242">
        <f t="shared" si="64"/>
        <v>2000000</v>
      </c>
      <c r="N66" s="242">
        <f t="shared" si="64"/>
        <v>2000000</v>
      </c>
      <c r="O66" s="242">
        <f t="shared" si="64"/>
        <v>2000000</v>
      </c>
      <c r="P66" s="242">
        <f t="shared" si="64"/>
        <v>2000000</v>
      </c>
      <c r="Q66" s="242">
        <f t="shared" si="64"/>
        <v>2000000</v>
      </c>
      <c r="R66" s="242">
        <f t="shared" si="64"/>
        <v>2000000</v>
      </c>
      <c r="S66" s="237"/>
      <c r="T66" s="242">
        <f t="shared" si="64"/>
        <v>24000000</v>
      </c>
      <c r="U66" s="242">
        <f t="shared" ref="U66" si="65">SUM(U67:U69)</f>
        <v>26400000.000000004</v>
      </c>
      <c r="V66" s="242">
        <f t="shared" ref="V66" si="66">SUM(V67:V69)</f>
        <v>29040000.000000007</v>
      </c>
      <c r="W66" s="242">
        <f t="shared" ref="W66" si="67">SUM(W67:W69)</f>
        <v>31944000.000000011</v>
      </c>
      <c r="X66" s="242">
        <f t="shared" ref="X66" si="68">SUM(X67:X69)</f>
        <v>35138400.000000015</v>
      </c>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7"/>
      <c r="BR66" s="247"/>
      <c r="BS66" s="247"/>
      <c r="BT66" s="247"/>
      <c r="BU66" s="247"/>
      <c r="BV66" s="247"/>
    </row>
    <row r="67" spans="1:74" hidden="1" outlineLevel="1">
      <c r="A67" s="217">
        <v>1</v>
      </c>
      <c r="B67" s="218">
        <v>4000000</v>
      </c>
      <c r="C67" s="218">
        <f>+B67*1.53</f>
        <v>6120000</v>
      </c>
      <c r="E67" s="212" t="s">
        <v>407</v>
      </c>
      <c r="G67" s="218">
        <v>2000000</v>
      </c>
      <c r="H67" s="218">
        <f t="shared" ref="H67:R67" si="69">+G67</f>
        <v>2000000</v>
      </c>
      <c r="I67" s="218">
        <f t="shared" si="69"/>
        <v>2000000</v>
      </c>
      <c r="J67" s="218">
        <f t="shared" si="69"/>
        <v>2000000</v>
      </c>
      <c r="K67" s="218">
        <f t="shared" si="69"/>
        <v>2000000</v>
      </c>
      <c r="L67" s="218">
        <f t="shared" si="69"/>
        <v>2000000</v>
      </c>
      <c r="M67" s="218">
        <f t="shared" si="69"/>
        <v>2000000</v>
      </c>
      <c r="N67" s="218">
        <f t="shared" si="69"/>
        <v>2000000</v>
      </c>
      <c r="O67" s="218">
        <f t="shared" si="69"/>
        <v>2000000</v>
      </c>
      <c r="P67" s="218">
        <f t="shared" si="69"/>
        <v>2000000</v>
      </c>
      <c r="Q67" s="218">
        <f t="shared" si="69"/>
        <v>2000000</v>
      </c>
      <c r="R67" s="218">
        <f t="shared" si="69"/>
        <v>2000000</v>
      </c>
      <c r="S67" s="287"/>
      <c r="T67" s="218">
        <f>SUM(G67:R67)</f>
        <v>24000000</v>
      </c>
      <c r="U67" s="218">
        <f>+T67*1.1</f>
        <v>26400000.000000004</v>
      </c>
      <c r="V67" s="218">
        <f t="shared" ref="V67:X67" si="70">+U67*1.1</f>
        <v>29040000.000000007</v>
      </c>
      <c r="W67" s="218">
        <f t="shared" si="70"/>
        <v>31944000.000000011</v>
      </c>
      <c r="X67" s="218">
        <f t="shared" si="70"/>
        <v>35138400.000000015</v>
      </c>
    </row>
    <row r="68" spans="1:74" hidden="1" outlineLevel="1">
      <c r="E68" s="212" t="s">
        <v>528</v>
      </c>
      <c r="T68" s="210">
        <f>SUM(G68:R68)</f>
        <v>0</v>
      </c>
    </row>
    <row r="69" spans="1:74" hidden="1" outlineLevel="1">
      <c r="E69" s="212" t="s">
        <v>429</v>
      </c>
    </row>
    <row r="70" spans="1:74" hidden="1" outlineLevel="1">
      <c r="A70" s="247"/>
      <c r="B70" s="247"/>
      <c r="C70" s="247"/>
      <c r="D70" s="284"/>
      <c r="E70" s="319" t="s">
        <v>527</v>
      </c>
      <c r="F70" s="247"/>
      <c r="G70" s="295">
        <f t="shared" ref="G70:R70" si="71">+G23-G66</f>
        <v>102000000</v>
      </c>
      <c r="H70" s="295">
        <f t="shared" si="71"/>
        <v>102000000</v>
      </c>
      <c r="I70" s="295">
        <f t="shared" si="71"/>
        <v>102000000</v>
      </c>
      <c r="J70" s="295">
        <f t="shared" si="71"/>
        <v>102000000</v>
      </c>
      <c r="K70" s="295">
        <f t="shared" si="71"/>
        <v>102000000</v>
      </c>
      <c r="L70" s="295">
        <f t="shared" si="71"/>
        <v>102000000</v>
      </c>
      <c r="M70" s="295">
        <f t="shared" si="71"/>
        <v>102000000</v>
      </c>
      <c r="N70" s="295">
        <f t="shared" si="71"/>
        <v>102000000</v>
      </c>
      <c r="O70" s="295">
        <f t="shared" si="71"/>
        <v>102000000</v>
      </c>
      <c r="P70" s="295">
        <f t="shared" si="71"/>
        <v>102000000</v>
      </c>
      <c r="Q70" s="295">
        <f t="shared" si="71"/>
        <v>102000000</v>
      </c>
      <c r="R70" s="295">
        <f t="shared" si="71"/>
        <v>102000000</v>
      </c>
      <c r="S70" s="216"/>
      <c r="T70" s="295">
        <f>+T23-T66</f>
        <v>1224000000</v>
      </c>
      <c r="U70" s="295">
        <f>+U23-U66</f>
        <v>1259040000</v>
      </c>
      <c r="V70" s="295">
        <f>+V23-V66</f>
        <v>1294963200</v>
      </c>
      <c r="W70" s="295">
        <f>+W23-W66</f>
        <v>1331779296</v>
      </c>
      <c r="X70" s="295">
        <f>+X23-X66</f>
        <v>1369496594.8800001</v>
      </c>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row>
    <row r="71" spans="1:74" hidden="1" outlineLevel="1">
      <c r="D71" s="286"/>
      <c r="E71" s="320" t="s">
        <v>530</v>
      </c>
      <c r="F71" s="314"/>
      <c r="G71" s="318">
        <f t="shared" ref="G71:R71" si="72">+G70/G23</f>
        <v>0.98076923076923073</v>
      </c>
      <c r="H71" s="318">
        <f t="shared" si="72"/>
        <v>0.98076923076923073</v>
      </c>
      <c r="I71" s="318">
        <f t="shared" si="72"/>
        <v>0.98076923076923073</v>
      </c>
      <c r="J71" s="318">
        <f t="shared" si="72"/>
        <v>0.98076923076923073</v>
      </c>
      <c r="K71" s="318">
        <f t="shared" si="72"/>
        <v>0.98076923076923073</v>
      </c>
      <c r="L71" s="318">
        <f t="shared" si="72"/>
        <v>0.98076923076923073</v>
      </c>
      <c r="M71" s="318">
        <f t="shared" si="72"/>
        <v>0.98076923076923073</v>
      </c>
      <c r="N71" s="318">
        <f t="shared" si="72"/>
        <v>0.98076923076923073</v>
      </c>
      <c r="O71" s="318">
        <f t="shared" si="72"/>
        <v>0.98076923076923073</v>
      </c>
      <c r="P71" s="318">
        <f t="shared" si="72"/>
        <v>0.98076923076923073</v>
      </c>
      <c r="Q71" s="318">
        <f t="shared" si="72"/>
        <v>0.98076923076923073</v>
      </c>
      <c r="R71" s="318">
        <f t="shared" si="72"/>
        <v>0.98076923076923073</v>
      </c>
      <c r="S71" s="314"/>
      <c r="T71" s="318">
        <f>+T70/T23</f>
        <v>0.98076923076923073</v>
      </c>
      <c r="U71" s="318">
        <f>+U70/U23</f>
        <v>0.97946228528752799</v>
      </c>
      <c r="V71" s="318">
        <f>+V70/V23</f>
        <v>0.97806651826823376</v>
      </c>
      <c r="W71" s="318">
        <f>+W70/W23</f>
        <v>0.976575893296172</v>
      </c>
      <c r="X71" s="318">
        <f>+X70/X23</f>
        <v>0.97498396371435847</v>
      </c>
      <c r="BP71" s="210"/>
    </row>
    <row r="72" spans="1:74" collapsed="1">
      <c r="D72" s="216"/>
      <c r="E72" s="305" t="s">
        <v>521</v>
      </c>
      <c r="F72" s="321"/>
      <c r="G72" s="321"/>
      <c r="H72" s="321"/>
      <c r="I72" s="321"/>
      <c r="J72" s="321"/>
      <c r="K72" s="321"/>
      <c r="L72" s="321"/>
      <c r="M72" s="321"/>
      <c r="N72" s="321"/>
      <c r="O72" s="321"/>
      <c r="P72" s="321"/>
      <c r="Q72" s="321"/>
      <c r="R72" s="321"/>
      <c r="S72" s="321"/>
      <c r="T72" s="322">
        <f>+'4. Resultados Financieros'!C12</f>
        <v>30800000</v>
      </c>
      <c r="U72" s="322">
        <f>+'4. Resultados Financieros'!D12</f>
        <v>30800000</v>
      </c>
      <c r="V72" s="322">
        <f>+'4. Resultados Financieros'!E12</f>
        <v>30800000</v>
      </c>
      <c r="W72" s="322">
        <f>+'4. Resultados Financieros'!F12</f>
        <v>30800000</v>
      </c>
      <c r="X72" s="322">
        <f>+'4. Resultados Financieros'!G12</f>
        <v>30800000</v>
      </c>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233"/>
      <c r="AY72" s="233"/>
      <c r="AZ72" s="233"/>
      <c r="BA72" s="233"/>
      <c r="BB72" s="233"/>
      <c r="BC72" s="233"/>
      <c r="BD72" s="233"/>
      <c r="BE72" s="233"/>
      <c r="BF72" s="233"/>
      <c r="BG72" s="233"/>
      <c r="BH72" s="233"/>
      <c r="BI72" s="233"/>
      <c r="BJ72" s="233"/>
      <c r="BK72" s="233"/>
      <c r="BL72" s="233"/>
      <c r="BM72" s="233"/>
      <c r="BN72" s="233"/>
      <c r="BO72" s="233"/>
      <c r="BP72" s="230"/>
      <c r="BQ72" s="225"/>
      <c r="BR72" s="225"/>
      <c r="BS72" s="225"/>
      <c r="BT72" s="225"/>
      <c r="BU72" s="225"/>
      <c r="BV72" s="225"/>
    </row>
    <row r="73" spans="1:74">
      <c r="D73" s="216"/>
      <c r="E73" s="219"/>
      <c r="F73" s="229"/>
      <c r="G73" s="229"/>
      <c r="H73" s="229"/>
      <c r="I73" s="229"/>
      <c r="J73" s="229"/>
      <c r="K73" s="229"/>
      <c r="L73" s="229"/>
      <c r="M73" s="229"/>
      <c r="N73" s="229"/>
      <c r="O73" s="229"/>
      <c r="P73" s="229"/>
      <c r="Q73" s="229"/>
      <c r="R73" s="229"/>
      <c r="S73" s="229"/>
      <c r="T73" s="299">
        <f>+T72/F8</f>
        <v>0.14128440366972478</v>
      </c>
      <c r="U73" s="300"/>
      <c r="V73" s="300"/>
      <c r="W73" s="300"/>
      <c r="X73" s="300"/>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row>
    <row r="74" spans="1:74">
      <c r="D74" s="284"/>
      <c r="E74" s="296" t="s">
        <v>522</v>
      </c>
      <c r="F74" s="297"/>
      <c r="G74" s="298">
        <f t="shared" ref="G74:R74" si="73">+G32-G33-G72</f>
        <v>26844000</v>
      </c>
      <c r="H74" s="298">
        <f t="shared" si="73"/>
        <v>26844000</v>
      </c>
      <c r="I74" s="298">
        <f t="shared" si="73"/>
        <v>26844000</v>
      </c>
      <c r="J74" s="298">
        <f t="shared" si="73"/>
        <v>26844000</v>
      </c>
      <c r="K74" s="298">
        <f t="shared" si="73"/>
        <v>26844000</v>
      </c>
      <c r="L74" s="298">
        <f t="shared" si="73"/>
        <v>26844000</v>
      </c>
      <c r="M74" s="298">
        <f t="shared" si="73"/>
        <v>26844000</v>
      </c>
      <c r="N74" s="298">
        <f t="shared" si="73"/>
        <v>26844000</v>
      </c>
      <c r="O74" s="298">
        <f t="shared" si="73"/>
        <v>26844000</v>
      </c>
      <c r="P74" s="298">
        <f t="shared" si="73"/>
        <v>26844000</v>
      </c>
      <c r="Q74" s="298">
        <f t="shared" si="73"/>
        <v>26844000</v>
      </c>
      <c r="R74" s="298">
        <f t="shared" si="73"/>
        <v>26844000</v>
      </c>
      <c r="S74" s="216"/>
      <c r="T74" s="298">
        <f>+T32-T33-T72</f>
        <v>291328000</v>
      </c>
      <c r="U74" s="298">
        <f>+U32-U33-U72</f>
        <v>309530560</v>
      </c>
      <c r="V74" s="298">
        <f>+V32-V33-V72</f>
        <v>328291571.20000005</v>
      </c>
      <c r="W74" s="298">
        <f>+W32-W33-W72</f>
        <v>347614354.62400007</v>
      </c>
      <c r="X74" s="298">
        <f>+X32-X33-X72</f>
        <v>367500715.87647998</v>
      </c>
    </row>
    <row r="75" spans="1:74">
      <c r="D75" s="284"/>
      <c r="E75" s="310" t="s">
        <v>525</v>
      </c>
      <c r="F75" s="311"/>
      <c r="G75" s="312"/>
      <c r="H75" s="312"/>
      <c r="I75" s="312"/>
      <c r="J75" s="312"/>
      <c r="K75" s="312"/>
      <c r="L75" s="312"/>
      <c r="M75" s="312"/>
      <c r="N75" s="312"/>
      <c r="O75" s="312"/>
      <c r="P75" s="312"/>
      <c r="Q75" s="312"/>
      <c r="R75" s="312"/>
      <c r="S75" s="314"/>
      <c r="T75" s="313">
        <f>+T74/T23</f>
        <v>0.23343589743589743</v>
      </c>
      <c r="U75" s="313">
        <f>+U74/U23</f>
        <v>0.24079736121483694</v>
      </c>
      <c r="V75" s="313">
        <f>+V74/V23</f>
        <v>0.24795375962837557</v>
      </c>
      <c r="W75" s="313">
        <f>+W74/W23</f>
        <v>0.25490094335383418</v>
      </c>
      <c r="X75" s="313">
        <f>+X74/X23</f>
        <v>0.26163431583012503</v>
      </c>
      <c r="BP75" s="210"/>
    </row>
    <row r="76" spans="1:74">
      <c r="D76" s="284"/>
      <c r="E76" s="296" t="s">
        <v>523</v>
      </c>
      <c r="F76" s="297"/>
      <c r="G76" s="298">
        <f t="shared" ref="G76:Q76" si="74">+G74+G72</f>
        <v>26844000</v>
      </c>
      <c r="H76" s="298">
        <f t="shared" si="74"/>
        <v>26844000</v>
      </c>
      <c r="I76" s="298">
        <f t="shared" si="74"/>
        <v>26844000</v>
      </c>
      <c r="J76" s="298">
        <f t="shared" si="74"/>
        <v>26844000</v>
      </c>
      <c r="K76" s="298">
        <f t="shared" si="74"/>
        <v>26844000</v>
      </c>
      <c r="L76" s="298">
        <f t="shared" si="74"/>
        <v>26844000</v>
      </c>
      <c r="M76" s="298">
        <f t="shared" si="74"/>
        <v>26844000</v>
      </c>
      <c r="N76" s="298">
        <f t="shared" si="74"/>
        <v>26844000</v>
      </c>
      <c r="O76" s="298">
        <f t="shared" si="74"/>
        <v>26844000</v>
      </c>
      <c r="P76" s="298">
        <f t="shared" si="74"/>
        <v>26844000</v>
      </c>
      <c r="Q76" s="298">
        <f t="shared" si="74"/>
        <v>26844000</v>
      </c>
      <c r="R76" s="298">
        <f>+R74+R72</f>
        <v>26844000</v>
      </c>
      <c r="S76" s="216"/>
      <c r="T76" s="298">
        <f>+T74+T72</f>
        <v>322128000</v>
      </c>
      <c r="U76" s="298">
        <f t="shared" ref="U76:X76" si="75">+U74+U72</f>
        <v>340330560</v>
      </c>
      <c r="V76" s="298">
        <f t="shared" si="75"/>
        <v>359091571.20000005</v>
      </c>
      <c r="W76" s="298">
        <f t="shared" si="75"/>
        <v>378414354.62400007</v>
      </c>
      <c r="X76" s="298">
        <f t="shared" si="75"/>
        <v>398300715.87647998</v>
      </c>
    </row>
    <row r="77" spans="1:74">
      <c r="B77" s="231"/>
      <c r="E77" s="305" t="s">
        <v>97</v>
      </c>
      <c r="F77" s="281"/>
      <c r="G77" s="281"/>
      <c r="H77" s="281"/>
      <c r="I77" s="281"/>
      <c r="J77" s="281"/>
      <c r="K77" s="281"/>
      <c r="L77" s="281"/>
      <c r="M77" s="281"/>
      <c r="N77" s="281"/>
      <c r="O77" s="281"/>
      <c r="P77" s="281"/>
      <c r="Q77" s="281"/>
      <c r="R77" s="281"/>
      <c r="T77" s="304">
        <f>+'4. Resultados Financieros'!C14</f>
        <v>121869182.40000001</v>
      </c>
      <c r="U77" s="304">
        <f>+'4. Resultados Financieros'!D14</f>
        <v>90003055.941580877</v>
      </c>
      <c r="V77" s="304">
        <f>+'4. Resultados Financieros'!E14</f>
        <v>50062053.038598321</v>
      </c>
      <c r="W77" s="304">
        <f>+'4. Resultados Financieros'!F14</f>
        <v>0</v>
      </c>
      <c r="X77" s="304">
        <f>+'4. Resultados Financieros'!G14</f>
        <v>0</v>
      </c>
    </row>
    <row r="78" spans="1:74">
      <c r="B78" s="231"/>
      <c r="E78" s="303" t="s">
        <v>98</v>
      </c>
      <c r="F78" s="222"/>
      <c r="G78" s="222"/>
      <c r="H78" s="222"/>
      <c r="I78" s="222"/>
      <c r="J78" s="222"/>
      <c r="K78" s="222"/>
      <c r="L78" s="222"/>
      <c r="M78" s="222"/>
      <c r="N78" s="222"/>
      <c r="O78" s="222"/>
      <c r="P78" s="222"/>
      <c r="Q78" s="222"/>
      <c r="R78" s="222"/>
      <c r="T78" s="223">
        <f>+T74-T77</f>
        <v>169458817.59999999</v>
      </c>
      <c r="U78" s="223">
        <f t="shared" ref="U78:X78" si="76">+U74-U77</f>
        <v>219527504.05841911</v>
      </c>
      <c r="V78" s="223">
        <f t="shared" si="76"/>
        <v>278229518.16140175</v>
      </c>
      <c r="W78" s="223">
        <f t="shared" si="76"/>
        <v>347614354.62400007</v>
      </c>
      <c r="X78" s="223">
        <f t="shared" si="76"/>
        <v>367500715.87647998</v>
      </c>
    </row>
    <row r="79" spans="1:74">
      <c r="B79" s="231"/>
      <c r="D79" s="315">
        <f>+'1. Ventas y Premisas'!AB7</f>
        <v>0.35</v>
      </c>
      <c r="E79" s="303" t="s">
        <v>99</v>
      </c>
      <c r="F79" s="222"/>
      <c r="G79" s="222"/>
      <c r="H79" s="222"/>
      <c r="I79" s="222"/>
      <c r="J79" s="222"/>
      <c r="K79" s="222"/>
      <c r="L79" s="222"/>
      <c r="M79" s="222"/>
      <c r="N79" s="222"/>
      <c r="O79" s="222"/>
      <c r="P79" s="222"/>
      <c r="Q79" s="222"/>
      <c r="R79" s="222"/>
      <c r="T79" s="223">
        <f>+T78*$D$79</f>
        <v>59310586.159999996</v>
      </c>
      <c r="U79" s="223">
        <f t="shared" ref="U79:X79" si="77">+U78*$D$79</f>
        <v>76834626.420446679</v>
      </c>
      <c r="V79" s="223">
        <f t="shared" si="77"/>
        <v>97380331.356490612</v>
      </c>
      <c r="W79" s="223">
        <f t="shared" si="77"/>
        <v>121665024.11840002</v>
      </c>
      <c r="X79" s="223">
        <f t="shared" si="77"/>
        <v>128625250.55676799</v>
      </c>
    </row>
    <row r="80" spans="1:74">
      <c r="B80" s="231"/>
      <c r="E80" s="307" t="s">
        <v>100</v>
      </c>
      <c r="F80" s="308"/>
      <c r="G80" s="308"/>
      <c r="H80" s="308"/>
      <c r="I80" s="308"/>
      <c r="J80" s="308"/>
      <c r="K80" s="308"/>
      <c r="L80" s="308"/>
      <c r="M80" s="308"/>
      <c r="N80" s="308"/>
      <c r="O80" s="308"/>
      <c r="P80" s="308"/>
      <c r="Q80" s="308"/>
      <c r="R80" s="308"/>
      <c r="T80" s="309">
        <f>+T78-T79</f>
        <v>110148231.44</v>
      </c>
      <c r="U80" s="309">
        <f t="shared" ref="U80:X80" si="78">+U78-U79</f>
        <v>142692877.63797241</v>
      </c>
      <c r="V80" s="309">
        <f t="shared" si="78"/>
        <v>180849186.80491114</v>
      </c>
      <c r="W80" s="309">
        <f t="shared" si="78"/>
        <v>225949330.50560004</v>
      </c>
      <c r="X80" s="309">
        <f t="shared" si="78"/>
        <v>238875465.31971198</v>
      </c>
    </row>
    <row r="81" spans="2:32">
      <c r="B81" s="231"/>
      <c r="E81" s="323" t="s">
        <v>526</v>
      </c>
      <c r="F81" s="324"/>
      <c r="G81" s="325"/>
      <c r="H81" s="325"/>
      <c r="I81" s="325"/>
      <c r="J81" s="325"/>
      <c r="K81" s="325"/>
      <c r="L81" s="325"/>
      <c r="M81" s="325"/>
      <c r="N81" s="325"/>
      <c r="O81" s="325"/>
      <c r="P81" s="325"/>
      <c r="Q81" s="325"/>
      <c r="R81" s="325"/>
      <c r="S81" s="324"/>
      <c r="T81" s="326">
        <f>+T80/T23</f>
        <v>8.8259800833333332E-2</v>
      </c>
      <c r="U81" s="326">
        <f>+U80/U23</f>
        <v>0.11100703077387697</v>
      </c>
      <c r="V81" s="326">
        <f>+V80/V23</f>
        <v>0.13659271125999631</v>
      </c>
      <c r="W81" s="326">
        <f>+W80/W23</f>
        <v>0.16568561317999222</v>
      </c>
      <c r="X81" s="326">
        <f>+X80/X23</f>
        <v>0.17006230528958124</v>
      </c>
    </row>
    <row r="82" spans="2:32">
      <c r="B82" s="231"/>
    </row>
    <row r="83" spans="2:32">
      <c r="B83" s="231"/>
      <c r="E83" s="310" t="s">
        <v>524</v>
      </c>
      <c r="F83" s="311"/>
      <c r="G83" s="313">
        <f t="shared" ref="G83:R83" si="79">+G32/G23</f>
        <v>0.90384615384615385</v>
      </c>
      <c r="H83" s="313">
        <f t="shared" si="79"/>
        <v>0.90384615384615385</v>
      </c>
      <c r="I83" s="313">
        <f t="shared" si="79"/>
        <v>0.90384615384615385</v>
      </c>
      <c r="J83" s="313">
        <f t="shared" si="79"/>
        <v>0.90384615384615385</v>
      </c>
      <c r="K83" s="313">
        <f t="shared" si="79"/>
        <v>0.90384615384615385</v>
      </c>
      <c r="L83" s="313">
        <f t="shared" si="79"/>
        <v>0.90384615384615385</v>
      </c>
      <c r="M83" s="313">
        <f t="shared" si="79"/>
        <v>0.90384615384615385</v>
      </c>
      <c r="N83" s="313">
        <f t="shared" si="79"/>
        <v>0.90384615384615385</v>
      </c>
      <c r="O83" s="313">
        <f t="shared" si="79"/>
        <v>0.90384615384615385</v>
      </c>
      <c r="P83" s="313">
        <f t="shared" si="79"/>
        <v>0.90384615384615385</v>
      </c>
      <c r="Q83" s="313">
        <f t="shared" si="79"/>
        <v>0.90384615384615385</v>
      </c>
      <c r="R83" s="313">
        <f t="shared" si="79"/>
        <v>0.90384615384615385</v>
      </c>
      <c r="S83" s="314"/>
      <c r="T83" s="313">
        <f>+T32/T23</f>
        <v>0.90384615384615385</v>
      </c>
      <c r="U83" s="313">
        <f>+U32/U23</f>
        <v>0.90571321882001499</v>
      </c>
      <c r="V83" s="313">
        <f>+V32/V23</f>
        <v>0.90754403010506324</v>
      </c>
      <c r="W83" s="313">
        <f>+W32/W23</f>
        <v>0.90933929165642113</v>
      </c>
      <c r="X83" s="313">
        <f>+X32/X23</f>
        <v>0.91109969376017996</v>
      </c>
    </row>
    <row r="84" spans="2:32">
      <c r="B84" s="231"/>
      <c r="E84" s="327" t="s">
        <v>527</v>
      </c>
      <c r="F84" s="328"/>
      <c r="G84" s="329">
        <f t="shared" ref="G84:R84" si="80">+(G23-G28-G66)/G23</f>
        <v>0.88461538461538458</v>
      </c>
      <c r="H84" s="329">
        <f t="shared" si="80"/>
        <v>0.88461538461538458</v>
      </c>
      <c r="I84" s="329">
        <f t="shared" si="80"/>
        <v>0.88461538461538458</v>
      </c>
      <c r="J84" s="329">
        <f t="shared" si="80"/>
        <v>0.88461538461538458</v>
      </c>
      <c r="K84" s="329">
        <f t="shared" si="80"/>
        <v>0.88461538461538458</v>
      </c>
      <c r="L84" s="329">
        <f t="shared" si="80"/>
        <v>0.88461538461538458</v>
      </c>
      <c r="M84" s="329">
        <f t="shared" si="80"/>
        <v>0.88461538461538458</v>
      </c>
      <c r="N84" s="329">
        <f t="shared" si="80"/>
        <v>0.88461538461538458</v>
      </c>
      <c r="O84" s="329">
        <f t="shared" si="80"/>
        <v>0.88461538461538458</v>
      </c>
      <c r="P84" s="329">
        <f t="shared" si="80"/>
        <v>0.88461538461538458</v>
      </c>
      <c r="Q84" s="329">
        <f t="shared" si="80"/>
        <v>0.88461538461538458</v>
      </c>
      <c r="R84" s="329">
        <f t="shared" si="80"/>
        <v>0.88461538461538458</v>
      </c>
      <c r="S84" s="328"/>
      <c r="T84" s="329">
        <f>+(T23-T28-T66)/T23</f>
        <v>0.88461538461538458</v>
      </c>
      <c r="U84" s="329">
        <f>+(U23-U28-U67)/U23</f>
        <v>0.88517550410754298</v>
      </c>
      <c r="V84" s="329">
        <f>+(V23-V28-V66)/V23</f>
        <v>0.885610548373297</v>
      </c>
      <c r="W84" s="329">
        <f>+(W23-W28-W66)/W23</f>
        <v>0.88591518495259325</v>
      </c>
      <c r="X84" s="329">
        <f>+(X23-X28-X66)/X23</f>
        <v>0.88608365747453843</v>
      </c>
    </row>
    <row r="85" spans="2:32">
      <c r="B85" s="231"/>
      <c r="E85" s="310" t="s">
        <v>531</v>
      </c>
      <c r="F85" s="311"/>
      <c r="G85" s="313">
        <f t="shared" ref="G85:R85" si="81">+(G32-(G33+G72))/G23</f>
        <v>0.25811538461538464</v>
      </c>
      <c r="H85" s="313">
        <f t="shared" si="81"/>
        <v>0.25811538461538464</v>
      </c>
      <c r="I85" s="313">
        <f t="shared" si="81"/>
        <v>0.25811538461538464</v>
      </c>
      <c r="J85" s="313">
        <f t="shared" si="81"/>
        <v>0.25811538461538464</v>
      </c>
      <c r="K85" s="313">
        <f t="shared" si="81"/>
        <v>0.25811538461538464</v>
      </c>
      <c r="L85" s="313">
        <f t="shared" si="81"/>
        <v>0.25811538461538464</v>
      </c>
      <c r="M85" s="313">
        <f t="shared" si="81"/>
        <v>0.25811538461538464</v>
      </c>
      <c r="N85" s="313">
        <f t="shared" si="81"/>
        <v>0.25811538461538464</v>
      </c>
      <c r="O85" s="313">
        <f t="shared" si="81"/>
        <v>0.25811538461538464</v>
      </c>
      <c r="P85" s="313">
        <f t="shared" si="81"/>
        <v>0.25811538461538464</v>
      </c>
      <c r="Q85" s="313">
        <f t="shared" si="81"/>
        <v>0.25811538461538464</v>
      </c>
      <c r="R85" s="313">
        <f t="shared" si="81"/>
        <v>0.25811538461538464</v>
      </c>
      <c r="S85" s="314"/>
      <c r="T85" s="313">
        <f>+T74/T23</f>
        <v>0.23343589743589743</v>
      </c>
      <c r="U85" s="313">
        <f>+U74/U23</f>
        <v>0.24079736121483694</v>
      </c>
      <c r="V85" s="313">
        <f>+V74/V23</f>
        <v>0.24795375962837557</v>
      </c>
      <c r="W85" s="313">
        <f>+W74/W23</f>
        <v>0.25490094335383418</v>
      </c>
      <c r="X85" s="313">
        <f>+X74/X23</f>
        <v>0.26163431583012503</v>
      </c>
    </row>
    <row r="86" spans="2:32">
      <c r="B86" s="231"/>
      <c r="E86" s="310" t="s">
        <v>523</v>
      </c>
      <c r="F86" s="311"/>
      <c r="G86" s="313"/>
      <c r="H86" s="313"/>
      <c r="I86" s="313"/>
      <c r="J86" s="313"/>
      <c r="K86" s="313"/>
      <c r="L86" s="313"/>
      <c r="M86" s="313"/>
      <c r="N86" s="313"/>
      <c r="O86" s="313"/>
      <c r="P86" s="313"/>
      <c r="Q86" s="313"/>
      <c r="R86" s="313"/>
      <c r="S86" s="314"/>
      <c r="T86" s="313">
        <f>+T76/T23</f>
        <v>0.25811538461538464</v>
      </c>
      <c r="U86" s="313">
        <f t="shared" ref="U86:X86" si="82">+U76/U23</f>
        <v>0.26475802837938761</v>
      </c>
      <c r="V86" s="313">
        <f t="shared" si="82"/>
        <v>0.2712165432832791</v>
      </c>
      <c r="W86" s="313">
        <f t="shared" si="82"/>
        <v>0.27748617020325511</v>
      </c>
      <c r="X86" s="313">
        <f t="shared" si="82"/>
        <v>0.28356172053830064</v>
      </c>
    </row>
    <row r="87" spans="2:32">
      <c r="B87" s="231"/>
      <c r="U87" s="216"/>
      <c r="AA87" s="229"/>
      <c r="AB87" s="229"/>
      <c r="AC87" s="229"/>
      <c r="AD87" s="229"/>
      <c r="AE87" s="229"/>
      <c r="AF87" s="229"/>
    </row>
    <row r="88" spans="2:32">
      <c r="B88" s="231"/>
      <c r="T88" s="318"/>
      <c r="AA88" s="229"/>
      <c r="AB88" s="306"/>
      <c r="AC88" s="306"/>
      <c r="AD88" s="306"/>
      <c r="AE88" s="306"/>
      <c r="AF88" s="306"/>
    </row>
    <row r="89" spans="2:32">
      <c r="B89" s="231"/>
      <c r="E89" s="406" t="s">
        <v>544</v>
      </c>
      <c r="F89" s="407"/>
      <c r="G89" s="407"/>
      <c r="H89" s="407"/>
      <c r="I89" s="407"/>
      <c r="J89" s="407"/>
      <c r="K89" s="407"/>
      <c r="L89" s="407"/>
      <c r="M89" s="407"/>
      <c r="N89" s="407"/>
      <c r="O89" s="407"/>
      <c r="P89" s="407"/>
      <c r="Q89" s="407"/>
      <c r="R89" s="407"/>
      <c r="S89" s="407"/>
      <c r="T89" s="407" t="s">
        <v>288</v>
      </c>
      <c r="U89" s="407" t="s">
        <v>10</v>
      </c>
      <c r="V89" s="407" t="s">
        <v>11</v>
      </c>
      <c r="W89" s="407" t="s">
        <v>12</v>
      </c>
      <c r="X89" s="407" t="s">
        <v>13</v>
      </c>
      <c r="AA89" s="229"/>
      <c r="AB89" s="237"/>
      <c r="AC89" s="237"/>
      <c r="AD89" s="237"/>
      <c r="AE89" s="237"/>
      <c r="AF89" s="237"/>
    </row>
    <row r="90" spans="2:32">
      <c r="B90" s="231"/>
      <c r="E90" s="406" t="s">
        <v>541</v>
      </c>
      <c r="F90" s="407"/>
      <c r="G90" s="407"/>
      <c r="H90" s="407"/>
      <c r="I90" s="407"/>
      <c r="J90" s="407"/>
      <c r="K90" s="407"/>
      <c r="L90" s="407"/>
      <c r="M90" s="407"/>
      <c r="N90" s="407"/>
      <c r="O90" s="407"/>
      <c r="P90" s="407"/>
      <c r="Q90" s="407"/>
      <c r="R90" s="407"/>
      <c r="S90" s="407"/>
      <c r="T90" s="408">
        <v>1248000000</v>
      </c>
      <c r="U90" s="408">
        <v>1323878400</v>
      </c>
      <c r="V90" s="408">
        <v>1404370206.72</v>
      </c>
      <c r="W90" s="408">
        <v>1489755915.2885759</v>
      </c>
      <c r="X90" s="408">
        <v>1580333074.9381216</v>
      </c>
      <c r="AA90" s="229"/>
      <c r="AB90" s="229"/>
      <c r="AC90" s="229"/>
      <c r="AD90" s="229"/>
      <c r="AE90" s="229"/>
      <c r="AF90" s="229"/>
    </row>
    <row r="91" spans="2:32">
      <c r="B91" s="231"/>
      <c r="E91" s="406" t="s">
        <v>542</v>
      </c>
      <c r="F91" s="407"/>
      <c r="G91" s="407">
        <v>10</v>
      </c>
      <c r="H91" s="407">
        <v>10</v>
      </c>
      <c r="I91" s="407">
        <v>10</v>
      </c>
      <c r="J91" s="407">
        <v>10</v>
      </c>
      <c r="K91" s="407">
        <v>10</v>
      </c>
      <c r="L91" s="407">
        <v>10</v>
      </c>
      <c r="M91" s="407">
        <v>10</v>
      </c>
      <c r="N91" s="407">
        <v>10</v>
      </c>
      <c r="O91" s="407">
        <v>10</v>
      </c>
      <c r="P91" s="407">
        <v>10</v>
      </c>
      <c r="Q91" s="407">
        <v>10</v>
      </c>
      <c r="R91" s="407">
        <v>10</v>
      </c>
      <c r="S91" s="407"/>
      <c r="T91" s="407">
        <v>10</v>
      </c>
      <c r="U91" s="407">
        <v>10</v>
      </c>
      <c r="V91" s="407">
        <v>10</v>
      </c>
      <c r="W91" s="407">
        <v>10</v>
      </c>
      <c r="X91" s="407">
        <v>10</v>
      </c>
      <c r="AA91" s="229"/>
      <c r="AB91" s="229"/>
      <c r="AC91" s="229"/>
      <c r="AD91" s="229"/>
      <c r="AE91" s="229"/>
      <c r="AF91" s="229"/>
    </row>
    <row r="92" spans="2:32">
      <c r="B92" s="231"/>
      <c r="E92" s="409" t="s">
        <v>424</v>
      </c>
      <c r="F92" s="410"/>
      <c r="G92" s="410">
        <v>1</v>
      </c>
      <c r="H92" s="410">
        <v>1</v>
      </c>
      <c r="I92" s="410">
        <v>1</v>
      </c>
      <c r="J92" s="410">
        <v>1</v>
      </c>
      <c r="K92" s="410">
        <v>1</v>
      </c>
      <c r="L92" s="410">
        <v>1</v>
      </c>
      <c r="M92" s="410">
        <v>1</v>
      </c>
      <c r="N92" s="410">
        <v>1</v>
      </c>
      <c r="O92" s="410">
        <v>1</v>
      </c>
      <c r="P92" s="410">
        <v>1</v>
      </c>
      <c r="Q92" s="410">
        <v>1</v>
      </c>
      <c r="R92" s="410">
        <v>1</v>
      </c>
      <c r="S92" s="410"/>
      <c r="T92" s="410">
        <v>1</v>
      </c>
      <c r="U92" s="410">
        <v>1</v>
      </c>
      <c r="V92" s="410">
        <v>1</v>
      </c>
      <c r="W92" s="410">
        <v>1</v>
      </c>
      <c r="X92" s="410">
        <v>1</v>
      </c>
      <c r="AA92" s="229"/>
      <c r="AB92" s="229"/>
      <c r="AC92" s="229"/>
      <c r="AD92" s="229"/>
      <c r="AE92" s="229"/>
      <c r="AF92" s="229"/>
    </row>
    <row r="93" spans="2:32">
      <c r="B93" s="231"/>
      <c r="E93" s="409" t="s">
        <v>536</v>
      </c>
      <c r="F93" s="410"/>
      <c r="G93" s="410">
        <v>1</v>
      </c>
      <c r="H93" s="410">
        <v>1</v>
      </c>
      <c r="I93" s="410">
        <v>1</v>
      </c>
      <c r="J93" s="410">
        <v>1</v>
      </c>
      <c r="K93" s="410">
        <v>1</v>
      </c>
      <c r="L93" s="410">
        <v>1</v>
      </c>
      <c r="M93" s="410">
        <v>1</v>
      </c>
      <c r="N93" s="410">
        <v>1</v>
      </c>
      <c r="O93" s="410">
        <v>1</v>
      </c>
      <c r="P93" s="410">
        <v>1</v>
      </c>
      <c r="Q93" s="410">
        <v>1</v>
      </c>
      <c r="R93" s="410">
        <v>1</v>
      </c>
      <c r="S93" s="410"/>
      <c r="T93" s="410">
        <v>1</v>
      </c>
      <c r="U93" s="410">
        <v>1</v>
      </c>
      <c r="V93" s="410">
        <v>1</v>
      </c>
      <c r="W93" s="410">
        <v>1</v>
      </c>
      <c r="X93" s="410">
        <v>1</v>
      </c>
    </row>
    <row r="94" spans="2:32">
      <c r="B94" s="231"/>
      <c r="E94" s="409" t="s">
        <v>543</v>
      </c>
      <c r="F94" s="410"/>
      <c r="G94" s="410">
        <v>1</v>
      </c>
      <c r="H94" s="410">
        <v>1</v>
      </c>
      <c r="I94" s="410">
        <v>1</v>
      </c>
      <c r="J94" s="410">
        <v>1</v>
      </c>
      <c r="K94" s="410">
        <v>1</v>
      </c>
      <c r="L94" s="410">
        <v>1</v>
      </c>
      <c r="M94" s="410">
        <v>1</v>
      </c>
      <c r="N94" s="410">
        <v>1</v>
      </c>
      <c r="O94" s="410">
        <v>1</v>
      </c>
      <c r="P94" s="410">
        <v>1</v>
      </c>
      <c r="Q94" s="410">
        <v>1</v>
      </c>
      <c r="R94" s="410">
        <v>1</v>
      </c>
      <c r="S94" s="410"/>
      <c r="T94" s="410">
        <v>1</v>
      </c>
      <c r="U94" s="410">
        <v>1</v>
      </c>
      <c r="V94" s="410">
        <v>1</v>
      </c>
      <c r="W94" s="410">
        <v>1</v>
      </c>
      <c r="X94" s="410">
        <v>1</v>
      </c>
    </row>
    <row r="95" spans="2:32">
      <c r="B95" s="231"/>
      <c r="E95" s="409" t="s">
        <v>320</v>
      </c>
      <c r="F95" s="410"/>
      <c r="G95" s="410">
        <v>1</v>
      </c>
      <c r="H95" s="410">
        <v>1</v>
      </c>
      <c r="I95" s="410">
        <v>1</v>
      </c>
      <c r="J95" s="410">
        <v>1</v>
      </c>
      <c r="K95" s="410">
        <v>1</v>
      </c>
      <c r="L95" s="410">
        <v>1</v>
      </c>
      <c r="M95" s="410">
        <v>1</v>
      </c>
      <c r="N95" s="410">
        <v>1</v>
      </c>
      <c r="O95" s="410">
        <v>1</v>
      </c>
      <c r="P95" s="410">
        <v>1</v>
      </c>
      <c r="Q95" s="410">
        <v>1</v>
      </c>
      <c r="R95" s="410">
        <v>1</v>
      </c>
      <c r="S95" s="410"/>
      <c r="T95" s="410">
        <v>1</v>
      </c>
      <c r="U95" s="410">
        <v>1</v>
      </c>
      <c r="V95" s="410">
        <v>1</v>
      </c>
      <c r="W95" s="410">
        <v>1</v>
      </c>
      <c r="X95" s="410">
        <v>1</v>
      </c>
    </row>
    <row r="96" spans="2:32">
      <c r="B96" s="231"/>
      <c r="E96" s="409" t="s">
        <v>537</v>
      </c>
      <c r="F96" s="410"/>
      <c r="G96" s="410">
        <v>1</v>
      </c>
      <c r="H96" s="410">
        <v>1</v>
      </c>
      <c r="I96" s="410">
        <v>1</v>
      </c>
      <c r="J96" s="410">
        <v>1</v>
      </c>
      <c r="K96" s="410">
        <v>1</v>
      </c>
      <c r="L96" s="410">
        <v>1</v>
      </c>
      <c r="M96" s="410">
        <v>1</v>
      </c>
      <c r="N96" s="410">
        <v>1</v>
      </c>
      <c r="O96" s="410">
        <v>1</v>
      </c>
      <c r="P96" s="410">
        <v>1</v>
      </c>
      <c r="Q96" s="410">
        <v>1</v>
      </c>
      <c r="R96" s="410">
        <v>1</v>
      </c>
      <c r="S96" s="410"/>
      <c r="T96" s="410">
        <v>1</v>
      </c>
      <c r="U96" s="410">
        <v>1</v>
      </c>
      <c r="V96" s="410">
        <v>1</v>
      </c>
      <c r="W96" s="410">
        <v>1</v>
      </c>
      <c r="X96" s="410">
        <v>1</v>
      </c>
    </row>
    <row r="97" spans="2:32">
      <c r="B97" s="231"/>
      <c r="E97" s="409" t="s">
        <v>358</v>
      </c>
      <c r="F97" s="410"/>
      <c r="G97" s="410">
        <v>1</v>
      </c>
      <c r="H97" s="410">
        <v>1</v>
      </c>
      <c r="I97" s="410">
        <v>1</v>
      </c>
      <c r="J97" s="410">
        <v>1</v>
      </c>
      <c r="K97" s="410">
        <v>1</v>
      </c>
      <c r="L97" s="410">
        <v>1</v>
      </c>
      <c r="M97" s="410">
        <v>1</v>
      </c>
      <c r="N97" s="410">
        <v>1</v>
      </c>
      <c r="O97" s="410">
        <v>1</v>
      </c>
      <c r="P97" s="410">
        <v>1</v>
      </c>
      <c r="Q97" s="410">
        <v>1</v>
      </c>
      <c r="R97" s="410">
        <v>1</v>
      </c>
      <c r="S97" s="410"/>
      <c r="T97" s="410">
        <v>1</v>
      </c>
      <c r="U97" s="410">
        <v>1</v>
      </c>
      <c r="V97" s="410">
        <v>1</v>
      </c>
      <c r="W97" s="410">
        <v>1</v>
      </c>
      <c r="X97" s="410">
        <v>1</v>
      </c>
    </row>
    <row r="98" spans="2:32">
      <c r="B98" s="231"/>
      <c r="E98" s="409" t="s">
        <v>421</v>
      </c>
      <c r="F98" s="410"/>
      <c r="G98" s="410">
        <v>1</v>
      </c>
      <c r="H98" s="410">
        <v>1</v>
      </c>
      <c r="I98" s="410">
        <v>1</v>
      </c>
      <c r="J98" s="410">
        <v>1</v>
      </c>
      <c r="K98" s="410">
        <v>1</v>
      </c>
      <c r="L98" s="410">
        <v>1</v>
      </c>
      <c r="M98" s="410">
        <v>1</v>
      </c>
      <c r="N98" s="410">
        <v>1</v>
      </c>
      <c r="O98" s="410">
        <v>1</v>
      </c>
      <c r="P98" s="410">
        <v>1</v>
      </c>
      <c r="Q98" s="410">
        <v>1</v>
      </c>
      <c r="R98" s="410">
        <v>1</v>
      </c>
      <c r="S98" s="410"/>
      <c r="T98" s="410">
        <v>1</v>
      </c>
      <c r="U98" s="410">
        <v>1</v>
      </c>
      <c r="V98" s="410">
        <v>1</v>
      </c>
      <c r="W98" s="410">
        <v>1</v>
      </c>
      <c r="X98" s="410">
        <v>1</v>
      </c>
      <c r="AA98" s="229"/>
      <c r="AB98" s="229"/>
      <c r="AC98" s="229"/>
      <c r="AD98" s="229"/>
      <c r="AE98" s="229"/>
      <c r="AF98" s="229"/>
    </row>
    <row r="99" spans="2:32">
      <c r="B99" s="231"/>
      <c r="E99" s="409" t="s">
        <v>419</v>
      </c>
      <c r="F99" s="410"/>
      <c r="G99" s="410">
        <v>1</v>
      </c>
      <c r="H99" s="410">
        <v>1</v>
      </c>
      <c r="I99" s="410">
        <v>1</v>
      </c>
      <c r="J99" s="410">
        <v>1</v>
      </c>
      <c r="K99" s="410">
        <v>1</v>
      </c>
      <c r="L99" s="410">
        <v>1</v>
      </c>
      <c r="M99" s="410">
        <v>1</v>
      </c>
      <c r="N99" s="410">
        <v>1</v>
      </c>
      <c r="O99" s="410">
        <v>1</v>
      </c>
      <c r="P99" s="410">
        <v>1</v>
      </c>
      <c r="Q99" s="410">
        <v>1</v>
      </c>
      <c r="R99" s="410">
        <v>1</v>
      </c>
      <c r="S99" s="410"/>
      <c r="T99" s="410">
        <v>1</v>
      </c>
      <c r="U99" s="410">
        <v>1</v>
      </c>
      <c r="V99" s="410">
        <v>1</v>
      </c>
      <c r="W99" s="410">
        <v>1</v>
      </c>
      <c r="X99" s="410">
        <v>1</v>
      </c>
    </row>
    <row r="100" spans="2:32">
      <c r="B100" s="231"/>
      <c r="E100" s="409" t="s">
        <v>539</v>
      </c>
      <c r="F100" s="410"/>
      <c r="G100" s="410">
        <v>1</v>
      </c>
      <c r="H100" s="410">
        <v>1</v>
      </c>
      <c r="I100" s="410">
        <v>1</v>
      </c>
      <c r="J100" s="410">
        <v>1</v>
      </c>
      <c r="K100" s="410">
        <v>1</v>
      </c>
      <c r="L100" s="410">
        <v>1</v>
      </c>
      <c r="M100" s="410">
        <v>1</v>
      </c>
      <c r="N100" s="410">
        <v>1</v>
      </c>
      <c r="O100" s="410">
        <v>1</v>
      </c>
      <c r="P100" s="410">
        <v>1</v>
      </c>
      <c r="Q100" s="410">
        <v>1</v>
      </c>
      <c r="R100" s="410">
        <v>1</v>
      </c>
      <c r="S100" s="410"/>
      <c r="T100" s="410">
        <v>1</v>
      </c>
      <c r="U100" s="410">
        <v>1</v>
      </c>
      <c r="V100" s="410">
        <v>1</v>
      </c>
      <c r="W100" s="410">
        <v>1</v>
      </c>
      <c r="X100" s="410">
        <v>1</v>
      </c>
    </row>
    <row r="101" spans="2:32">
      <c r="B101" s="231"/>
      <c r="E101" s="409" t="s">
        <v>540</v>
      </c>
      <c r="F101" s="410"/>
      <c r="G101" s="410">
        <v>1</v>
      </c>
      <c r="H101" s="410">
        <v>1</v>
      </c>
      <c r="I101" s="410">
        <v>1</v>
      </c>
      <c r="J101" s="410">
        <v>1</v>
      </c>
      <c r="K101" s="410">
        <v>1</v>
      </c>
      <c r="L101" s="410">
        <v>1</v>
      </c>
      <c r="M101" s="410">
        <v>1</v>
      </c>
      <c r="N101" s="410">
        <v>1</v>
      </c>
      <c r="O101" s="410">
        <v>1</v>
      </c>
      <c r="P101" s="410">
        <v>1</v>
      </c>
      <c r="Q101" s="410">
        <v>1</v>
      </c>
      <c r="R101" s="410">
        <v>1</v>
      </c>
      <c r="S101" s="410"/>
      <c r="T101" s="410">
        <v>1</v>
      </c>
      <c r="U101" s="410">
        <v>1</v>
      </c>
      <c r="V101" s="410">
        <v>1</v>
      </c>
      <c r="W101" s="410">
        <v>1</v>
      </c>
      <c r="X101" s="410">
        <v>1</v>
      </c>
      <c r="AA101" s="229"/>
      <c r="AB101" s="229"/>
      <c r="AC101" s="229"/>
      <c r="AD101" s="229"/>
      <c r="AE101" s="229"/>
      <c r="AF101" s="229"/>
    </row>
    <row r="102" spans="2:32">
      <c r="B102" s="231"/>
      <c r="AA102" s="301"/>
      <c r="AB102" s="302"/>
      <c r="AC102" s="302"/>
      <c r="AD102" s="302"/>
      <c r="AE102" s="302"/>
      <c r="AF102" s="302"/>
    </row>
    <row r="103" spans="2:32">
      <c r="B103" s="231"/>
      <c r="AB103" s="227">
        <f>+AB74-AB77-AB78-AB79-AB80</f>
        <v>0</v>
      </c>
    </row>
    <row r="104" spans="2:32">
      <c r="B104" s="231"/>
    </row>
    <row r="105" spans="2:32">
      <c r="B105" s="231"/>
    </row>
    <row r="106" spans="2:32">
      <c r="B106" s="231"/>
    </row>
    <row r="107" spans="2:32">
      <c r="B107" s="231"/>
    </row>
    <row r="108" spans="2:32">
      <c r="B108" s="231"/>
    </row>
    <row r="109" spans="2:32">
      <c r="B109" s="231"/>
    </row>
    <row r="110" spans="2:32">
      <c r="B110" s="231"/>
    </row>
    <row r="111" spans="2:32">
      <c r="B111" s="231"/>
    </row>
    <row r="112" spans="2:32">
      <c r="B112" s="231"/>
    </row>
    <row r="113" spans="2:2">
      <c r="B113" s="231"/>
    </row>
    <row r="114" spans="2:2">
      <c r="B114" s="231"/>
    </row>
    <row r="115" spans="2:2">
      <c r="B115" s="231"/>
    </row>
    <row r="116" spans="2:2">
      <c r="B116" s="231"/>
    </row>
    <row r="117" spans="2:2">
      <c r="B117" s="231"/>
    </row>
    <row r="118" spans="2:2">
      <c r="B118" s="231"/>
    </row>
    <row r="119" spans="2:2">
      <c r="B119" s="231"/>
    </row>
    <row r="120" spans="2:2">
      <c r="B120" s="231"/>
    </row>
    <row r="121" spans="2:2">
      <c r="B121" s="231"/>
    </row>
    <row r="122" spans="2:2">
      <c r="B122" s="231"/>
    </row>
    <row r="123" spans="2:2">
      <c r="B123" s="231"/>
    </row>
    <row r="124" spans="2:2">
      <c r="B124" s="231"/>
    </row>
    <row r="125" spans="2:2">
      <c r="B125" s="231"/>
    </row>
    <row r="126" spans="2:2">
      <c r="B126" s="231"/>
    </row>
    <row r="127" spans="2:2">
      <c r="B127" s="231"/>
    </row>
    <row r="128" spans="2:2">
      <c r="B128" s="231"/>
    </row>
    <row r="129" spans="2:2">
      <c r="B129" s="231"/>
    </row>
    <row r="130" spans="2:2">
      <c r="B130" s="231"/>
    </row>
    <row r="131" spans="2:2">
      <c r="B131" s="231"/>
    </row>
    <row r="132" spans="2:2">
      <c r="B132" s="231"/>
    </row>
    <row r="133" spans="2:2">
      <c r="B133" s="231"/>
    </row>
    <row r="134" spans="2:2">
      <c r="B134" s="231"/>
    </row>
    <row r="135" spans="2:2">
      <c r="B135" s="231"/>
    </row>
    <row r="136" spans="2:2">
      <c r="B136" s="231"/>
    </row>
    <row r="137" spans="2:2">
      <c r="B137" s="231"/>
    </row>
    <row r="138" spans="2:2">
      <c r="B138" s="231"/>
    </row>
    <row r="139" spans="2:2">
      <c r="B139" s="231"/>
    </row>
    <row r="140" spans="2:2">
      <c r="B140" s="231"/>
    </row>
    <row r="141" spans="2:2">
      <c r="B141" s="231"/>
    </row>
    <row r="142" spans="2:2">
      <c r="B142" s="231"/>
    </row>
    <row r="143" spans="2:2">
      <c r="B143" s="231"/>
    </row>
    <row r="144" spans="2:2">
      <c r="B144" s="231"/>
    </row>
    <row r="145" spans="2:2">
      <c r="B145" s="231"/>
    </row>
    <row r="146" spans="2:2">
      <c r="B146" s="231"/>
    </row>
    <row r="147" spans="2:2">
      <c r="B147" s="231"/>
    </row>
    <row r="148" spans="2:2">
      <c r="B148" s="231"/>
    </row>
    <row r="149" spans="2:2">
      <c r="B149" s="231"/>
    </row>
    <row r="150" spans="2:2">
      <c r="B150" s="231"/>
    </row>
    <row r="151" spans="2:2">
      <c r="B151" s="231"/>
    </row>
    <row r="152" spans="2:2">
      <c r="B152" s="231"/>
    </row>
    <row r="153" spans="2:2">
      <c r="B153" s="231"/>
    </row>
    <row r="154" spans="2:2">
      <c r="B154" s="231"/>
    </row>
    <row r="155" spans="2:2">
      <c r="B155" s="231"/>
    </row>
    <row r="156" spans="2:2">
      <c r="B156" s="231"/>
    </row>
    <row r="157" spans="2:2">
      <c r="B157" s="231"/>
    </row>
    <row r="158" spans="2:2">
      <c r="B158" s="231"/>
    </row>
    <row r="159" spans="2:2">
      <c r="B159" s="231"/>
    </row>
    <row r="160" spans="2:2">
      <c r="B160" s="227"/>
    </row>
    <row r="161" spans="1:74">
      <c r="B161" s="227"/>
      <c r="D161" s="210">
        <v>1</v>
      </c>
      <c r="E161" s="212" t="s">
        <v>266</v>
      </c>
      <c r="F161" s="229"/>
      <c r="G161" s="229">
        <v>8</v>
      </c>
      <c r="H161" s="229">
        <v>8</v>
      </c>
      <c r="I161" s="229">
        <v>8</v>
      </c>
      <c r="J161" s="229">
        <v>8</v>
      </c>
      <c r="K161" s="229">
        <v>8</v>
      </c>
      <c r="L161" s="229">
        <v>8</v>
      </c>
      <c r="M161" s="229">
        <v>8</v>
      </c>
      <c r="N161" s="229">
        <v>8</v>
      </c>
      <c r="O161" s="229">
        <v>8</v>
      </c>
      <c r="P161" s="229">
        <v>8</v>
      </c>
      <c r="Q161" s="229">
        <v>8</v>
      </c>
      <c r="R161" s="229">
        <v>8</v>
      </c>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c r="AS161" s="229"/>
      <c r="AT161" s="229"/>
      <c r="AU161" s="229"/>
      <c r="AV161" s="229"/>
      <c r="AW161" s="229"/>
      <c r="AX161" s="229"/>
      <c r="AY161" s="229"/>
      <c r="AZ161" s="229"/>
      <c r="BA161" s="229"/>
      <c r="BB161" s="229"/>
      <c r="BC161" s="229"/>
      <c r="BD161" s="229"/>
      <c r="BE161" s="229"/>
      <c r="BF161" s="229"/>
      <c r="BG161" s="229"/>
      <c r="BH161" s="229"/>
      <c r="BI161" s="229"/>
      <c r="BJ161" s="229"/>
      <c r="BK161" s="229"/>
      <c r="BL161" s="229"/>
      <c r="BM161" s="229"/>
      <c r="BN161" s="229"/>
      <c r="BO161" s="229"/>
      <c r="BP161" s="230"/>
    </row>
    <row r="162" spans="1:74">
      <c r="D162" s="210">
        <v>2</v>
      </c>
      <c r="E162" s="212" t="s">
        <v>267</v>
      </c>
      <c r="G162" s="229"/>
    </row>
    <row r="163" spans="1:74">
      <c r="A163" s="220">
        <v>100000000</v>
      </c>
      <c r="B163" s="228">
        <v>0.156</v>
      </c>
      <c r="C163" s="227">
        <f>+A163*B163</f>
        <v>15600000</v>
      </c>
      <c r="D163" s="210">
        <v>3</v>
      </c>
      <c r="E163" s="212" t="s">
        <v>402</v>
      </c>
      <c r="H163" s="229"/>
    </row>
    <row r="164" spans="1:74">
      <c r="A164" s="220">
        <v>122000000</v>
      </c>
      <c r="B164" s="228">
        <v>0.16500000000000001</v>
      </c>
      <c r="C164" s="227">
        <f>+A164*B164</f>
        <v>20130000</v>
      </c>
      <c r="D164" s="210">
        <v>4</v>
      </c>
      <c r="E164" s="212" t="s">
        <v>401</v>
      </c>
    </row>
    <row r="165" spans="1:74">
      <c r="A165" s="220">
        <v>200000000</v>
      </c>
      <c r="B165" s="228">
        <v>0.17499999999999999</v>
      </c>
      <c r="C165" s="227">
        <f>+A165*B165</f>
        <v>35000000</v>
      </c>
      <c r="D165" s="210">
        <v>5</v>
      </c>
      <c r="E165" s="212" t="s">
        <v>400</v>
      </c>
    </row>
    <row r="166" spans="1:74">
      <c r="D166" s="210">
        <v>6</v>
      </c>
      <c r="E166" s="212" t="s">
        <v>399</v>
      </c>
    </row>
    <row r="167" spans="1:74">
      <c r="A167" s="225"/>
      <c r="B167" s="225"/>
      <c r="C167" s="225"/>
      <c r="E167" s="226" t="s">
        <v>406</v>
      </c>
      <c r="F167" s="225"/>
      <c r="G167" s="225"/>
      <c r="H167" s="225"/>
      <c r="I167" s="225"/>
      <c r="J167" s="225"/>
      <c r="K167" s="225"/>
      <c r="L167" s="225"/>
      <c r="M167" s="225"/>
      <c r="N167" s="225"/>
      <c r="O167" s="225"/>
      <c r="P167" s="225"/>
      <c r="Q167" s="225"/>
      <c r="R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5"/>
      <c r="BB167" s="225"/>
      <c r="BC167" s="225"/>
      <c r="BD167" s="225"/>
      <c r="BE167" s="225"/>
      <c r="BF167" s="225"/>
      <c r="BG167" s="225"/>
      <c r="BH167" s="225"/>
      <c r="BI167" s="225"/>
      <c r="BJ167" s="225"/>
      <c r="BK167" s="225"/>
      <c r="BL167" s="225"/>
      <c r="BM167" s="225"/>
      <c r="BN167" s="225"/>
      <c r="BO167" s="225"/>
      <c r="BQ167" s="225"/>
      <c r="BR167" s="225"/>
      <c r="BS167" s="225"/>
      <c r="BT167" s="225"/>
      <c r="BU167" s="225"/>
      <c r="BV167" s="225"/>
    </row>
    <row r="168" spans="1:74">
      <c r="D168" s="210">
        <v>1</v>
      </c>
      <c r="E168" s="212" t="s">
        <v>405</v>
      </c>
      <c r="G168" s="221">
        <v>35000000</v>
      </c>
      <c r="H168" s="221">
        <v>35000000</v>
      </c>
      <c r="I168" s="221">
        <v>35000000</v>
      </c>
      <c r="J168" s="221">
        <v>35000000</v>
      </c>
      <c r="K168" s="221">
        <v>35000000</v>
      </c>
      <c r="L168" s="221">
        <v>35000000</v>
      </c>
      <c r="M168" s="221">
        <v>35000000</v>
      </c>
      <c r="N168" s="221">
        <v>35000000</v>
      </c>
      <c r="O168" s="221">
        <v>35000000</v>
      </c>
      <c r="P168" s="221">
        <v>35000000</v>
      </c>
      <c r="Q168" s="221">
        <v>35000000</v>
      </c>
      <c r="R168" s="221">
        <v>35000000</v>
      </c>
      <c r="S168" s="285"/>
    </row>
    <row r="169" spans="1:74">
      <c r="D169" s="210">
        <v>2</v>
      </c>
      <c r="E169" s="212" t="s">
        <v>403</v>
      </c>
    </row>
    <row r="170" spans="1:74">
      <c r="D170" s="210">
        <v>3</v>
      </c>
      <c r="E170" s="212" t="s">
        <v>402</v>
      </c>
    </row>
    <row r="171" spans="1:74">
      <c r="D171" s="210">
        <v>4</v>
      </c>
      <c r="E171" s="212" t="s">
        <v>401</v>
      </c>
    </row>
    <row r="172" spans="1:74">
      <c r="D172" s="210">
        <v>5</v>
      </c>
      <c r="E172" s="212" t="s">
        <v>400</v>
      </c>
    </row>
    <row r="173" spans="1:74">
      <c r="D173" s="210">
        <v>6</v>
      </c>
      <c r="E173" s="212" t="s">
        <v>399</v>
      </c>
    </row>
    <row r="174" spans="1:74">
      <c r="A174" s="222"/>
      <c r="B174" s="222"/>
      <c r="C174" s="222"/>
      <c r="D174" s="210" t="s">
        <v>153</v>
      </c>
      <c r="E174" s="224"/>
      <c r="F174" s="222"/>
      <c r="G174" s="223">
        <f t="shared" ref="G174:R174" si="83">SUM(G175:G180)</f>
        <v>280000000</v>
      </c>
      <c r="H174" s="223">
        <f t="shared" si="83"/>
        <v>280000000</v>
      </c>
      <c r="I174" s="223">
        <f t="shared" si="83"/>
        <v>280000000</v>
      </c>
      <c r="J174" s="223">
        <f t="shared" si="83"/>
        <v>280000000</v>
      </c>
      <c r="K174" s="223">
        <f t="shared" si="83"/>
        <v>280000000</v>
      </c>
      <c r="L174" s="223">
        <f t="shared" si="83"/>
        <v>280000000</v>
      </c>
      <c r="M174" s="223">
        <f t="shared" si="83"/>
        <v>280000000</v>
      </c>
      <c r="N174" s="223">
        <f t="shared" si="83"/>
        <v>280000000</v>
      </c>
      <c r="O174" s="223">
        <f t="shared" si="83"/>
        <v>280000000</v>
      </c>
      <c r="P174" s="223">
        <f t="shared" si="83"/>
        <v>280000000</v>
      </c>
      <c r="Q174" s="223">
        <f t="shared" si="83"/>
        <v>280000000</v>
      </c>
      <c r="R174" s="223">
        <f t="shared" si="83"/>
        <v>280000000</v>
      </c>
      <c r="S174" s="216"/>
      <c r="T174" s="222"/>
      <c r="U174" s="222"/>
      <c r="V174" s="222"/>
      <c r="W174" s="222"/>
      <c r="X174" s="222"/>
      <c r="Y174" s="222"/>
      <c r="Z174" s="222"/>
      <c r="AA174" s="222"/>
      <c r="AB174" s="222"/>
      <c r="AC174" s="222"/>
      <c r="AD174" s="222"/>
      <c r="AE174" s="222"/>
      <c r="AF174" s="222"/>
      <c r="AG174" s="222"/>
      <c r="AH174" s="222"/>
      <c r="AI174" s="222"/>
      <c r="AJ174" s="222"/>
      <c r="AK174" s="222"/>
      <c r="AL174" s="222"/>
      <c r="AM174" s="222"/>
      <c r="AN174" s="222"/>
      <c r="AO174" s="222"/>
      <c r="AP174" s="222"/>
      <c r="AQ174" s="222"/>
      <c r="AR174" s="222"/>
      <c r="AS174" s="222"/>
      <c r="AT174" s="222"/>
      <c r="AU174" s="222"/>
      <c r="AV174" s="222"/>
      <c r="AW174" s="222"/>
      <c r="AX174" s="222"/>
      <c r="AY174" s="222"/>
      <c r="AZ174" s="222"/>
      <c r="BA174" s="222"/>
      <c r="BB174" s="222"/>
      <c r="BC174" s="222"/>
      <c r="BD174" s="222"/>
      <c r="BE174" s="222"/>
      <c r="BF174" s="222"/>
      <c r="BG174" s="222"/>
      <c r="BH174" s="222"/>
      <c r="BI174" s="222"/>
      <c r="BJ174" s="222"/>
      <c r="BK174" s="222"/>
      <c r="BL174" s="222"/>
      <c r="BM174" s="222"/>
      <c r="BN174" s="222"/>
      <c r="BO174" s="222"/>
      <c r="BQ174" s="222"/>
      <c r="BR174" s="222"/>
      <c r="BS174" s="222"/>
      <c r="BT174" s="222"/>
      <c r="BU174" s="222"/>
      <c r="BV174" s="222"/>
    </row>
    <row r="175" spans="1:74">
      <c r="D175" s="210">
        <v>1</v>
      </c>
      <c r="E175" s="212" t="s">
        <v>404</v>
      </c>
      <c r="G175" s="221">
        <f t="shared" ref="G175:R175" si="84">+G168*G161</f>
        <v>280000000</v>
      </c>
      <c r="H175" s="221">
        <f t="shared" si="84"/>
        <v>280000000</v>
      </c>
      <c r="I175" s="221">
        <f t="shared" si="84"/>
        <v>280000000</v>
      </c>
      <c r="J175" s="221">
        <f t="shared" si="84"/>
        <v>280000000</v>
      </c>
      <c r="K175" s="221">
        <f t="shared" si="84"/>
        <v>280000000</v>
      </c>
      <c r="L175" s="221">
        <f t="shared" si="84"/>
        <v>280000000</v>
      </c>
      <c r="M175" s="221">
        <f t="shared" si="84"/>
        <v>280000000</v>
      </c>
      <c r="N175" s="221">
        <f t="shared" si="84"/>
        <v>280000000</v>
      </c>
      <c r="O175" s="221">
        <f t="shared" si="84"/>
        <v>280000000</v>
      </c>
      <c r="P175" s="221">
        <f t="shared" si="84"/>
        <v>280000000</v>
      </c>
      <c r="Q175" s="221">
        <f t="shared" si="84"/>
        <v>280000000</v>
      </c>
      <c r="R175" s="221">
        <f t="shared" si="84"/>
        <v>280000000</v>
      </c>
      <c r="S175" s="285"/>
    </row>
    <row r="176" spans="1:74">
      <c r="D176" s="210">
        <v>2</v>
      </c>
      <c r="E176" s="212" t="s">
        <v>403</v>
      </c>
    </row>
    <row r="177" spans="1:21">
      <c r="D177" s="210">
        <v>3</v>
      </c>
      <c r="E177" s="212" t="s">
        <v>402</v>
      </c>
    </row>
    <row r="178" spans="1:21">
      <c r="D178" s="210">
        <v>4</v>
      </c>
      <c r="E178" s="212" t="s">
        <v>401</v>
      </c>
      <c r="U178" s="220">
        <v>77100022</v>
      </c>
    </row>
    <row r="179" spans="1:21">
      <c r="D179" s="210">
        <v>5</v>
      </c>
      <c r="E179" s="212" t="s">
        <v>400</v>
      </c>
      <c r="U179" s="220">
        <f>+U178*35%</f>
        <v>26985007.699999999</v>
      </c>
    </row>
    <row r="180" spans="1:21">
      <c r="D180" s="210">
        <v>6</v>
      </c>
      <c r="E180" s="212" t="s">
        <v>399</v>
      </c>
    </row>
    <row r="181" spans="1:21">
      <c r="U181" s="210">
        <f>387565628+100000000</f>
        <v>487565628</v>
      </c>
    </row>
    <row r="187" spans="1:21">
      <c r="A187" s="217">
        <v>1</v>
      </c>
      <c r="B187" s="218">
        <v>2500000</v>
      </c>
      <c r="C187" s="218">
        <f>+B187*1.53</f>
        <v>3825000</v>
      </c>
      <c r="D187" s="216">
        <f>SUM(G187:R187)</f>
        <v>45900000</v>
      </c>
      <c r="E187" s="219" t="s">
        <v>398</v>
      </c>
      <c r="F187" s="217"/>
      <c r="G187" s="218">
        <f>+C187*G35</f>
        <v>3825000</v>
      </c>
      <c r="H187" s="218">
        <f t="shared" ref="H187:R187" si="85">+G187</f>
        <v>3825000</v>
      </c>
      <c r="I187" s="218">
        <f t="shared" si="85"/>
        <v>3825000</v>
      </c>
      <c r="J187" s="218">
        <f t="shared" si="85"/>
        <v>3825000</v>
      </c>
      <c r="K187" s="218">
        <f t="shared" si="85"/>
        <v>3825000</v>
      </c>
      <c r="L187" s="218">
        <f t="shared" si="85"/>
        <v>3825000</v>
      </c>
      <c r="M187" s="218">
        <f t="shared" si="85"/>
        <v>3825000</v>
      </c>
      <c r="N187" s="218">
        <f t="shared" si="85"/>
        <v>3825000</v>
      </c>
      <c r="O187" s="218">
        <f t="shared" si="85"/>
        <v>3825000</v>
      </c>
      <c r="P187" s="218">
        <f t="shared" si="85"/>
        <v>3825000</v>
      </c>
      <c r="Q187" s="218">
        <f t="shared" si="85"/>
        <v>3825000</v>
      </c>
      <c r="R187" s="218">
        <f t="shared" si="85"/>
        <v>3825000</v>
      </c>
      <c r="S187" s="287"/>
    </row>
    <row r="188" spans="1:21">
      <c r="A188" s="217">
        <v>1</v>
      </c>
      <c r="B188" s="218">
        <v>5500000</v>
      </c>
      <c r="C188" s="218">
        <f>+B188*1.53</f>
        <v>8415000</v>
      </c>
      <c r="D188" s="216">
        <f>SUM(G188:R188)</f>
        <v>100980000</v>
      </c>
      <c r="E188" s="219" t="s">
        <v>397</v>
      </c>
      <c r="F188" s="217"/>
      <c r="G188" s="218">
        <f>+C188*G36</f>
        <v>8415000</v>
      </c>
      <c r="H188" s="218">
        <f t="shared" ref="H188:R188" si="86">+G188</f>
        <v>8415000</v>
      </c>
      <c r="I188" s="218">
        <f t="shared" si="86"/>
        <v>8415000</v>
      </c>
      <c r="J188" s="218">
        <f t="shared" si="86"/>
        <v>8415000</v>
      </c>
      <c r="K188" s="218">
        <f t="shared" si="86"/>
        <v>8415000</v>
      </c>
      <c r="L188" s="218">
        <f t="shared" si="86"/>
        <v>8415000</v>
      </c>
      <c r="M188" s="218">
        <f t="shared" si="86"/>
        <v>8415000</v>
      </c>
      <c r="N188" s="218">
        <f t="shared" si="86"/>
        <v>8415000</v>
      </c>
      <c r="O188" s="218">
        <f t="shared" si="86"/>
        <v>8415000</v>
      </c>
      <c r="P188" s="218">
        <f t="shared" si="86"/>
        <v>8415000</v>
      </c>
      <c r="Q188" s="218">
        <f t="shared" si="86"/>
        <v>8415000</v>
      </c>
      <c r="R188" s="218">
        <f t="shared" si="86"/>
        <v>8415000</v>
      </c>
      <c r="S188" s="287"/>
    </row>
    <row r="194" spans="3:19">
      <c r="G194" s="217" t="str">
        <f t="shared" ref="G194:R194" si="87">+G6</f>
        <v>Mes 1</v>
      </c>
      <c r="H194" s="217" t="str">
        <f t="shared" si="87"/>
        <v>Mes 2</v>
      </c>
      <c r="I194" s="217" t="str">
        <f t="shared" si="87"/>
        <v>Mes 3</v>
      </c>
      <c r="J194" s="217" t="str">
        <f t="shared" si="87"/>
        <v>Mes 4</v>
      </c>
      <c r="K194" s="217" t="str">
        <f t="shared" si="87"/>
        <v>Mes 5</v>
      </c>
      <c r="L194" s="217" t="str">
        <f t="shared" si="87"/>
        <v>Mes 6</v>
      </c>
      <c r="M194" s="217" t="str">
        <f t="shared" si="87"/>
        <v>Mes 7</v>
      </c>
      <c r="N194" s="217" t="str">
        <f t="shared" si="87"/>
        <v>Mes 8</v>
      </c>
      <c r="O194" s="217" t="str">
        <f t="shared" si="87"/>
        <v>Mes 9</v>
      </c>
      <c r="P194" s="217" t="str">
        <f t="shared" si="87"/>
        <v>Mes 10</v>
      </c>
      <c r="Q194" s="217" t="str">
        <f t="shared" si="87"/>
        <v>Mes 11</v>
      </c>
      <c r="R194" s="217" t="str">
        <f t="shared" si="87"/>
        <v>Mes 12</v>
      </c>
      <c r="S194" s="217"/>
    </row>
    <row r="195" spans="3:19">
      <c r="G195" s="210">
        <f t="shared" ref="G195:R195" si="88">+G25</f>
        <v>8</v>
      </c>
      <c r="H195" s="210">
        <f t="shared" si="88"/>
        <v>8</v>
      </c>
      <c r="I195" s="210">
        <f t="shared" si="88"/>
        <v>8</v>
      </c>
      <c r="J195" s="210">
        <f t="shared" si="88"/>
        <v>8</v>
      </c>
      <c r="K195" s="210">
        <f t="shared" si="88"/>
        <v>8</v>
      </c>
      <c r="L195" s="210">
        <f t="shared" si="88"/>
        <v>8</v>
      </c>
      <c r="M195" s="210">
        <f t="shared" si="88"/>
        <v>8</v>
      </c>
      <c r="N195" s="210">
        <f t="shared" si="88"/>
        <v>8</v>
      </c>
      <c r="O195" s="210">
        <f t="shared" si="88"/>
        <v>8</v>
      </c>
      <c r="P195" s="210">
        <f t="shared" si="88"/>
        <v>8</v>
      </c>
      <c r="Q195" s="210">
        <f t="shared" si="88"/>
        <v>8</v>
      </c>
      <c r="R195" s="210">
        <f t="shared" si="88"/>
        <v>8</v>
      </c>
    </row>
    <row r="196" spans="3:19">
      <c r="G196" s="210">
        <f t="shared" ref="G196:R196" si="89">+G29</f>
        <v>40</v>
      </c>
      <c r="H196" s="210">
        <f t="shared" si="89"/>
        <v>40</v>
      </c>
      <c r="I196" s="210">
        <f t="shared" si="89"/>
        <v>40</v>
      </c>
      <c r="J196" s="210">
        <f t="shared" si="89"/>
        <v>40</v>
      </c>
      <c r="K196" s="210">
        <f t="shared" si="89"/>
        <v>40</v>
      </c>
      <c r="L196" s="210">
        <f t="shared" si="89"/>
        <v>40</v>
      </c>
      <c r="M196" s="210">
        <f t="shared" si="89"/>
        <v>40</v>
      </c>
      <c r="N196" s="210">
        <f t="shared" si="89"/>
        <v>40</v>
      </c>
      <c r="O196" s="210">
        <f t="shared" si="89"/>
        <v>40</v>
      </c>
      <c r="P196" s="210">
        <f t="shared" si="89"/>
        <v>40</v>
      </c>
      <c r="Q196" s="210">
        <f t="shared" si="89"/>
        <v>40</v>
      </c>
      <c r="R196" s="210">
        <f t="shared" si="89"/>
        <v>40</v>
      </c>
    </row>
    <row r="197" spans="3:19">
      <c r="G197" s="216">
        <f t="shared" ref="G197:R197" si="90">+G31</f>
        <v>10000000</v>
      </c>
      <c r="H197" s="216">
        <f t="shared" si="90"/>
        <v>10000000</v>
      </c>
      <c r="I197" s="216">
        <f t="shared" si="90"/>
        <v>10000000</v>
      </c>
      <c r="J197" s="216">
        <f t="shared" si="90"/>
        <v>10000000</v>
      </c>
      <c r="K197" s="216">
        <f t="shared" si="90"/>
        <v>10000000</v>
      </c>
      <c r="L197" s="216">
        <f t="shared" si="90"/>
        <v>10000000</v>
      </c>
      <c r="M197" s="216">
        <f t="shared" si="90"/>
        <v>10000000</v>
      </c>
      <c r="N197" s="216">
        <f t="shared" si="90"/>
        <v>10000000</v>
      </c>
      <c r="O197" s="216">
        <f t="shared" si="90"/>
        <v>10000000</v>
      </c>
      <c r="P197" s="216">
        <f t="shared" si="90"/>
        <v>10000000</v>
      </c>
      <c r="Q197" s="216">
        <f t="shared" si="90"/>
        <v>10000000</v>
      </c>
      <c r="R197" s="216">
        <f t="shared" si="90"/>
        <v>10000000</v>
      </c>
      <c r="S197" s="216"/>
    </row>
    <row r="198" spans="3:19">
      <c r="G198" s="216">
        <f>+G197/G196</f>
        <v>250000</v>
      </c>
    </row>
    <row r="199" spans="3:19">
      <c r="D199" s="316">
        <f>SUM(D200:D202)</f>
        <v>0.99999999999999989</v>
      </c>
      <c r="E199" s="215">
        <f>SUM(E200:E202)</f>
        <v>10000000</v>
      </c>
    </row>
    <row r="200" spans="3:19">
      <c r="C200" s="210">
        <v>5</v>
      </c>
      <c r="D200" s="317">
        <v>0.6</v>
      </c>
      <c r="E200" s="214">
        <f>+D200*$G$197</f>
        <v>6000000</v>
      </c>
      <c r="F200" s="210" t="s">
        <v>160</v>
      </c>
      <c r="G200" s="213">
        <f>+E200/C200</f>
        <v>1200000</v>
      </c>
    </row>
    <row r="201" spans="3:19">
      <c r="C201" s="210">
        <v>5</v>
      </c>
      <c r="D201" s="317">
        <v>0.3</v>
      </c>
      <c r="E201" s="214">
        <f>+D201*$G$197</f>
        <v>3000000</v>
      </c>
      <c r="F201" s="210" t="s">
        <v>161</v>
      </c>
      <c r="G201" s="213">
        <f>+E201/C201</f>
        <v>600000</v>
      </c>
    </row>
    <row r="202" spans="3:19">
      <c r="C202" s="210">
        <v>5</v>
      </c>
      <c r="D202" s="317">
        <v>0.1</v>
      </c>
      <c r="E202" s="214">
        <f>+D202*$G$197</f>
        <v>1000000</v>
      </c>
      <c r="F202" s="210" t="s">
        <v>163</v>
      </c>
      <c r="G202" s="213">
        <f>+E202/C202</f>
        <v>200000</v>
      </c>
    </row>
  </sheetData>
  <pageMargins left="0.7" right="0.7" top="0.75" bottom="0.75" header="0.3" footer="0.3"/>
  <ignoredErrors>
    <ignoredError sqref="T79:X7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3AED-A7D8-46C9-9554-B089EA80BDB7}">
  <sheetPr codeName="Hoja12"/>
  <dimension ref="A1:CD118"/>
  <sheetViews>
    <sheetView zoomScale="80" zoomScaleNormal="80" workbookViewId="0">
      <pane xSplit="3" ySplit="7" topLeftCell="D8" activePane="bottomRight" state="frozen"/>
      <selection pane="topRight" activeCell="C1" sqref="C1"/>
      <selection pane="bottomLeft" activeCell="A6" sqref="A6"/>
      <selection pane="bottomRight" activeCell="C8" sqref="C8:C23"/>
    </sheetView>
  </sheetViews>
  <sheetFormatPr baseColWidth="10" defaultColWidth="11.42578125" defaultRowHeight="15" outlineLevelRow="2" outlineLevelCol="1"/>
  <cols>
    <col min="1" max="1" width="22.5703125" customWidth="1" outlineLevel="1"/>
    <col min="2" max="2" width="14.5703125" customWidth="1" outlineLevel="1"/>
    <col min="3" max="3" width="4" customWidth="1" outlineLevel="1"/>
    <col min="4" max="18" width="4.140625" style="3" customWidth="1" outlineLevel="1"/>
    <col min="19" max="30" width="3.7109375" customWidth="1" outlineLevel="1"/>
    <col min="31" max="38" width="3.85546875" customWidth="1" outlineLevel="1"/>
    <col min="39" max="51" width="4" customWidth="1" outlineLevel="1"/>
    <col min="52" max="52" width="12.140625" customWidth="1"/>
    <col min="53" max="53" width="24.28515625" customWidth="1"/>
    <col min="54" max="54" width="16.28515625" customWidth="1"/>
    <col min="55" max="55" width="16" bestFit="1" customWidth="1"/>
    <col min="56" max="56" width="16.5703125" customWidth="1"/>
    <col min="57" max="57" width="15.5703125" customWidth="1"/>
    <col min="58" max="58" width="16.140625" customWidth="1"/>
    <col min="59" max="59" width="14.28515625" customWidth="1"/>
    <col min="60" max="60" width="19.7109375" customWidth="1"/>
    <col min="61" max="61" width="17.85546875" bestFit="1" customWidth="1"/>
    <col min="62" max="62" width="16.140625" customWidth="1"/>
    <col min="63" max="63" width="13.5703125" customWidth="1"/>
    <col min="64" max="64" width="13.85546875" bestFit="1" customWidth="1"/>
    <col min="65" max="65" width="17.140625" customWidth="1"/>
    <col min="67" max="70" width="14" customWidth="1"/>
    <col min="71" max="72" width="15.28515625" customWidth="1"/>
    <col min="73" max="73" width="27" customWidth="1"/>
    <col min="74" max="79" width="15.42578125" customWidth="1"/>
    <col min="80" max="80" width="15.28515625" customWidth="1"/>
  </cols>
  <sheetData>
    <row r="1" spans="1:59" ht="15.75" outlineLevel="1">
      <c r="E1"/>
      <c r="F1" s="280"/>
      <c r="G1" s="280"/>
      <c r="H1" s="280"/>
      <c r="X1" s="280"/>
      <c r="Y1" s="280"/>
      <c r="Z1" s="280"/>
      <c r="AA1" s="280"/>
      <c r="AB1" s="280"/>
      <c r="AC1" s="280"/>
      <c r="AD1" s="280"/>
      <c r="AE1" s="280"/>
      <c r="AF1" s="280"/>
      <c r="AS1" s="280"/>
      <c r="AT1" s="280"/>
      <c r="AU1" s="280"/>
      <c r="AV1" s="280"/>
      <c r="AW1" s="280"/>
      <c r="AX1" s="280"/>
      <c r="AZ1">
        <v>32</v>
      </c>
      <c r="BB1" s="490" t="s">
        <v>159</v>
      </c>
      <c r="BC1" s="490"/>
      <c r="BD1" s="490"/>
      <c r="BE1" s="490"/>
      <c r="BF1" s="490"/>
    </row>
    <row r="2" spans="1:59" ht="15.75" outlineLevel="1">
      <c r="A2">
        <v>16</v>
      </c>
      <c r="F2" s="494" t="s">
        <v>507</v>
      </c>
      <c r="G2" s="494"/>
      <c r="H2" s="494"/>
      <c r="I2" s="491" t="s">
        <v>162</v>
      </c>
      <c r="J2" s="491"/>
      <c r="K2" s="491"/>
      <c r="L2" s="491"/>
      <c r="M2" s="491"/>
      <c r="N2" s="491"/>
      <c r="O2" s="491"/>
      <c r="P2" s="491"/>
      <c r="Q2" s="491"/>
      <c r="R2" s="491"/>
      <c r="S2" s="491"/>
      <c r="T2" s="491"/>
      <c r="U2" s="491"/>
      <c r="V2" s="491"/>
      <c r="W2" s="491"/>
      <c r="X2" s="495" t="s">
        <v>506</v>
      </c>
      <c r="Y2" s="495"/>
      <c r="Z2" s="495"/>
      <c r="AA2" s="494" t="s">
        <v>505</v>
      </c>
      <c r="AB2" s="494"/>
      <c r="AC2" s="494"/>
      <c r="AD2" s="491" t="s">
        <v>165</v>
      </c>
      <c r="AE2" s="491"/>
      <c r="AF2" s="491"/>
      <c r="AG2" s="491"/>
      <c r="AH2" s="491"/>
      <c r="AI2" s="491"/>
      <c r="AJ2" s="491"/>
      <c r="AK2" s="491"/>
      <c r="AL2" s="491"/>
      <c r="AM2" s="491"/>
      <c r="AN2" s="491"/>
      <c r="AO2" s="491"/>
      <c r="AP2" s="491"/>
      <c r="AQ2" s="491"/>
      <c r="AR2" s="491"/>
      <c r="AS2" s="495" t="s">
        <v>503</v>
      </c>
      <c r="AT2" s="495"/>
      <c r="AU2" s="495"/>
      <c r="AV2" s="494" t="s">
        <v>503</v>
      </c>
      <c r="AW2" s="494"/>
      <c r="AX2" s="494"/>
      <c r="AZ2">
        <f>+AZ1*11</f>
        <v>352</v>
      </c>
    </row>
    <row r="3" spans="1:59" outlineLevel="1">
      <c r="A3">
        <v>32</v>
      </c>
      <c r="D3" s="500" t="s">
        <v>168</v>
      </c>
      <c r="E3" s="500"/>
      <c r="F3" s="500"/>
      <c r="G3" s="500"/>
      <c r="H3" s="489" t="s">
        <v>169</v>
      </c>
      <c r="I3" s="489"/>
      <c r="J3" s="489"/>
      <c r="K3" s="489"/>
      <c r="L3" s="489" t="s">
        <v>170</v>
      </c>
      <c r="M3" s="489"/>
      <c r="N3" s="489"/>
      <c r="O3" s="489"/>
      <c r="P3" s="489" t="s">
        <v>171</v>
      </c>
      <c r="Q3" s="489"/>
      <c r="R3" s="489"/>
      <c r="S3" s="489"/>
      <c r="T3" s="489" t="s">
        <v>172</v>
      </c>
      <c r="U3" s="489"/>
      <c r="V3" s="489"/>
      <c r="W3" s="489"/>
      <c r="X3" s="489" t="s">
        <v>173</v>
      </c>
      <c r="Y3" s="489"/>
      <c r="Z3" s="489"/>
      <c r="AA3" s="489"/>
      <c r="AB3" s="489" t="s">
        <v>174</v>
      </c>
      <c r="AC3" s="489"/>
      <c r="AD3" s="489"/>
      <c r="AE3" s="489"/>
      <c r="AF3" s="489" t="s">
        <v>175</v>
      </c>
      <c r="AG3" s="489"/>
      <c r="AH3" s="489"/>
      <c r="AI3" s="489"/>
      <c r="AJ3" s="489" t="s">
        <v>176</v>
      </c>
      <c r="AK3" s="489"/>
      <c r="AL3" s="489"/>
      <c r="AM3" s="489"/>
      <c r="AN3" s="489" t="s">
        <v>177</v>
      </c>
      <c r="AO3" s="489"/>
      <c r="AP3" s="489"/>
      <c r="AQ3" s="489"/>
      <c r="AR3" s="489" t="s">
        <v>178</v>
      </c>
      <c r="AS3" s="489"/>
      <c r="AT3" s="489"/>
      <c r="AU3" s="489"/>
      <c r="AV3" s="489" t="s">
        <v>179</v>
      </c>
      <c r="AW3" s="489"/>
      <c r="AX3" s="489"/>
      <c r="AY3" s="489"/>
      <c r="AZ3" s="3"/>
      <c r="BB3" s="90" t="s">
        <v>180</v>
      </c>
      <c r="BC3" s="99" t="s">
        <v>181</v>
      </c>
      <c r="BD3" s="90" t="s">
        <v>182</v>
      </c>
      <c r="BE3" s="90" t="s">
        <v>183</v>
      </c>
      <c r="BF3" s="90" t="s">
        <v>19</v>
      </c>
    </row>
    <row r="4" spans="1:59" outlineLevel="1">
      <c r="A4">
        <v>11</v>
      </c>
      <c r="D4" s="492" t="s">
        <v>184</v>
      </c>
      <c r="E4" s="492"/>
      <c r="F4" s="492"/>
      <c r="G4" s="492"/>
      <c r="H4" s="493" t="s">
        <v>185</v>
      </c>
      <c r="I4" s="493"/>
      <c r="J4" s="493"/>
      <c r="K4" s="493"/>
      <c r="L4" s="492" t="s">
        <v>186</v>
      </c>
      <c r="M4" s="492"/>
      <c r="N4" s="492"/>
      <c r="O4" s="492"/>
      <c r="P4" s="493" t="s">
        <v>187</v>
      </c>
      <c r="Q4" s="493"/>
      <c r="R4" s="493"/>
      <c r="S4" s="493"/>
      <c r="T4" s="492" t="s">
        <v>188</v>
      </c>
      <c r="U4" s="492"/>
      <c r="V4" s="492"/>
      <c r="W4" s="492"/>
      <c r="X4" s="493" t="s">
        <v>189</v>
      </c>
      <c r="Y4" s="493"/>
      <c r="Z4" s="493"/>
      <c r="AA4" s="493"/>
      <c r="AB4" s="492" t="s">
        <v>190</v>
      </c>
      <c r="AC4" s="492"/>
      <c r="AD4" s="492"/>
      <c r="AE4" s="492"/>
      <c r="AF4" s="493" t="s">
        <v>191</v>
      </c>
      <c r="AG4" s="493"/>
      <c r="AH4" s="493"/>
      <c r="AI4" s="493"/>
      <c r="AJ4" s="492" t="s">
        <v>192</v>
      </c>
      <c r="AK4" s="492"/>
      <c r="AL4" s="492"/>
      <c r="AM4" s="492"/>
      <c r="AN4" s="493" t="s">
        <v>193</v>
      </c>
      <c r="AO4" s="493"/>
      <c r="AP4" s="493"/>
      <c r="AQ4" s="493"/>
      <c r="AR4" s="492" t="s">
        <v>194</v>
      </c>
      <c r="AS4" s="492"/>
      <c r="AT4" s="492"/>
      <c r="AU4" s="492"/>
      <c r="AV4" s="493" t="s">
        <v>195</v>
      </c>
      <c r="AW4" s="493"/>
      <c r="AX4" s="493"/>
      <c r="AY4" s="493"/>
      <c r="AZ4" s="22"/>
      <c r="BB4" s="86">
        <v>1500000</v>
      </c>
      <c r="BC4" s="86">
        <f>+BB4*1.53</f>
        <v>2295000</v>
      </c>
      <c r="BD4">
        <v>5</v>
      </c>
      <c r="BE4" s="86">
        <f>+BC4*BD4</f>
        <v>11475000</v>
      </c>
      <c r="BF4" s="86">
        <f>+BE4*12</f>
        <v>137700000</v>
      </c>
    </row>
    <row r="5" spans="1:59" outlineLevel="1">
      <c r="A5">
        <f>+A4*A3</f>
        <v>352</v>
      </c>
      <c r="D5" s="76" t="s">
        <v>196</v>
      </c>
      <c r="E5" s="76" t="s">
        <v>197</v>
      </c>
      <c r="F5" s="76" t="s">
        <v>198</v>
      </c>
      <c r="G5" s="76" t="s">
        <v>199</v>
      </c>
      <c r="H5" s="16" t="s">
        <v>200</v>
      </c>
      <c r="I5" s="16" t="s">
        <v>201</v>
      </c>
      <c r="J5" s="16" t="s">
        <v>202</v>
      </c>
      <c r="K5" s="16" t="s">
        <v>203</v>
      </c>
      <c r="L5" s="76" t="s">
        <v>204</v>
      </c>
      <c r="M5" s="76" t="s">
        <v>205</v>
      </c>
      <c r="N5" s="76" t="s">
        <v>206</v>
      </c>
      <c r="O5" s="76" t="s">
        <v>207</v>
      </c>
      <c r="P5" s="16" t="s">
        <v>208</v>
      </c>
      <c r="Q5" s="16" t="s">
        <v>209</v>
      </c>
      <c r="R5" s="16" t="s">
        <v>210</v>
      </c>
      <c r="S5" s="16" t="s">
        <v>211</v>
      </c>
      <c r="T5" s="76" t="s">
        <v>212</v>
      </c>
      <c r="U5" s="76" t="s">
        <v>213</v>
      </c>
      <c r="V5" s="76" t="s">
        <v>214</v>
      </c>
      <c r="W5" s="76" t="s">
        <v>215</v>
      </c>
      <c r="X5" s="16" t="s">
        <v>216</v>
      </c>
      <c r="Y5" s="16" t="s">
        <v>217</v>
      </c>
      <c r="Z5" s="16" t="s">
        <v>218</v>
      </c>
      <c r="AA5" s="16" t="s">
        <v>219</v>
      </c>
      <c r="AB5" s="76" t="s">
        <v>220</v>
      </c>
      <c r="AC5" s="76" t="s">
        <v>221</v>
      </c>
      <c r="AD5" s="76" t="s">
        <v>222</v>
      </c>
      <c r="AE5" s="76" t="s">
        <v>223</v>
      </c>
      <c r="AF5" s="16" t="s">
        <v>224</v>
      </c>
      <c r="AG5" s="16" t="s">
        <v>225</v>
      </c>
      <c r="AH5" s="16" t="s">
        <v>226</v>
      </c>
      <c r="AI5" s="16" t="s">
        <v>227</v>
      </c>
      <c r="AJ5" s="76" t="s">
        <v>228</v>
      </c>
      <c r="AK5" s="76" t="s">
        <v>229</v>
      </c>
      <c r="AL5" s="76" t="s">
        <v>230</v>
      </c>
      <c r="AM5" s="76" t="s">
        <v>231</v>
      </c>
      <c r="AN5" s="16" t="s">
        <v>232</v>
      </c>
      <c r="AO5" s="16" t="s">
        <v>233</v>
      </c>
      <c r="AP5" s="16" t="s">
        <v>234</v>
      </c>
      <c r="AQ5" s="16" t="s">
        <v>235</v>
      </c>
      <c r="AR5" s="76" t="s">
        <v>236</v>
      </c>
      <c r="AS5" s="76" t="s">
        <v>237</v>
      </c>
      <c r="AT5" s="76" t="s">
        <v>238</v>
      </c>
      <c r="AU5" s="76" t="s">
        <v>239</v>
      </c>
      <c r="AV5" s="16" t="s">
        <v>240</v>
      </c>
      <c r="AW5" s="16" t="s">
        <v>241</v>
      </c>
      <c r="AX5" s="16" t="s">
        <v>242</v>
      </c>
      <c r="AY5" s="16" t="s">
        <v>243</v>
      </c>
      <c r="AZ5" s="3"/>
      <c r="BB5" s="86">
        <v>2500000</v>
      </c>
      <c r="BC5" s="86">
        <f>+BB5*1.53</f>
        <v>3825000</v>
      </c>
      <c r="BD5">
        <v>1</v>
      </c>
      <c r="BE5" s="86">
        <f>+BC5*BD5</f>
        <v>3825000</v>
      </c>
      <c r="BF5" s="86">
        <f>+BE5*12</f>
        <v>45900000</v>
      </c>
    </row>
    <row r="6" spans="1:59" outlineLevel="1">
      <c r="BB6" s="86">
        <v>3500000</v>
      </c>
      <c r="BC6" s="86">
        <f>+BB6*1.53</f>
        <v>5355000</v>
      </c>
      <c r="BD6">
        <v>0</v>
      </c>
      <c r="BE6" s="86">
        <f>+BC6*BD6</f>
        <v>0</v>
      </c>
      <c r="BF6" s="86">
        <f>+BE6*12</f>
        <v>0</v>
      </c>
    </row>
    <row r="7" spans="1:59" ht="15.75" outlineLevel="1">
      <c r="F7" s="279" t="s">
        <v>244</v>
      </c>
      <c r="G7" s="279" t="s">
        <v>245</v>
      </c>
      <c r="H7" s="279" t="s">
        <v>246</v>
      </c>
      <c r="I7" s="79" t="s">
        <v>244</v>
      </c>
      <c r="J7" s="79" t="s">
        <v>245</v>
      </c>
      <c r="K7" s="79" t="s">
        <v>246</v>
      </c>
      <c r="L7" s="79" t="s">
        <v>247</v>
      </c>
      <c r="M7" s="79" t="s">
        <v>248</v>
      </c>
      <c r="N7" s="79" t="s">
        <v>249</v>
      </c>
      <c r="O7" s="79" t="s">
        <v>250</v>
      </c>
      <c r="P7" s="79" t="s">
        <v>251</v>
      </c>
      <c r="Q7" s="79" t="s">
        <v>252</v>
      </c>
      <c r="R7" s="79" t="s">
        <v>253</v>
      </c>
      <c r="S7" s="79" t="s">
        <v>254</v>
      </c>
      <c r="T7" s="79" t="s">
        <v>255</v>
      </c>
      <c r="U7" s="79" t="s">
        <v>256</v>
      </c>
      <c r="V7" s="79" t="s">
        <v>257</v>
      </c>
      <c r="W7" s="79" t="s">
        <v>258</v>
      </c>
      <c r="X7" s="279" t="s">
        <v>244</v>
      </c>
      <c r="Y7" s="279" t="s">
        <v>245</v>
      </c>
      <c r="Z7" s="279" t="s">
        <v>246</v>
      </c>
      <c r="AA7" s="279" t="s">
        <v>244</v>
      </c>
      <c r="AB7" s="279" t="s">
        <v>245</v>
      </c>
      <c r="AC7" s="279" t="s">
        <v>246</v>
      </c>
      <c r="AD7" s="79" t="s">
        <v>244</v>
      </c>
      <c r="AE7" s="79" t="s">
        <v>245</v>
      </c>
      <c r="AF7" s="79" t="s">
        <v>246</v>
      </c>
      <c r="AG7" s="79" t="s">
        <v>247</v>
      </c>
      <c r="AH7" s="79" t="s">
        <v>248</v>
      </c>
      <c r="AI7" s="79" t="s">
        <v>249</v>
      </c>
      <c r="AJ7" s="79" t="s">
        <v>250</v>
      </c>
      <c r="AK7" s="79" t="s">
        <v>251</v>
      </c>
      <c r="AL7" s="79" t="s">
        <v>252</v>
      </c>
      <c r="AM7" s="79" t="s">
        <v>253</v>
      </c>
      <c r="AN7" s="79" t="s">
        <v>254</v>
      </c>
      <c r="AO7" s="79" t="s">
        <v>255</v>
      </c>
      <c r="AP7" s="79" t="s">
        <v>256</v>
      </c>
      <c r="AQ7" s="79" t="s">
        <v>257</v>
      </c>
      <c r="AR7" s="79" t="s">
        <v>258</v>
      </c>
      <c r="AS7" s="279" t="s">
        <v>244</v>
      </c>
      <c r="AT7" s="279" t="s">
        <v>245</v>
      </c>
      <c r="AU7" s="279" t="s">
        <v>246</v>
      </c>
      <c r="AV7" s="279" t="s">
        <v>244</v>
      </c>
      <c r="AW7" s="279" t="s">
        <v>245</v>
      </c>
      <c r="AX7" s="279" t="s">
        <v>246</v>
      </c>
      <c r="AY7" s="3" t="s">
        <v>245</v>
      </c>
      <c r="AZ7">
        <f>15*3</f>
        <v>45</v>
      </c>
      <c r="BB7" s="1"/>
      <c r="BC7" s="1"/>
      <c r="BD7" s="278">
        <f>SUM(BD4:BD6)</f>
        <v>6</v>
      </c>
      <c r="BE7" s="96">
        <f>SUM(BE4:BE6)</f>
        <v>15300000</v>
      </c>
      <c r="BF7" s="97">
        <f>+BE7*12</f>
        <v>183600000</v>
      </c>
    </row>
    <row r="8" spans="1:59" outlineLevel="1">
      <c r="C8" s="74">
        <v>1</v>
      </c>
      <c r="F8" s="264">
        <v>1</v>
      </c>
      <c r="G8" s="264">
        <v>9</v>
      </c>
      <c r="H8" s="260"/>
      <c r="I8" s="77">
        <v>2</v>
      </c>
      <c r="J8" s="78">
        <v>3</v>
      </c>
      <c r="K8" s="77">
        <v>4</v>
      </c>
      <c r="L8" s="78">
        <v>5</v>
      </c>
      <c r="M8" s="77">
        <v>6</v>
      </c>
      <c r="N8" s="78">
        <v>7</v>
      </c>
      <c r="O8" s="77">
        <v>8</v>
      </c>
      <c r="P8" s="78">
        <v>9</v>
      </c>
      <c r="Q8" s="77">
        <v>10</v>
      </c>
      <c r="R8" s="78">
        <v>11</v>
      </c>
      <c r="S8" s="77">
        <v>12</v>
      </c>
      <c r="T8" s="78">
        <v>13</v>
      </c>
      <c r="U8" s="77">
        <v>14</v>
      </c>
      <c r="V8" s="78">
        <v>15</v>
      </c>
      <c r="W8" s="77">
        <v>16</v>
      </c>
      <c r="X8" s="264">
        <v>1</v>
      </c>
      <c r="Y8" s="264">
        <v>9</v>
      </c>
      <c r="Z8" s="260"/>
      <c r="AA8" s="264">
        <v>1</v>
      </c>
      <c r="AB8" s="264">
        <v>9</v>
      </c>
      <c r="AC8" s="260"/>
      <c r="AD8" s="77">
        <v>2</v>
      </c>
      <c r="AE8" s="78">
        <v>3</v>
      </c>
      <c r="AF8" s="77">
        <v>4</v>
      </c>
      <c r="AG8" s="78">
        <v>5</v>
      </c>
      <c r="AH8" s="77">
        <v>6</v>
      </c>
      <c r="AI8" s="78">
        <v>7</v>
      </c>
      <c r="AJ8" s="77">
        <v>8</v>
      </c>
      <c r="AK8" s="78">
        <v>9</v>
      </c>
      <c r="AL8" s="77">
        <v>10</v>
      </c>
      <c r="AM8" s="78">
        <v>11</v>
      </c>
      <c r="AN8" s="77">
        <v>12</v>
      </c>
      <c r="AO8" s="78">
        <v>13</v>
      </c>
      <c r="AP8" s="77">
        <v>14</v>
      </c>
      <c r="AQ8" s="78">
        <v>15</v>
      </c>
      <c r="AR8" s="77">
        <v>16</v>
      </c>
      <c r="AS8" s="264">
        <v>1</v>
      </c>
      <c r="AT8" s="264">
        <v>9</v>
      </c>
      <c r="AU8" s="260"/>
      <c r="AV8" s="264">
        <v>1</v>
      </c>
      <c r="AW8" s="264">
        <v>9</v>
      </c>
      <c r="AX8" s="260"/>
      <c r="AY8" s="3"/>
    </row>
    <row r="9" spans="1:59" outlineLevel="1">
      <c r="C9" s="74">
        <v>2</v>
      </c>
      <c r="F9" s="264">
        <v>2</v>
      </c>
      <c r="G9" s="264">
        <v>10</v>
      </c>
      <c r="H9" s="260"/>
      <c r="I9" s="77">
        <v>1</v>
      </c>
      <c r="J9" s="78">
        <v>4</v>
      </c>
      <c r="K9" s="77">
        <v>3</v>
      </c>
      <c r="L9" s="78">
        <v>6</v>
      </c>
      <c r="M9" s="77">
        <v>5</v>
      </c>
      <c r="N9" s="78">
        <v>8</v>
      </c>
      <c r="O9" s="77">
        <v>7</v>
      </c>
      <c r="P9" s="78">
        <v>10</v>
      </c>
      <c r="Q9" s="77">
        <v>9</v>
      </c>
      <c r="R9" s="78">
        <v>12</v>
      </c>
      <c r="S9" s="77">
        <v>11</v>
      </c>
      <c r="T9" s="78">
        <v>14</v>
      </c>
      <c r="U9" s="77">
        <v>13</v>
      </c>
      <c r="V9" s="78">
        <v>16</v>
      </c>
      <c r="W9" s="77">
        <v>15</v>
      </c>
      <c r="X9" s="264">
        <v>2</v>
      </c>
      <c r="Y9" s="264">
        <v>10</v>
      </c>
      <c r="Z9" s="260"/>
      <c r="AA9" s="264">
        <v>2</v>
      </c>
      <c r="AB9" s="264">
        <v>10</v>
      </c>
      <c r="AC9" s="260"/>
      <c r="AD9" s="77">
        <v>1</v>
      </c>
      <c r="AE9" s="78">
        <v>4</v>
      </c>
      <c r="AF9" s="77">
        <v>3</v>
      </c>
      <c r="AG9" s="78">
        <v>6</v>
      </c>
      <c r="AH9" s="77">
        <v>5</v>
      </c>
      <c r="AI9" s="78">
        <v>8</v>
      </c>
      <c r="AJ9" s="77">
        <v>7</v>
      </c>
      <c r="AK9" s="78">
        <v>10</v>
      </c>
      <c r="AL9" s="77">
        <v>9</v>
      </c>
      <c r="AM9" s="78">
        <v>12</v>
      </c>
      <c r="AN9" s="77">
        <v>11</v>
      </c>
      <c r="AO9" s="78">
        <v>14</v>
      </c>
      <c r="AP9" s="77">
        <v>13</v>
      </c>
      <c r="AQ9" s="78">
        <v>16</v>
      </c>
      <c r="AR9" s="77">
        <v>15</v>
      </c>
      <c r="AS9" s="264">
        <v>2</v>
      </c>
      <c r="AT9" s="264">
        <v>10</v>
      </c>
      <c r="AU9" s="260"/>
      <c r="AV9" s="264">
        <v>2</v>
      </c>
      <c r="AW9" s="264">
        <v>10</v>
      </c>
      <c r="AX9" s="260"/>
      <c r="AY9" s="3"/>
      <c r="BB9" s="90"/>
      <c r="BC9" s="99" t="s">
        <v>259</v>
      </c>
      <c r="BD9" s="90" t="s">
        <v>183</v>
      </c>
      <c r="BE9" s="90" t="s">
        <v>260</v>
      </c>
      <c r="BF9" s="90" t="s">
        <v>19</v>
      </c>
      <c r="BG9" s="1">
        <f>8*6</f>
        <v>48</v>
      </c>
    </row>
    <row r="10" spans="1:59" outlineLevel="1">
      <c r="C10" s="74">
        <v>3</v>
      </c>
      <c r="F10" s="264">
        <v>3</v>
      </c>
      <c r="G10" s="264">
        <v>11</v>
      </c>
      <c r="H10" s="260"/>
      <c r="I10" s="77">
        <v>4</v>
      </c>
      <c r="J10" s="78">
        <v>1</v>
      </c>
      <c r="K10" s="77">
        <v>2</v>
      </c>
      <c r="L10" s="78">
        <v>7</v>
      </c>
      <c r="M10" s="77">
        <v>8</v>
      </c>
      <c r="N10" s="78">
        <v>5</v>
      </c>
      <c r="O10" s="77">
        <v>6</v>
      </c>
      <c r="P10" s="78">
        <v>11</v>
      </c>
      <c r="Q10" s="77">
        <v>12</v>
      </c>
      <c r="R10" s="78">
        <v>9</v>
      </c>
      <c r="S10" s="77">
        <v>13</v>
      </c>
      <c r="T10" s="78">
        <v>15</v>
      </c>
      <c r="U10" s="77">
        <v>16</v>
      </c>
      <c r="V10" s="78">
        <v>14</v>
      </c>
      <c r="W10" s="77">
        <v>10</v>
      </c>
      <c r="X10" s="264">
        <v>3</v>
      </c>
      <c r="Y10" s="264">
        <v>11</v>
      </c>
      <c r="Z10" s="260"/>
      <c r="AA10" s="264">
        <v>3</v>
      </c>
      <c r="AB10" s="264">
        <v>11</v>
      </c>
      <c r="AC10" s="260"/>
      <c r="AD10" s="77">
        <v>4</v>
      </c>
      <c r="AE10" s="78">
        <v>1</v>
      </c>
      <c r="AF10" s="77">
        <v>2</v>
      </c>
      <c r="AG10" s="78">
        <v>7</v>
      </c>
      <c r="AH10" s="77">
        <v>8</v>
      </c>
      <c r="AI10" s="78">
        <v>5</v>
      </c>
      <c r="AJ10" s="77">
        <v>6</v>
      </c>
      <c r="AK10" s="78">
        <v>11</v>
      </c>
      <c r="AL10" s="77">
        <v>12</v>
      </c>
      <c r="AM10" s="78">
        <v>9</v>
      </c>
      <c r="AN10" s="77">
        <v>13</v>
      </c>
      <c r="AO10" s="78">
        <v>15</v>
      </c>
      <c r="AP10" s="77">
        <v>16</v>
      </c>
      <c r="AQ10" s="78">
        <v>14</v>
      </c>
      <c r="AR10" s="77">
        <v>10</v>
      </c>
      <c r="AS10" s="264">
        <v>3</v>
      </c>
      <c r="AT10" s="264">
        <v>11</v>
      </c>
      <c r="AU10" s="260"/>
      <c r="AV10" s="264">
        <v>3</v>
      </c>
      <c r="AW10" s="264">
        <v>11</v>
      </c>
      <c r="AX10" s="260"/>
      <c r="AY10" s="3"/>
      <c r="BC10" t="s">
        <v>261</v>
      </c>
      <c r="BD10" s="3">
        <v>1</v>
      </c>
      <c r="BE10" s="86">
        <v>1500000</v>
      </c>
      <c r="BF10" s="95">
        <f>+BE10*12</f>
        <v>18000000</v>
      </c>
      <c r="BG10" s="86">
        <f>+BE10*8</f>
        <v>12000000</v>
      </c>
    </row>
    <row r="11" spans="1:59" outlineLevel="1">
      <c r="C11" s="74">
        <v>4</v>
      </c>
      <c r="F11" s="264">
        <v>4</v>
      </c>
      <c r="G11" s="264">
        <v>12</v>
      </c>
      <c r="H11" s="260"/>
      <c r="I11" s="77">
        <v>3</v>
      </c>
      <c r="J11" s="78">
        <v>2</v>
      </c>
      <c r="K11" s="77">
        <v>1</v>
      </c>
      <c r="L11" s="78">
        <v>8</v>
      </c>
      <c r="M11" s="77">
        <v>7</v>
      </c>
      <c r="N11" s="78">
        <v>6</v>
      </c>
      <c r="O11" s="77">
        <v>5</v>
      </c>
      <c r="P11" s="78">
        <v>12</v>
      </c>
      <c r="Q11" s="77">
        <v>11</v>
      </c>
      <c r="R11" s="78">
        <v>10</v>
      </c>
      <c r="S11" s="77">
        <v>14</v>
      </c>
      <c r="T11" s="78">
        <v>16</v>
      </c>
      <c r="U11" s="77">
        <v>15</v>
      </c>
      <c r="V11" s="78">
        <v>9</v>
      </c>
      <c r="W11" s="77">
        <v>13</v>
      </c>
      <c r="X11" s="264">
        <v>4</v>
      </c>
      <c r="Y11" s="264">
        <v>12</v>
      </c>
      <c r="Z11" s="260"/>
      <c r="AA11" s="264">
        <v>4</v>
      </c>
      <c r="AB11" s="264">
        <v>12</v>
      </c>
      <c r="AC11" s="260"/>
      <c r="AD11" s="77">
        <v>3</v>
      </c>
      <c r="AE11" s="78">
        <v>2</v>
      </c>
      <c r="AF11" s="77">
        <v>1</v>
      </c>
      <c r="AG11" s="78">
        <v>8</v>
      </c>
      <c r="AH11" s="77">
        <v>7</v>
      </c>
      <c r="AI11" s="78">
        <v>6</v>
      </c>
      <c r="AJ11" s="77">
        <v>5</v>
      </c>
      <c r="AK11" s="78">
        <v>12</v>
      </c>
      <c r="AL11" s="77">
        <v>11</v>
      </c>
      <c r="AM11" s="78">
        <v>10</v>
      </c>
      <c r="AN11" s="77">
        <v>14</v>
      </c>
      <c r="AO11" s="78">
        <v>16</v>
      </c>
      <c r="AP11" s="77">
        <v>15</v>
      </c>
      <c r="AQ11" s="78">
        <v>9</v>
      </c>
      <c r="AR11" s="77">
        <v>13</v>
      </c>
      <c r="AS11" s="264">
        <v>4</v>
      </c>
      <c r="AT11" s="264">
        <v>12</v>
      </c>
      <c r="AU11" s="260"/>
      <c r="AV11" s="264">
        <v>4</v>
      </c>
      <c r="AW11" s="264">
        <v>12</v>
      </c>
      <c r="AX11" s="260"/>
      <c r="AY11" s="3"/>
      <c r="BC11" t="s">
        <v>262</v>
      </c>
      <c r="BD11" s="3">
        <v>1</v>
      </c>
      <c r="BE11" s="86">
        <v>300000</v>
      </c>
      <c r="BF11" s="95">
        <f>+BE11*12</f>
        <v>3600000</v>
      </c>
    </row>
    <row r="12" spans="1:59" outlineLevel="1">
      <c r="C12" s="74">
        <v>5</v>
      </c>
      <c r="F12" s="264">
        <v>5</v>
      </c>
      <c r="G12" s="264">
        <v>13</v>
      </c>
      <c r="H12" s="260"/>
      <c r="I12" s="77">
        <v>6</v>
      </c>
      <c r="J12" s="78">
        <v>7</v>
      </c>
      <c r="K12" s="77">
        <v>8</v>
      </c>
      <c r="L12" s="78">
        <v>1</v>
      </c>
      <c r="M12" s="77">
        <v>2</v>
      </c>
      <c r="N12" s="78">
        <v>4</v>
      </c>
      <c r="O12" s="77">
        <v>3</v>
      </c>
      <c r="P12" s="78">
        <v>13</v>
      </c>
      <c r="Q12" s="77">
        <v>14</v>
      </c>
      <c r="R12" s="78">
        <v>15</v>
      </c>
      <c r="S12" s="77">
        <v>16</v>
      </c>
      <c r="T12" s="78">
        <v>9</v>
      </c>
      <c r="U12" s="77">
        <v>10</v>
      </c>
      <c r="V12" s="78">
        <v>11</v>
      </c>
      <c r="W12" s="77">
        <v>12</v>
      </c>
      <c r="X12" s="264">
        <v>5</v>
      </c>
      <c r="Y12" s="264">
        <v>13</v>
      </c>
      <c r="Z12" s="260"/>
      <c r="AA12" s="264">
        <v>5</v>
      </c>
      <c r="AB12" s="264">
        <v>13</v>
      </c>
      <c r="AC12" s="260"/>
      <c r="AD12" s="77">
        <v>6</v>
      </c>
      <c r="AE12" s="78">
        <v>7</v>
      </c>
      <c r="AF12" s="77">
        <v>8</v>
      </c>
      <c r="AG12" s="78">
        <v>1</v>
      </c>
      <c r="AH12" s="77">
        <v>2</v>
      </c>
      <c r="AI12" s="78">
        <v>4</v>
      </c>
      <c r="AJ12" s="77">
        <v>3</v>
      </c>
      <c r="AK12" s="78">
        <v>13</v>
      </c>
      <c r="AL12" s="77">
        <v>14</v>
      </c>
      <c r="AM12" s="78">
        <v>15</v>
      </c>
      <c r="AN12" s="77">
        <v>16</v>
      </c>
      <c r="AO12" s="78">
        <v>9</v>
      </c>
      <c r="AP12" s="77">
        <v>10</v>
      </c>
      <c r="AQ12" s="78">
        <v>11</v>
      </c>
      <c r="AR12" s="77">
        <v>12</v>
      </c>
      <c r="AS12" s="264">
        <v>5</v>
      </c>
      <c r="AT12" s="264">
        <v>13</v>
      </c>
      <c r="AU12" s="260"/>
      <c r="AV12" s="264">
        <v>5</v>
      </c>
      <c r="AW12" s="264">
        <v>13</v>
      </c>
      <c r="AX12" s="260"/>
      <c r="AY12" s="3"/>
      <c r="BC12" t="s">
        <v>510</v>
      </c>
      <c r="BD12" s="3">
        <f>+BD7</f>
        <v>6</v>
      </c>
      <c r="BE12" s="277">
        <f>+BF12/12</f>
        <v>2750000</v>
      </c>
      <c r="BF12" s="95">
        <f>+BD12*5500000</f>
        <v>33000000</v>
      </c>
    </row>
    <row r="13" spans="1:59" outlineLevel="1">
      <c r="C13" s="74">
        <v>6</v>
      </c>
      <c r="F13" s="264">
        <v>6</v>
      </c>
      <c r="G13" s="264">
        <v>14</v>
      </c>
      <c r="H13" s="260"/>
      <c r="I13" s="77">
        <v>5</v>
      </c>
      <c r="J13" s="78">
        <v>8</v>
      </c>
      <c r="K13" s="77">
        <v>10</v>
      </c>
      <c r="L13" s="78">
        <v>2</v>
      </c>
      <c r="M13" s="77">
        <v>1</v>
      </c>
      <c r="N13" s="78">
        <v>3</v>
      </c>
      <c r="O13" s="77">
        <v>4</v>
      </c>
      <c r="P13" s="78">
        <v>14</v>
      </c>
      <c r="Q13" s="77">
        <v>13</v>
      </c>
      <c r="R13" s="78">
        <v>16</v>
      </c>
      <c r="S13" s="77">
        <v>15</v>
      </c>
      <c r="T13" s="78">
        <v>7</v>
      </c>
      <c r="U13" s="77">
        <v>9</v>
      </c>
      <c r="V13" s="78">
        <v>12</v>
      </c>
      <c r="W13" s="77">
        <v>11</v>
      </c>
      <c r="X13" s="264">
        <v>6</v>
      </c>
      <c r="Y13" s="264">
        <v>14</v>
      </c>
      <c r="Z13" s="260"/>
      <c r="AA13" s="264">
        <v>6</v>
      </c>
      <c r="AB13" s="264">
        <v>14</v>
      </c>
      <c r="AC13" s="260"/>
      <c r="AD13" s="77">
        <v>5</v>
      </c>
      <c r="AE13" s="78">
        <v>8</v>
      </c>
      <c r="AF13" s="77">
        <v>10</v>
      </c>
      <c r="AG13" s="78">
        <v>2</v>
      </c>
      <c r="AH13" s="77">
        <v>1</v>
      </c>
      <c r="AI13" s="78">
        <v>3</v>
      </c>
      <c r="AJ13" s="77">
        <v>4</v>
      </c>
      <c r="AK13" s="78">
        <v>14</v>
      </c>
      <c r="AL13" s="77">
        <v>13</v>
      </c>
      <c r="AM13" s="78">
        <v>16</v>
      </c>
      <c r="AN13" s="77">
        <v>15</v>
      </c>
      <c r="AO13" s="78">
        <v>7</v>
      </c>
      <c r="AP13" s="77">
        <v>9</v>
      </c>
      <c r="AQ13" s="78">
        <v>12</v>
      </c>
      <c r="AR13" s="77">
        <v>11</v>
      </c>
      <c r="AS13" s="264">
        <v>6</v>
      </c>
      <c r="AT13" s="264">
        <v>14</v>
      </c>
      <c r="AU13" s="260"/>
      <c r="AV13" s="264">
        <v>6</v>
      </c>
      <c r="AW13" s="264">
        <v>14</v>
      </c>
      <c r="AX13" s="260"/>
      <c r="AY13" s="3"/>
      <c r="BB13" s="86">
        <v>300000</v>
      </c>
      <c r="BC13" t="s">
        <v>263</v>
      </c>
      <c r="BD13" s="3">
        <v>1</v>
      </c>
      <c r="BE13" s="86">
        <f>+BB13*BD7*BD13</f>
        <v>1800000</v>
      </c>
      <c r="BF13" s="95">
        <f>+BE13*12</f>
        <v>21600000</v>
      </c>
    </row>
    <row r="14" spans="1:59" outlineLevel="1">
      <c r="C14" s="74">
        <v>7</v>
      </c>
      <c r="F14" s="264">
        <v>7</v>
      </c>
      <c r="G14" s="264">
        <v>15</v>
      </c>
      <c r="H14" s="260"/>
      <c r="I14" s="77">
        <v>8</v>
      </c>
      <c r="J14" s="78">
        <v>5</v>
      </c>
      <c r="K14" s="77">
        <v>11</v>
      </c>
      <c r="L14" s="78">
        <v>3</v>
      </c>
      <c r="M14" s="77">
        <v>4</v>
      </c>
      <c r="N14" s="78">
        <v>1</v>
      </c>
      <c r="O14" s="77">
        <v>2</v>
      </c>
      <c r="P14" s="78">
        <v>15</v>
      </c>
      <c r="Q14" s="77">
        <v>16</v>
      </c>
      <c r="R14" s="78">
        <v>13</v>
      </c>
      <c r="S14" s="77">
        <v>9</v>
      </c>
      <c r="T14" s="78">
        <v>6</v>
      </c>
      <c r="U14" s="77">
        <v>12</v>
      </c>
      <c r="V14" s="78">
        <v>10</v>
      </c>
      <c r="W14" s="77">
        <v>14</v>
      </c>
      <c r="X14" s="264">
        <v>7</v>
      </c>
      <c r="Y14" s="264">
        <v>15</v>
      </c>
      <c r="Z14" s="260"/>
      <c r="AA14" s="264">
        <v>7</v>
      </c>
      <c r="AB14" s="264">
        <v>15</v>
      </c>
      <c r="AC14" s="260"/>
      <c r="AD14" s="77">
        <v>8</v>
      </c>
      <c r="AE14" s="78">
        <v>5</v>
      </c>
      <c r="AF14" s="77">
        <v>11</v>
      </c>
      <c r="AG14" s="78">
        <v>3</v>
      </c>
      <c r="AH14" s="77">
        <v>4</v>
      </c>
      <c r="AI14" s="78">
        <v>1</v>
      </c>
      <c r="AJ14" s="77">
        <v>2</v>
      </c>
      <c r="AK14" s="78">
        <v>15</v>
      </c>
      <c r="AL14" s="77">
        <v>16</v>
      </c>
      <c r="AM14" s="78">
        <v>13</v>
      </c>
      <c r="AN14" s="77">
        <v>9</v>
      </c>
      <c r="AO14" s="78">
        <v>6</v>
      </c>
      <c r="AP14" s="77">
        <v>12</v>
      </c>
      <c r="AQ14" s="78">
        <v>10</v>
      </c>
      <c r="AR14" s="77">
        <v>14</v>
      </c>
      <c r="AS14" s="264">
        <v>7</v>
      </c>
      <c r="AT14" s="264">
        <v>15</v>
      </c>
      <c r="AU14" s="260"/>
      <c r="AV14" s="264">
        <v>7</v>
      </c>
      <c r="AW14" s="264">
        <v>15</v>
      </c>
      <c r="AX14" s="260"/>
      <c r="AY14" s="3"/>
      <c r="BB14" s="86">
        <v>5000</v>
      </c>
      <c r="BD14" s="3">
        <v>1</v>
      </c>
      <c r="BE14" s="86">
        <f>+BB14*BD7*BD14</f>
        <v>30000</v>
      </c>
      <c r="BF14" s="95">
        <f>+BE14*12</f>
        <v>360000</v>
      </c>
    </row>
    <row r="15" spans="1:59" outlineLevel="1">
      <c r="C15" s="74">
        <v>8</v>
      </c>
      <c r="F15" s="264">
        <v>8</v>
      </c>
      <c r="G15" s="264">
        <v>16</v>
      </c>
      <c r="H15" s="260"/>
      <c r="I15" s="77">
        <v>7</v>
      </c>
      <c r="J15" s="78">
        <v>6</v>
      </c>
      <c r="K15" s="77">
        <v>5</v>
      </c>
      <c r="L15" s="78">
        <v>4</v>
      </c>
      <c r="M15" s="77">
        <v>3</v>
      </c>
      <c r="N15" s="78">
        <v>2</v>
      </c>
      <c r="O15" s="77">
        <v>1</v>
      </c>
      <c r="P15" s="78">
        <v>16</v>
      </c>
      <c r="Q15" s="77">
        <v>15</v>
      </c>
      <c r="R15" s="78">
        <v>14</v>
      </c>
      <c r="S15" s="77">
        <v>10</v>
      </c>
      <c r="T15" s="78">
        <v>12</v>
      </c>
      <c r="U15" s="77">
        <v>11</v>
      </c>
      <c r="V15" s="78">
        <v>13</v>
      </c>
      <c r="W15" s="77">
        <v>9</v>
      </c>
      <c r="X15" s="264">
        <v>8</v>
      </c>
      <c r="Y15" s="264">
        <v>16</v>
      </c>
      <c r="Z15" s="260"/>
      <c r="AA15" s="264">
        <v>8</v>
      </c>
      <c r="AB15" s="264">
        <v>16</v>
      </c>
      <c r="AC15" s="260"/>
      <c r="AD15" s="77">
        <v>7</v>
      </c>
      <c r="AE15" s="78">
        <v>6</v>
      </c>
      <c r="AF15" s="77">
        <v>5</v>
      </c>
      <c r="AG15" s="78">
        <v>4</v>
      </c>
      <c r="AH15" s="77">
        <v>3</v>
      </c>
      <c r="AI15" s="78">
        <v>2</v>
      </c>
      <c r="AJ15" s="77">
        <v>1</v>
      </c>
      <c r="AK15" s="78">
        <v>16</v>
      </c>
      <c r="AL15" s="77">
        <v>15</v>
      </c>
      <c r="AM15" s="78">
        <v>14</v>
      </c>
      <c r="AN15" s="77">
        <v>10</v>
      </c>
      <c r="AO15" s="78">
        <v>12</v>
      </c>
      <c r="AP15" s="77">
        <v>11</v>
      </c>
      <c r="AQ15" s="78">
        <v>13</v>
      </c>
      <c r="AR15" s="77">
        <v>9</v>
      </c>
      <c r="AS15" s="264">
        <v>8</v>
      </c>
      <c r="AT15" s="264">
        <v>16</v>
      </c>
      <c r="AU15" s="260"/>
      <c r="AV15" s="264">
        <v>8</v>
      </c>
      <c r="AW15" s="264">
        <v>16</v>
      </c>
      <c r="AX15" s="260"/>
      <c r="AY15" s="3"/>
      <c r="BE15" s="96">
        <f>SUM(BE10:BE14)</f>
        <v>6380000</v>
      </c>
      <c r="BF15" s="96">
        <f>SUM(BF10:BF14)</f>
        <v>76560000</v>
      </c>
    </row>
    <row r="16" spans="1:59" outlineLevel="1">
      <c r="C16" s="74">
        <v>9</v>
      </c>
      <c r="F16" s="264"/>
      <c r="G16" s="264"/>
      <c r="H16" s="260">
        <v>2</v>
      </c>
      <c r="I16" s="77">
        <v>10</v>
      </c>
      <c r="J16" s="78">
        <v>11</v>
      </c>
      <c r="K16" s="77">
        <v>12</v>
      </c>
      <c r="L16" s="78">
        <v>13</v>
      </c>
      <c r="M16" s="77">
        <v>14</v>
      </c>
      <c r="N16" s="78">
        <v>15</v>
      </c>
      <c r="O16" s="77">
        <v>16</v>
      </c>
      <c r="P16" s="78">
        <v>1</v>
      </c>
      <c r="Q16" s="77">
        <v>2</v>
      </c>
      <c r="R16" s="78">
        <v>3</v>
      </c>
      <c r="S16" s="77">
        <v>7</v>
      </c>
      <c r="T16" s="78">
        <v>5</v>
      </c>
      <c r="U16" s="77">
        <v>6</v>
      </c>
      <c r="V16" s="78">
        <v>4</v>
      </c>
      <c r="W16" s="77">
        <v>8</v>
      </c>
      <c r="X16" s="264"/>
      <c r="Y16" s="264"/>
      <c r="Z16" s="260">
        <v>2</v>
      </c>
      <c r="AA16" s="264"/>
      <c r="AB16" s="264"/>
      <c r="AC16" s="260">
        <v>2</v>
      </c>
      <c r="AD16" s="77">
        <v>10</v>
      </c>
      <c r="AE16" s="78">
        <v>11</v>
      </c>
      <c r="AF16" s="77">
        <v>12</v>
      </c>
      <c r="AG16" s="78">
        <v>13</v>
      </c>
      <c r="AH16" s="77">
        <v>14</v>
      </c>
      <c r="AI16" s="78">
        <v>15</v>
      </c>
      <c r="AJ16" s="77">
        <v>16</v>
      </c>
      <c r="AK16" s="78">
        <v>1</v>
      </c>
      <c r="AL16" s="77">
        <v>2</v>
      </c>
      <c r="AM16" s="78">
        <v>3</v>
      </c>
      <c r="AN16" s="77">
        <v>7</v>
      </c>
      <c r="AO16" s="78">
        <v>5</v>
      </c>
      <c r="AP16" s="77">
        <v>6</v>
      </c>
      <c r="AQ16" s="78">
        <v>4</v>
      </c>
      <c r="AR16" s="77">
        <v>8</v>
      </c>
      <c r="AS16" s="264"/>
      <c r="AT16" s="264"/>
      <c r="AU16" s="260">
        <v>2</v>
      </c>
      <c r="AV16" s="264"/>
      <c r="AW16" s="264"/>
      <c r="AX16" s="260">
        <v>2</v>
      </c>
      <c r="AY16" s="3"/>
      <c r="BB16" s="276"/>
      <c r="BC16" s="276"/>
      <c r="BD16" s="275" t="s">
        <v>28</v>
      </c>
      <c r="BE16" s="274">
        <f>+BE7+BE15</f>
        <v>21680000</v>
      </c>
      <c r="BF16" s="273">
        <f>+BE16*12</f>
        <v>260160000</v>
      </c>
    </row>
    <row r="17" spans="1:65" outlineLevel="1">
      <c r="C17" s="74">
        <v>10</v>
      </c>
      <c r="F17" s="264"/>
      <c r="G17" s="264"/>
      <c r="H17" s="260"/>
      <c r="I17" s="77">
        <v>9</v>
      </c>
      <c r="J17" s="78">
        <v>12</v>
      </c>
      <c r="K17" s="77">
        <v>6</v>
      </c>
      <c r="L17" s="78">
        <v>14</v>
      </c>
      <c r="M17" s="77">
        <v>13</v>
      </c>
      <c r="N17" s="78">
        <v>16</v>
      </c>
      <c r="O17" s="77">
        <v>15</v>
      </c>
      <c r="P17" s="78">
        <v>2</v>
      </c>
      <c r="Q17" s="77">
        <v>1</v>
      </c>
      <c r="R17" s="78">
        <v>4</v>
      </c>
      <c r="S17" s="77">
        <v>8</v>
      </c>
      <c r="T17" s="78">
        <v>11</v>
      </c>
      <c r="U17" s="77">
        <v>5</v>
      </c>
      <c r="V17" s="78">
        <v>7</v>
      </c>
      <c r="W17" s="77">
        <v>3</v>
      </c>
      <c r="X17" s="264"/>
      <c r="Y17" s="264"/>
      <c r="Z17" s="260"/>
      <c r="AA17" s="264"/>
      <c r="AB17" s="264"/>
      <c r="AC17" s="260"/>
      <c r="AD17" s="77">
        <v>9</v>
      </c>
      <c r="AE17" s="78">
        <v>12</v>
      </c>
      <c r="AF17" s="77">
        <v>6</v>
      </c>
      <c r="AG17" s="78">
        <v>14</v>
      </c>
      <c r="AH17" s="77">
        <v>13</v>
      </c>
      <c r="AI17" s="78">
        <v>16</v>
      </c>
      <c r="AJ17" s="77">
        <v>15</v>
      </c>
      <c r="AK17" s="78">
        <v>2</v>
      </c>
      <c r="AL17" s="77">
        <v>1</v>
      </c>
      <c r="AM17" s="78">
        <v>4</v>
      </c>
      <c r="AN17" s="77">
        <v>8</v>
      </c>
      <c r="AO17" s="78">
        <v>11</v>
      </c>
      <c r="AP17" s="77">
        <v>5</v>
      </c>
      <c r="AQ17" s="78">
        <v>7</v>
      </c>
      <c r="AR17" s="77">
        <v>3</v>
      </c>
      <c r="AS17" s="264"/>
      <c r="AT17" s="264"/>
      <c r="AU17" s="260"/>
      <c r="AV17" s="264"/>
      <c r="AW17" s="264"/>
      <c r="AX17" s="260"/>
      <c r="AY17" s="3"/>
      <c r="BB17" s="272"/>
      <c r="BC17" s="271">
        <v>1.7</v>
      </c>
      <c r="BD17" s="270" t="s">
        <v>264</v>
      </c>
      <c r="BE17" s="269">
        <f>+BE16*BC17</f>
        <v>36856000</v>
      </c>
      <c r="BF17" s="269">
        <f>+BE17*12</f>
        <v>442272000</v>
      </c>
      <c r="BH17" s="1">
        <f>+BF17*1.15</f>
        <v>508612799.99999994</v>
      </c>
      <c r="BI17" s="1">
        <v>100000000</v>
      </c>
      <c r="BJ17" s="1">
        <f>+BI17*1.16</f>
        <v>115999999.99999999</v>
      </c>
    </row>
    <row r="18" spans="1:65" outlineLevel="1">
      <c r="C18" s="74">
        <v>11</v>
      </c>
      <c r="F18" s="264"/>
      <c r="G18" s="264"/>
      <c r="H18" s="260"/>
      <c r="I18" s="77">
        <v>12</v>
      </c>
      <c r="J18" s="78">
        <v>9</v>
      </c>
      <c r="K18" s="77">
        <v>7</v>
      </c>
      <c r="L18" s="78">
        <v>15</v>
      </c>
      <c r="M18" s="77">
        <v>16</v>
      </c>
      <c r="N18" s="78">
        <v>14</v>
      </c>
      <c r="O18" s="77">
        <v>13</v>
      </c>
      <c r="P18" s="78">
        <v>3</v>
      </c>
      <c r="Q18" s="77">
        <v>4</v>
      </c>
      <c r="R18" s="78">
        <v>1</v>
      </c>
      <c r="S18" s="77">
        <v>2</v>
      </c>
      <c r="T18" s="78">
        <v>10</v>
      </c>
      <c r="U18" s="77">
        <v>8</v>
      </c>
      <c r="V18" s="78">
        <v>5</v>
      </c>
      <c r="W18" s="77">
        <v>6</v>
      </c>
      <c r="X18" s="264"/>
      <c r="Y18" s="264"/>
      <c r="Z18" s="260"/>
      <c r="AA18" s="264"/>
      <c r="AB18" s="264"/>
      <c r="AC18" s="260"/>
      <c r="AD18" s="77">
        <v>12</v>
      </c>
      <c r="AE18" s="78">
        <v>9</v>
      </c>
      <c r="AF18" s="77">
        <v>7</v>
      </c>
      <c r="AG18" s="78">
        <v>15</v>
      </c>
      <c r="AH18" s="77">
        <v>16</v>
      </c>
      <c r="AI18" s="78">
        <v>14</v>
      </c>
      <c r="AJ18" s="77">
        <v>13</v>
      </c>
      <c r="AK18" s="78">
        <v>3</v>
      </c>
      <c r="AL18" s="77">
        <v>4</v>
      </c>
      <c r="AM18" s="78">
        <v>1</v>
      </c>
      <c r="AN18" s="77">
        <v>2</v>
      </c>
      <c r="AO18" s="78">
        <v>10</v>
      </c>
      <c r="AP18" s="77">
        <v>8</v>
      </c>
      <c r="AQ18" s="78">
        <v>5</v>
      </c>
      <c r="AR18" s="77">
        <v>6</v>
      </c>
      <c r="AS18" s="264"/>
      <c r="AT18" s="264"/>
      <c r="AU18" s="260"/>
      <c r="AV18" s="264"/>
      <c r="AW18" s="264"/>
      <c r="AX18" s="260"/>
      <c r="AY18" s="3"/>
      <c r="BB18" s="266"/>
      <c r="BC18" s="268">
        <v>0.7</v>
      </c>
      <c r="BD18" s="266" t="s">
        <v>265</v>
      </c>
      <c r="BE18" s="267">
        <f>+BE16*BC18</f>
        <v>15175999.999999998</v>
      </c>
      <c r="BF18" s="267">
        <f>+BE18*12</f>
        <v>182111999.99999997</v>
      </c>
      <c r="BH18" s="95"/>
    </row>
    <row r="19" spans="1:65" outlineLevel="1">
      <c r="A19" s="80"/>
      <c r="B19" s="80"/>
      <c r="C19" s="74">
        <v>12</v>
      </c>
      <c r="F19" s="264"/>
      <c r="G19" s="264"/>
      <c r="H19" s="260"/>
      <c r="I19" s="77">
        <v>11</v>
      </c>
      <c r="J19" s="78">
        <v>10</v>
      </c>
      <c r="K19" s="77">
        <v>9</v>
      </c>
      <c r="L19" s="78">
        <v>16</v>
      </c>
      <c r="M19" s="77">
        <v>15</v>
      </c>
      <c r="N19" s="78">
        <v>13</v>
      </c>
      <c r="O19" s="77">
        <v>14</v>
      </c>
      <c r="P19" s="78">
        <v>4</v>
      </c>
      <c r="Q19" s="77">
        <v>3</v>
      </c>
      <c r="R19" s="78">
        <v>2</v>
      </c>
      <c r="S19" s="77">
        <v>1</v>
      </c>
      <c r="T19" s="78">
        <v>8</v>
      </c>
      <c r="U19" s="77">
        <v>7</v>
      </c>
      <c r="V19" s="78">
        <v>6</v>
      </c>
      <c r="W19" s="77">
        <v>5</v>
      </c>
      <c r="X19" s="264"/>
      <c r="Y19" s="264"/>
      <c r="Z19" s="260"/>
      <c r="AA19" s="264"/>
      <c r="AB19" s="264"/>
      <c r="AC19" s="260"/>
      <c r="AD19" s="77">
        <v>11</v>
      </c>
      <c r="AE19" s="78">
        <v>10</v>
      </c>
      <c r="AF19" s="77">
        <v>9</v>
      </c>
      <c r="AG19" s="78">
        <v>16</v>
      </c>
      <c r="AH19" s="77">
        <v>15</v>
      </c>
      <c r="AI19" s="78">
        <v>13</v>
      </c>
      <c r="AJ19" s="77">
        <v>14</v>
      </c>
      <c r="AK19" s="78">
        <v>4</v>
      </c>
      <c r="AL19" s="77">
        <v>3</v>
      </c>
      <c r="AM19" s="78">
        <v>2</v>
      </c>
      <c r="AN19" s="77">
        <v>1</v>
      </c>
      <c r="AO19" s="78">
        <v>8</v>
      </c>
      <c r="AP19" s="77">
        <v>7</v>
      </c>
      <c r="AQ19" s="78">
        <v>6</v>
      </c>
      <c r="AR19" s="77">
        <v>5</v>
      </c>
      <c r="AS19" s="264"/>
      <c r="AT19" s="264"/>
      <c r="AU19" s="260"/>
      <c r="AV19" s="264"/>
      <c r="AW19" s="264"/>
      <c r="AX19" s="260"/>
      <c r="AY19" s="3"/>
      <c r="BB19" s="266"/>
      <c r="BC19" s="266"/>
      <c r="BD19" s="266"/>
      <c r="BE19" s="265">
        <f>+BE18+BE16</f>
        <v>36856000</v>
      </c>
      <c r="BF19" s="265">
        <f>+BF17-BF18</f>
        <v>260160000.00000003</v>
      </c>
    </row>
    <row r="20" spans="1:65" outlineLevel="1">
      <c r="A20" s="80"/>
      <c r="B20" s="87"/>
      <c r="C20" s="74">
        <v>13</v>
      </c>
      <c r="F20" s="264"/>
      <c r="G20" s="264"/>
      <c r="H20" s="260"/>
      <c r="I20" s="77">
        <v>14</v>
      </c>
      <c r="J20" s="78">
        <v>15</v>
      </c>
      <c r="K20" s="77">
        <v>16</v>
      </c>
      <c r="L20" s="78">
        <v>9</v>
      </c>
      <c r="M20" s="77">
        <v>10</v>
      </c>
      <c r="N20" s="78">
        <v>11</v>
      </c>
      <c r="O20" s="77">
        <v>12</v>
      </c>
      <c r="P20" s="78">
        <v>5</v>
      </c>
      <c r="Q20" s="77">
        <v>6</v>
      </c>
      <c r="R20" s="78">
        <v>7</v>
      </c>
      <c r="S20" s="77">
        <v>3</v>
      </c>
      <c r="T20" s="78">
        <v>1</v>
      </c>
      <c r="U20" s="77">
        <v>2</v>
      </c>
      <c r="V20" s="78">
        <v>8</v>
      </c>
      <c r="W20" s="77">
        <v>4</v>
      </c>
      <c r="X20" s="264"/>
      <c r="Y20" s="264"/>
      <c r="Z20" s="260"/>
      <c r="AA20" s="264"/>
      <c r="AB20" s="264"/>
      <c r="AC20" s="260"/>
      <c r="AD20" s="77">
        <v>14</v>
      </c>
      <c r="AE20" s="78">
        <v>15</v>
      </c>
      <c r="AF20" s="77">
        <v>16</v>
      </c>
      <c r="AG20" s="78">
        <v>9</v>
      </c>
      <c r="AH20" s="77">
        <v>10</v>
      </c>
      <c r="AI20" s="78">
        <v>11</v>
      </c>
      <c r="AJ20" s="77">
        <v>12</v>
      </c>
      <c r="AK20" s="78">
        <v>5</v>
      </c>
      <c r="AL20" s="77">
        <v>6</v>
      </c>
      <c r="AM20" s="78">
        <v>7</v>
      </c>
      <c r="AN20" s="77">
        <v>3</v>
      </c>
      <c r="AO20" s="78">
        <v>1</v>
      </c>
      <c r="AP20" s="77">
        <v>2</v>
      </c>
      <c r="AQ20" s="78">
        <v>8</v>
      </c>
      <c r="AR20" s="77">
        <v>4</v>
      </c>
      <c r="AS20" s="264"/>
      <c r="AT20" s="264"/>
      <c r="AU20" s="260"/>
      <c r="AV20" s="264"/>
      <c r="AW20" s="264"/>
      <c r="AX20" s="260"/>
      <c r="AY20" s="3"/>
      <c r="BB20" s="130"/>
      <c r="BC20" s="130"/>
      <c r="BD20" s="130"/>
      <c r="BE20" s="130"/>
      <c r="BF20" s="130"/>
    </row>
    <row r="21" spans="1:65" outlineLevel="1">
      <c r="B21" s="87"/>
      <c r="C21" s="74">
        <v>14</v>
      </c>
      <c r="F21" s="264"/>
      <c r="G21" s="264"/>
      <c r="H21" s="260"/>
      <c r="I21" s="77">
        <v>13</v>
      </c>
      <c r="J21" s="78">
        <v>16</v>
      </c>
      <c r="K21" s="77">
        <v>15</v>
      </c>
      <c r="L21" s="78">
        <v>10</v>
      </c>
      <c r="M21" s="77">
        <v>9</v>
      </c>
      <c r="N21" s="78">
        <v>12</v>
      </c>
      <c r="O21" s="77">
        <v>11</v>
      </c>
      <c r="P21" s="78">
        <v>6</v>
      </c>
      <c r="Q21" s="77">
        <v>5</v>
      </c>
      <c r="R21" s="78">
        <v>8</v>
      </c>
      <c r="S21" s="77">
        <v>4</v>
      </c>
      <c r="T21" s="78">
        <v>2</v>
      </c>
      <c r="U21" s="77">
        <v>1</v>
      </c>
      <c r="V21" s="78">
        <v>3</v>
      </c>
      <c r="W21" s="77">
        <v>7</v>
      </c>
      <c r="X21" s="264"/>
      <c r="Y21" s="264"/>
      <c r="Z21" s="260"/>
      <c r="AA21" s="264"/>
      <c r="AB21" s="264"/>
      <c r="AC21" s="260"/>
      <c r="AD21" s="77">
        <v>13</v>
      </c>
      <c r="AE21" s="78">
        <v>16</v>
      </c>
      <c r="AF21" s="77">
        <v>15</v>
      </c>
      <c r="AG21" s="78">
        <v>10</v>
      </c>
      <c r="AH21" s="77">
        <v>9</v>
      </c>
      <c r="AI21" s="78">
        <v>12</v>
      </c>
      <c r="AJ21" s="77">
        <v>11</v>
      </c>
      <c r="AK21" s="78">
        <v>6</v>
      </c>
      <c r="AL21" s="77">
        <v>5</v>
      </c>
      <c r="AM21" s="78">
        <v>8</v>
      </c>
      <c r="AN21" s="77">
        <v>4</v>
      </c>
      <c r="AO21" s="78">
        <v>2</v>
      </c>
      <c r="AP21" s="77">
        <v>1</v>
      </c>
      <c r="AQ21" s="78">
        <v>3</v>
      </c>
      <c r="AR21" s="77">
        <v>7</v>
      </c>
      <c r="AS21" s="264"/>
      <c r="AT21" s="264"/>
      <c r="AU21" s="260"/>
      <c r="AV21" s="264"/>
      <c r="AW21" s="264"/>
      <c r="AX21" s="260"/>
      <c r="AY21" s="3"/>
      <c r="BB21" s="130"/>
      <c r="BC21" s="134" t="s">
        <v>268</v>
      </c>
      <c r="BD21" s="134" t="s">
        <v>269</v>
      </c>
      <c r="BE21" s="134" t="s">
        <v>183</v>
      </c>
      <c r="BF21" s="134" t="s">
        <v>19</v>
      </c>
    </row>
    <row r="22" spans="1:65" outlineLevel="1">
      <c r="A22" s="87"/>
      <c r="B22" s="87"/>
      <c r="C22" s="74">
        <v>15</v>
      </c>
      <c r="F22" s="264"/>
      <c r="G22" s="264"/>
      <c r="H22" s="260"/>
      <c r="I22" s="77">
        <v>16</v>
      </c>
      <c r="J22" s="78">
        <v>13</v>
      </c>
      <c r="K22" s="77">
        <v>14</v>
      </c>
      <c r="L22" s="78">
        <v>11</v>
      </c>
      <c r="M22" s="77">
        <v>12</v>
      </c>
      <c r="N22" s="78">
        <v>9</v>
      </c>
      <c r="O22" s="77">
        <v>10</v>
      </c>
      <c r="P22" s="78">
        <v>7</v>
      </c>
      <c r="Q22" s="77">
        <v>8</v>
      </c>
      <c r="R22" s="78">
        <v>5</v>
      </c>
      <c r="S22" s="77">
        <v>6</v>
      </c>
      <c r="T22" s="78">
        <v>3</v>
      </c>
      <c r="U22" s="77">
        <v>4</v>
      </c>
      <c r="V22" s="78">
        <v>1</v>
      </c>
      <c r="W22" s="77">
        <v>2</v>
      </c>
      <c r="X22" s="264"/>
      <c r="Y22" s="264"/>
      <c r="Z22" s="260"/>
      <c r="AA22" s="264"/>
      <c r="AB22" s="264"/>
      <c r="AC22" s="260"/>
      <c r="AD22" s="77">
        <v>16</v>
      </c>
      <c r="AE22" s="78">
        <v>13</v>
      </c>
      <c r="AF22" s="77">
        <v>14</v>
      </c>
      <c r="AG22" s="78">
        <v>11</v>
      </c>
      <c r="AH22" s="77">
        <v>12</v>
      </c>
      <c r="AI22" s="78">
        <v>9</v>
      </c>
      <c r="AJ22" s="77">
        <v>10</v>
      </c>
      <c r="AK22" s="78">
        <v>7</v>
      </c>
      <c r="AL22" s="77">
        <v>8</v>
      </c>
      <c r="AM22" s="78">
        <v>5</v>
      </c>
      <c r="AN22" s="77">
        <v>6</v>
      </c>
      <c r="AO22" s="78">
        <v>3</v>
      </c>
      <c r="AP22" s="77">
        <v>4</v>
      </c>
      <c r="AQ22" s="78">
        <v>1</v>
      </c>
      <c r="AR22" s="77">
        <v>2</v>
      </c>
      <c r="AS22" s="264"/>
      <c r="AT22" s="264"/>
      <c r="AU22" s="260"/>
      <c r="AV22" s="264"/>
      <c r="AW22" s="264"/>
      <c r="AX22" s="260"/>
      <c r="AY22" s="3"/>
      <c r="BB22" s="130"/>
      <c r="BC22" s="130"/>
      <c r="BD22" s="135">
        <v>1</v>
      </c>
      <c r="BE22" s="132">
        <f>+BE17/BD22</f>
        <v>36856000</v>
      </c>
      <c r="BF22" s="136">
        <f>+BE22*12</f>
        <v>442272000</v>
      </c>
    </row>
    <row r="23" spans="1:65" outlineLevel="1">
      <c r="B23" s="87"/>
      <c r="C23" s="74">
        <v>16</v>
      </c>
      <c r="F23" s="264"/>
      <c r="G23" s="264"/>
      <c r="H23" s="260"/>
      <c r="I23" s="77">
        <v>15</v>
      </c>
      <c r="J23" s="78">
        <v>14</v>
      </c>
      <c r="K23" s="77">
        <v>13</v>
      </c>
      <c r="L23" s="78">
        <v>12</v>
      </c>
      <c r="M23" s="77">
        <v>11</v>
      </c>
      <c r="N23" s="78">
        <v>10</v>
      </c>
      <c r="O23" s="77">
        <v>9</v>
      </c>
      <c r="P23" s="78">
        <v>8</v>
      </c>
      <c r="Q23" s="77">
        <v>7</v>
      </c>
      <c r="R23" s="78">
        <v>6</v>
      </c>
      <c r="S23" s="77">
        <v>5</v>
      </c>
      <c r="T23" s="78">
        <v>4</v>
      </c>
      <c r="U23" s="77">
        <v>3</v>
      </c>
      <c r="V23" s="78">
        <v>2</v>
      </c>
      <c r="W23" s="77">
        <v>1</v>
      </c>
      <c r="X23" s="264"/>
      <c r="Y23" s="264"/>
      <c r="Z23" s="260"/>
      <c r="AA23" s="264"/>
      <c r="AB23" s="264"/>
      <c r="AC23" s="260"/>
      <c r="AD23" s="77">
        <v>15</v>
      </c>
      <c r="AE23" s="78">
        <v>14</v>
      </c>
      <c r="AF23" s="77">
        <v>13</v>
      </c>
      <c r="AG23" s="78">
        <v>12</v>
      </c>
      <c r="AH23" s="77">
        <v>11</v>
      </c>
      <c r="AI23" s="78">
        <v>10</v>
      </c>
      <c r="AJ23" s="77">
        <v>9</v>
      </c>
      <c r="AK23" s="78">
        <v>8</v>
      </c>
      <c r="AL23" s="77">
        <v>7</v>
      </c>
      <c r="AM23" s="78">
        <v>6</v>
      </c>
      <c r="AN23" s="77">
        <v>5</v>
      </c>
      <c r="AO23" s="78">
        <v>4</v>
      </c>
      <c r="AP23" s="77">
        <v>3</v>
      </c>
      <c r="AQ23" s="78">
        <v>2</v>
      </c>
      <c r="AR23" s="77">
        <v>1</v>
      </c>
      <c r="AS23" s="264"/>
      <c r="AT23" s="264"/>
      <c r="AU23" s="260"/>
      <c r="AV23" s="264"/>
      <c r="AW23" s="264"/>
      <c r="AX23" s="260"/>
      <c r="AY23" s="3"/>
      <c r="BB23" s="130"/>
      <c r="BC23" s="130"/>
      <c r="BD23" s="135">
        <v>2</v>
      </c>
      <c r="BE23" s="132">
        <f>+BE17/BD23</f>
        <v>18428000</v>
      </c>
      <c r="BF23" s="136">
        <f>+BE23*12</f>
        <v>221136000</v>
      </c>
    </row>
    <row r="24" spans="1:65" outlineLevel="1">
      <c r="X24" s="3"/>
      <c r="Y24" s="3"/>
      <c r="Z24" s="3"/>
      <c r="AA24" s="3"/>
      <c r="AB24" s="3"/>
      <c r="AC24" s="3"/>
      <c r="AS24" s="3"/>
      <c r="AT24" s="3"/>
      <c r="AU24" s="3"/>
      <c r="AV24" s="3"/>
      <c r="AW24" s="3"/>
      <c r="AX24" s="3"/>
      <c r="BB24" s="130"/>
      <c r="BC24" s="130"/>
      <c r="BD24" s="135">
        <v>3</v>
      </c>
      <c r="BE24" s="132">
        <f>+BE17/BD24</f>
        <v>12285333.333333334</v>
      </c>
      <c r="BF24" s="136">
        <f>+BE24*12</f>
        <v>147424000</v>
      </c>
    </row>
    <row r="25" spans="1:65" outlineLevel="1">
      <c r="A25" s="80" t="s">
        <v>266</v>
      </c>
      <c r="F25" s="261">
        <f>+COUNTA(F8:F23)</f>
        <v>8</v>
      </c>
      <c r="G25" s="261">
        <f>+COUNTA(G8:G23)</f>
        <v>8</v>
      </c>
      <c r="H25" s="260">
        <v>2</v>
      </c>
      <c r="I25" s="3">
        <f t="shared" ref="I25:Y25" si="0">+COUNTA(I8:I23)</f>
        <v>16</v>
      </c>
      <c r="J25" s="3">
        <f t="shared" si="0"/>
        <v>16</v>
      </c>
      <c r="K25" s="3">
        <f t="shared" si="0"/>
        <v>16</v>
      </c>
      <c r="L25" s="3">
        <f t="shared" si="0"/>
        <v>16</v>
      </c>
      <c r="M25" s="3">
        <f t="shared" si="0"/>
        <v>16</v>
      </c>
      <c r="N25" s="3">
        <f t="shared" si="0"/>
        <v>16</v>
      </c>
      <c r="O25" s="3">
        <f t="shared" si="0"/>
        <v>16</v>
      </c>
      <c r="P25" s="3">
        <f t="shared" si="0"/>
        <v>16</v>
      </c>
      <c r="Q25" s="3">
        <f t="shared" si="0"/>
        <v>16</v>
      </c>
      <c r="R25" s="3">
        <f t="shared" si="0"/>
        <v>16</v>
      </c>
      <c r="S25" s="3">
        <f t="shared" si="0"/>
        <v>16</v>
      </c>
      <c r="T25" s="3">
        <f t="shared" si="0"/>
        <v>16</v>
      </c>
      <c r="U25" s="3">
        <f t="shared" si="0"/>
        <v>16</v>
      </c>
      <c r="V25" s="3">
        <f t="shared" si="0"/>
        <v>16</v>
      </c>
      <c r="W25" s="3">
        <f t="shared" si="0"/>
        <v>16</v>
      </c>
      <c r="X25" s="261">
        <f t="shared" si="0"/>
        <v>8</v>
      </c>
      <c r="Y25" s="261">
        <f t="shared" si="0"/>
        <v>8</v>
      </c>
      <c r="Z25" s="260">
        <v>2</v>
      </c>
      <c r="AA25" s="261">
        <f>+COUNTA(AA8:AA23)</f>
        <v>8</v>
      </c>
      <c r="AB25" s="261">
        <f>+COUNTA(AB8:AB23)</f>
        <v>8</v>
      </c>
      <c r="AC25" s="260">
        <v>2</v>
      </c>
      <c r="AD25" s="3">
        <f t="shared" ref="AD25:AT25" si="1">+COUNTA(AD8:AD23)</f>
        <v>16</v>
      </c>
      <c r="AE25" s="3">
        <f t="shared" si="1"/>
        <v>16</v>
      </c>
      <c r="AF25" s="3">
        <f t="shared" si="1"/>
        <v>16</v>
      </c>
      <c r="AG25" s="3">
        <f t="shared" si="1"/>
        <v>16</v>
      </c>
      <c r="AH25" s="3">
        <f t="shared" si="1"/>
        <v>16</v>
      </c>
      <c r="AI25" s="3">
        <f t="shared" si="1"/>
        <v>16</v>
      </c>
      <c r="AJ25" s="3">
        <f t="shared" si="1"/>
        <v>16</v>
      </c>
      <c r="AK25" s="3">
        <f t="shared" si="1"/>
        <v>16</v>
      </c>
      <c r="AL25" s="3">
        <f t="shared" si="1"/>
        <v>16</v>
      </c>
      <c r="AM25" s="3">
        <f t="shared" si="1"/>
        <v>16</v>
      </c>
      <c r="AN25" s="3">
        <f t="shared" si="1"/>
        <v>16</v>
      </c>
      <c r="AO25" s="3">
        <f t="shared" si="1"/>
        <v>16</v>
      </c>
      <c r="AP25" s="3">
        <f t="shared" si="1"/>
        <v>16</v>
      </c>
      <c r="AQ25" s="3">
        <f t="shared" si="1"/>
        <v>16</v>
      </c>
      <c r="AR25" s="3">
        <f t="shared" si="1"/>
        <v>16</v>
      </c>
      <c r="AS25" s="261">
        <f t="shared" si="1"/>
        <v>8</v>
      </c>
      <c r="AT25" s="261">
        <f t="shared" si="1"/>
        <v>8</v>
      </c>
      <c r="AU25" s="260">
        <v>2</v>
      </c>
      <c r="AV25" s="261">
        <f>+COUNTA(AV8:AV23)</f>
        <v>8</v>
      </c>
      <c r="AW25" s="261">
        <f>+COUNTA(AW8:AW23)</f>
        <v>8</v>
      </c>
      <c r="AX25" s="260">
        <v>2</v>
      </c>
      <c r="BC25" s="130"/>
      <c r="BD25" s="135">
        <v>4</v>
      </c>
      <c r="BE25" s="132">
        <f>+BE17/BD25</f>
        <v>9214000</v>
      </c>
      <c r="BF25" s="136">
        <f>+BE25*12</f>
        <v>110568000</v>
      </c>
      <c r="BM25" s="3"/>
    </row>
    <row r="26" spans="1:65" outlineLevel="1">
      <c r="A26" s="80" t="s">
        <v>267</v>
      </c>
      <c r="B26" s="87"/>
      <c r="F26" s="261">
        <f t="shared" ref="F26:AX26" si="2">+F25*5</f>
        <v>40</v>
      </c>
      <c r="G26" s="261">
        <f t="shared" si="2"/>
        <v>40</v>
      </c>
      <c r="H26" s="260">
        <f t="shared" si="2"/>
        <v>10</v>
      </c>
      <c r="I26" s="3">
        <f t="shared" si="2"/>
        <v>80</v>
      </c>
      <c r="J26" s="3">
        <f t="shared" si="2"/>
        <v>80</v>
      </c>
      <c r="K26" s="3">
        <f t="shared" si="2"/>
        <v>80</v>
      </c>
      <c r="L26" s="3">
        <f t="shared" si="2"/>
        <v>80</v>
      </c>
      <c r="M26" s="3">
        <f t="shared" si="2"/>
        <v>80</v>
      </c>
      <c r="N26" s="3">
        <f t="shared" si="2"/>
        <v>80</v>
      </c>
      <c r="O26" s="3">
        <f t="shared" si="2"/>
        <v>80</v>
      </c>
      <c r="P26" s="3">
        <f t="shared" si="2"/>
        <v>80</v>
      </c>
      <c r="Q26" s="3">
        <f t="shared" si="2"/>
        <v>80</v>
      </c>
      <c r="R26" s="3">
        <f t="shared" si="2"/>
        <v>80</v>
      </c>
      <c r="S26" s="3">
        <f t="shared" si="2"/>
        <v>80</v>
      </c>
      <c r="T26" s="3">
        <f t="shared" si="2"/>
        <v>80</v>
      </c>
      <c r="U26" s="3">
        <f t="shared" si="2"/>
        <v>80</v>
      </c>
      <c r="V26" s="3">
        <f t="shared" si="2"/>
        <v>80</v>
      </c>
      <c r="W26" s="3">
        <f t="shared" si="2"/>
        <v>80</v>
      </c>
      <c r="X26" s="261">
        <f t="shared" si="2"/>
        <v>40</v>
      </c>
      <c r="Y26" s="261">
        <f t="shared" si="2"/>
        <v>40</v>
      </c>
      <c r="Z26" s="260">
        <f t="shared" si="2"/>
        <v>10</v>
      </c>
      <c r="AA26" s="261">
        <f t="shared" si="2"/>
        <v>40</v>
      </c>
      <c r="AB26" s="261">
        <f t="shared" si="2"/>
        <v>40</v>
      </c>
      <c r="AC26" s="260">
        <f t="shared" si="2"/>
        <v>10</v>
      </c>
      <c r="AD26" s="3">
        <f t="shared" si="2"/>
        <v>80</v>
      </c>
      <c r="AE26" s="3">
        <f t="shared" si="2"/>
        <v>80</v>
      </c>
      <c r="AF26" s="3">
        <f t="shared" si="2"/>
        <v>80</v>
      </c>
      <c r="AG26" s="3">
        <f t="shared" si="2"/>
        <v>80</v>
      </c>
      <c r="AH26" s="3">
        <f t="shared" si="2"/>
        <v>80</v>
      </c>
      <c r="AI26" s="3">
        <f t="shared" si="2"/>
        <v>80</v>
      </c>
      <c r="AJ26" s="3">
        <f t="shared" si="2"/>
        <v>80</v>
      </c>
      <c r="AK26" s="3">
        <f t="shared" si="2"/>
        <v>80</v>
      </c>
      <c r="AL26" s="3">
        <f t="shared" si="2"/>
        <v>80</v>
      </c>
      <c r="AM26" s="3">
        <f t="shared" si="2"/>
        <v>80</v>
      </c>
      <c r="AN26" s="3">
        <f t="shared" si="2"/>
        <v>80</v>
      </c>
      <c r="AO26" s="3">
        <f t="shared" si="2"/>
        <v>80</v>
      </c>
      <c r="AP26" s="3">
        <f t="shared" si="2"/>
        <v>80</v>
      </c>
      <c r="AQ26" s="3">
        <f t="shared" si="2"/>
        <v>80</v>
      </c>
      <c r="AR26" s="3">
        <f t="shared" si="2"/>
        <v>80</v>
      </c>
      <c r="AS26" s="261">
        <f t="shared" si="2"/>
        <v>40</v>
      </c>
      <c r="AT26" s="261">
        <f t="shared" si="2"/>
        <v>40</v>
      </c>
      <c r="AU26" s="260">
        <f t="shared" si="2"/>
        <v>10</v>
      </c>
      <c r="AV26" s="261">
        <f t="shared" si="2"/>
        <v>40</v>
      </c>
      <c r="AW26" s="261">
        <f t="shared" si="2"/>
        <v>40</v>
      </c>
      <c r="AX26" s="260">
        <f t="shared" si="2"/>
        <v>10</v>
      </c>
      <c r="BB26" s="58">
        <f>+AR26*BC4</f>
        <v>183600000</v>
      </c>
      <c r="BC26" s="130"/>
      <c r="BD26" s="135">
        <v>5</v>
      </c>
      <c r="BE26" s="132">
        <f>+BE17/BD26</f>
        <v>7371200</v>
      </c>
      <c r="BF26" s="136">
        <f>+BE26*12</f>
        <v>88454400</v>
      </c>
      <c r="BM26" s="86"/>
    </row>
    <row r="27" spans="1:65" outlineLevel="1">
      <c r="F27" s="261"/>
      <c r="G27" s="261"/>
      <c r="H27" s="260"/>
      <c r="S27" s="3"/>
      <c r="T27" s="3"/>
      <c r="U27" s="3"/>
      <c r="V27" s="3"/>
      <c r="W27" s="3"/>
      <c r="X27" s="261"/>
      <c r="Y27" s="261"/>
      <c r="Z27" s="260"/>
      <c r="AA27" s="261"/>
      <c r="AB27" s="261"/>
      <c r="AC27" s="260"/>
      <c r="AD27" s="3"/>
      <c r="AE27" s="3"/>
      <c r="AF27" s="3"/>
      <c r="AG27" s="3"/>
      <c r="AH27" s="3"/>
      <c r="AI27" s="3"/>
      <c r="AJ27" s="3"/>
      <c r="AK27" s="3"/>
      <c r="AL27" s="3"/>
      <c r="AM27" s="3"/>
      <c r="AN27" s="3"/>
      <c r="AO27" s="3"/>
      <c r="AP27" s="3"/>
      <c r="AQ27" s="3"/>
      <c r="AR27" s="3"/>
      <c r="AS27" s="261"/>
      <c r="AT27" s="261"/>
      <c r="AU27" s="260"/>
      <c r="AV27" s="261"/>
      <c r="AW27" s="261"/>
      <c r="AX27" s="260"/>
      <c r="BC27" s="1"/>
    </row>
    <row r="28" spans="1:65" outlineLevel="2">
      <c r="A28" s="81" t="s">
        <v>270</v>
      </c>
      <c r="B28" s="22"/>
      <c r="C28" s="82"/>
      <c r="F28" s="263">
        <f t="shared" ref="F28:AX28" si="3">SUM(F29:F31)</f>
        <v>7</v>
      </c>
      <c r="G28" s="263">
        <f t="shared" si="3"/>
        <v>7</v>
      </c>
      <c r="H28" s="262">
        <f t="shared" si="3"/>
        <v>1</v>
      </c>
      <c r="I28" s="22">
        <f t="shared" si="3"/>
        <v>8</v>
      </c>
      <c r="J28" s="22">
        <f t="shared" si="3"/>
        <v>8</v>
      </c>
      <c r="K28" s="22">
        <f t="shared" si="3"/>
        <v>8</v>
      </c>
      <c r="L28" s="22">
        <f t="shared" si="3"/>
        <v>8</v>
      </c>
      <c r="M28" s="22">
        <f t="shared" si="3"/>
        <v>8</v>
      </c>
      <c r="N28" s="22">
        <f t="shared" si="3"/>
        <v>8</v>
      </c>
      <c r="O28" s="22">
        <f t="shared" si="3"/>
        <v>8</v>
      </c>
      <c r="P28" s="22">
        <f t="shared" si="3"/>
        <v>8</v>
      </c>
      <c r="Q28" s="22">
        <f t="shared" si="3"/>
        <v>8</v>
      </c>
      <c r="R28" s="22">
        <f t="shared" si="3"/>
        <v>8</v>
      </c>
      <c r="S28" s="22">
        <f t="shared" si="3"/>
        <v>8</v>
      </c>
      <c r="T28" s="22">
        <f t="shared" si="3"/>
        <v>8</v>
      </c>
      <c r="U28" s="22">
        <f t="shared" si="3"/>
        <v>8</v>
      </c>
      <c r="V28" s="22">
        <f t="shared" si="3"/>
        <v>8</v>
      </c>
      <c r="W28" s="22">
        <f t="shared" si="3"/>
        <v>8</v>
      </c>
      <c r="X28" s="263">
        <f t="shared" si="3"/>
        <v>7</v>
      </c>
      <c r="Y28" s="263">
        <f t="shared" si="3"/>
        <v>7</v>
      </c>
      <c r="Z28" s="262">
        <f t="shared" si="3"/>
        <v>1</v>
      </c>
      <c r="AA28" s="263">
        <f t="shared" si="3"/>
        <v>7</v>
      </c>
      <c r="AB28" s="263">
        <f t="shared" si="3"/>
        <v>7</v>
      </c>
      <c r="AC28" s="262">
        <f t="shared" si="3"/>
        <v>1</v>
      </c>
      <c r="AD28" s="22">
        <f t="shared" si="3"/>
        <v>8</v>
      </c>
      <c r="AE28" s="22">
        <f t="shared" si="3"/>
        <v>8</v>
      </c>
      <c r="AF28" s="22">
        <f t="shared" si="3"/>
        <v>8</v>
      </c>
      <c r="AG28" s="22">
        <f t="shared" si="3"/>
        <v>8</v>
      </c>
      <c r="AH28" s="22">
        <f t="shared" si="3"/>
        <v>8</v>
      </c>
      <c r="AI28" s="22">
        <f t="shared" si="3"/>
        <v>8</v>
      </c>
      <c r="AJ28" s="22">
        <f t="shared" si="3"/>
        <v>8</v>
      </c>
      <c r="AK28" s="22">
        <f t="shared" si="3"/>
        <v>8</v>
      </c>
      <c r="AL28" s="22">
        <f t="shared" si="3"/>
        <v>8</v>
      </c>
      <c r="AM28" s="22">
        <f t="shared" si="3"/>
        <v>8</v>
      </c>
      <c r="AN28" s="22">
        <f t="shared" si="3"/>
        <v>8</v>
      </c>
      <c r="AO28" s="22">
        <f t="shared" si="3"/>
        <v>8</v>
      </c>
      <c r="AP28" s="22">
        <f t="shared" si="3"/>
        <v>8</v>
      </c>
      <c r="AQ28" s="22">
        <f t="shared" si="3"/>
        <v>8</v>
      </c>
      <c r="AR28" s="22">
        <f t="shared" si="3"/>
        <v>8</v>
      </c>
      <c r="AS28" s="263">
        <f t="shared" si="3"/>
        <v>7</v>
      </c>
      <c r="AT28" s="263">
        <f t="shared" si="3"/>
        <v>7</v>
      </c>
      <c r="AU28" s="262">
        <f t="shared" si="3"/>
        <v>1</v>
      </c>
      <c r="AV28" s="263">
        <f t="shared" si="3"/>
        <v>7</v>
      </c>
      <c r="AW28" s="263">
        <f t="shared" si="3"/>
        <v>7</v>
      </c>
      <c r="AX28" s="262">
        <f t="shared" si="3"/>
        <v>1</v>
      </c>
    </row>
    <row r="29" spans="1:65" outlineLevel="2">
      <c r="A29" s="80" t="s">
        <v>271</v>
      </c>
      <c r="B29" s="80"/>
      <c r="F29" s="261"/>
      <c r="G29" s="261"/>
      <c r="H29" s="260"/>
      <c r="I29" s="3">
        <f t="shared" ref="I29:W29" si="4">+COUNTA(I38:I39)</f>
        <v>2</v>
      </c>
      <c r="J29" s="3">
        <f t="shared" si="4"/>
        <v>2</v>
      </c>
      <c r="K29" s="3">
        <f t="shared" si="4"/>
        <v>2</v>
      </c>
      <c r="L29" s="3">
        <f t="shared" si="4"/>
        <v>2</v>
      </c>
      <c r="M29" s="3">
        <f t="shared" si="4"/>
        <v>2</v>
      </c>
      <c r="N29" s="3">
        <f t="shared" si="4"/>
        <v>2</v>
      </c>
      <c r="O29" s="3">
        <f t="shared" si="4"/>
        <v>2</v>
      </c>
      <c r="P29" s="3">
        <f t="shared" si="4"/>
        <v>2</v>
      </c>
      <c r="Q29" s="3">
        <f t="shared" si="4"/>
        <v>2</v>
      </c>
      <c r="R29" s="3">
        <f t="shared" si="4"/>
        <v>2</v>
      </c>
      <c r="S29" s="3">
        <f t="shared" si="4"/>
        <v>2</v>
      </c>
      <c r="T29" s="3">
        <f t="shared" si="4"/>
        <v>2</v>
      </c>
      <c r="U29" s="3">
        <f t="shared" si="4"/>
        <v>2</v>
      </c>
      <c r="V29" s="3">
        <f t="shared" si="4"/>
        <v>2</v>
      </c>
      <c r="W29" s="3">
        <f t="shared" si="4"/>
        <v>2</v>
      </c>
      <c r="X29" s="261"/>
      <c r="Y29" s="261"/>
      <c r="Z29" s="260"/>
      <c r="AA29" s="261"/>
      <c r="AB29" s="261"/>
      <c r="AC29" s="260"/>
      <c r="AD29" s="3">
        <f t="shared" ref="AD29:AR29" si="5">+COUNTA(AD38:AD39)</f>
        <v>2</v>
      </c>
      <c r="AE29" s="3">
        <f t="shared" si="5"/>
        <v>2</v>
      </c>
      <c r="AF29" s="3">
        <f t="shared" si="5"/>
        <v>2</v>
      </c>
      <c r="AG29" s="3">
        <f t="shared" si="5"/>
        <v>2</v>
      </c>
      <c r="AH29" s="3">
        <f t="shared" si="5"/>
        <v>2</v>
      </c>
      <c r="AI29" s="3">
        <f t="shared" si="5"/>
        <v>2</v>
      </c>
      <c r="AJ29" s="3">
        <f t="shared" si="5"/>
        <v>2</v>
      </c>
      <c r="AK29" s="3">
        <f t="shared" si="5"/>
        <v>2</v>
      </c>
      <c r="AL29" s="3">
        <f t="shared" si="5"/>
        <v>2</v>
      </c>
      <c r="AM29" s="3">
        <f t="shared" si="5"/>
        <v>2</v>
      </c>
      <c r="AN29" s="3">
        <f t="shared" si="5"/>
        <v>2</v>
      </c>
      <c r="AO29" s="3">
        <f t="shared" si="5"/>
        <v>2</v>
      </c>
      <c r="AP29" s="3">
        <f t="shared" si="5"/>
        <v>2</v>
      </c>
      <c r="AQ29" s="3">
        <f t="shared" si="5"/>
        <v>2</v>
      </c>
      <c r="AR29" s="3">
        <f t="shared" si="5"/>
        <v>2</v>
      </c>
      <c r="AS29" s="261"/>
      <c r="AT29" s="261"/>
      <c r="AU29" s="260"/>
      <c r="AV29" s="261"/>
      <c r="AW29" s="261"/>
      <c r="AX29" s="260"/>
    </row>
    <row r="30" spans="1:65" outlineLevel="2">
      <c r="A30" s="85" t="s">
        <v>272</v>
      </c>
      <c r="B30" s="85"/>
      <c r="C30" s="4"/>
      <c r="D30" s="5"/>
      <c r="E30" s="5"/>
      <c r="F30" s="261">
        <f t="shared" ref="F30:AX30" si="6">+COUNTA(F40:F43)</f>
        <v>4</v>
      </c>
      <c r="G30" s="261">
        <f t="shared" si="6"/>
        <v>4</v>
      </c>
      <c r="H30" s="260">
        <f t="shared" si="6"/>
        <v>1</v>
      </c>
      <c r="I30" s="5">
        <f t="shared" si="6"/>
        <v>3</v>
      </c>
      <c r="J30" s="5">
        <f t="shared" si="6"/>
        <v>3</v>
      </c>
      <c r="K30" s="5">
        <f t="shared" si="6"/>
        <v>3</v>
      </c>
      <c r="L30" s="5">
        <f t="shared" si="6"/>
        <v>3</v>
      </c>
      <c r="M30" s="5">
        <f t="shared" si="6"/>
        <v>3</v>
      </c>
      <c r="N30" s="5">
        <f t="shared" si="6"/>
        <v>3</v>
      </c>
      <c r="O30" s="5">
        <f t="shared" si="6"/>
        <v>3</v>
      </c>
      <c r="P30" s="5">
        <f t="shared" si="6"/>
        <v>3</v>
      </c>
      <c r="Q30" s="5">
        <f t="shared" si="6"/>
        <v>3</v>
      </c>
      <c r="R30" s="5">
        <f t="shared" si="6"/>
        <v>3</v>
      </c>
      <c r="S30" s="5">
        <f t="shared" si="6"/>
        <v>3</v>
      </c>
      <c r="T30" s="5">
        <f t="shared" si="6"/>
        <v>3</v>
      </c>
      <c r="U30" s="5">
        <f t="shared" si="6"/>
        <v>3</v>
      </c>
      <c r="V30" s="5">
        <f t="shared" si="6"/>
        <v>3</v>
      </c>
      <c r="W30" s="5">
        <f t="shared" si="6"/>
        <v>3</v>
      </c>
      <c r="X30" s="261">
        <f t="shared" si="6"/>
        <v>4</v>
      </c>
      <c r="Y30" s="261">
        <f t="shared" si="6"/>
        <v>4</v>
      </c>
      <c r="Z30" s="260">
        <f t="shared" si="6"/>
        <v>1</v>
      </c>
      <c r="AA30" s="261">
        <f t="shared" si="6"/>
        <v>4</v>
      </c>
      <c r="AB30" s="261">
        <f t="shared" si="6"/>
        <v>4</v>
      </c>
      <c r="AC30" s="260">
        <f t="shared" si="6"/>
        <v>1</v>
      </c>
      <c r="AD30" s="5">
        <f t="shared" si="6"/>
        <v>3</v>
      </c>
      <c r="AE30" s="5">
        <f t="shared" si="6"/>
        <v>3</v>
      </c>
      <c r="AF30" s="5">
        <f t="shared" si="6"/>
        <v>3</v>
      </c>
      <c r="AG30" s="5">
        <f t="shared" si="6"/>
        <v>3</v>
      </c>
      <c r="AH30" s="5">
        <f t="shared" si="6"/>
        <v>3</v>
      </c>
      <c r="AI30" s="5">
        <f t="shared" si="6"/>
        <v>3</v>
      </c>
      <c r="AJ30" s="5">
        <f t="shared" si="6"/>
        <v>3</v>
      </c>
      <c r="AK30" s="5">
        <f t="shared" si="6"/>
        <v>3</v>
      </c>
      <c r="AL30" s="5">
        <f t="shared" si="6"/>
        <v>3</v>
      </c>
      <c r="AM30" s="5">
        <f t="shared" si="6"/>
        <v>3</v>
      </c>
      <c r="AN30" s="5">
        <f t="shared" si="6"/>
        <v>3</v>
      </c>
      <c r="AO30" s="5">
        <f t="shared" si="6"/>
        <v>3</v>
      </c>
      <c r="AP30" s="5">
        <f t="shared" si="6"/>
        <v>3</v>
      </c>
      <c r="AQ30" s="5">
        <f t="shared" si="6"/>
        <v>3</v>
      </c>
      <c r="AR30" s="5">
        <f t="shared" si="6"/>
        <v>3</v>
      </c>
      <c r="AS30" s="261">
        <f t="shared" si="6"/>
        <v>4</v>
      </c>
      <c r="AT30" s="261">
        <f t="shared" si="6"/>
        <v>4</v>
      </c>
      <c r="AU30" s="260">
        <f t="shared" si="6"/>
        <v>1</v>
      </c>
      <c r="AV30" s="261">
        <f t="shared" si="6"/>
        <v>4</v>
      </c>
      <c r="AW30" s="261">
        <f t="shared" si="6"/>
        <v>4</v>
      </c>
      <c r="AX30" s="260">
        <f t="shared" si="6"/>
        <v>1</v>
      </c>
      <c r="AY30" s="4"/>
      <c r="AZ30" s="4"/>
      <c r="BD30" s="86"/>
    </row>
    <row r="31" spans="1:65" outlineLevel="2">
      <c r="A31" s="80" t="s">
        <v>273</v>
      </c>
      <c r="B31" s="80"/>
      <c r="F31" s="261">
        <f>+COUNTA(F44:F46)</f>
        <v>3</v>
      </c>
      <c r="G31" s="261">
        <f>+COUNTA(G44:G46)</f>
        <v>3</v>
      </c>
      <c r="H31" s="260"/>
      <c r="I31" s="3">
        <f t="shared" ref="I31:Y31" si="7">+COUNTA(I44:I46)</f>
        <v>3</v>
      </c>
      <c r="J31" s="3">
        <f t="shared" si="7"/>
        <v>3</v>
      </c>
      <c r="K31" s="3">
        <f t="shared" si="7"/>
        <v>3</v>
      </c>
      <c r="L31" s="3">
        <f t="shared" si="7"/>
        <v>3</v>
      </c>
      <c r="M31" s="3">
        <f t="shared" si="7"/>
        <v>3</v>
      </c>
      <c r="N31" s="3">
        <f t="shared" si="7"/>
        <v>3</v>
      </c>
      <c r="O31" s="3">
        <f t="shared" si="7"/>
        <v>3</v>
      </c>
      <c r="P31" s="3">
        <f t="shared" si="7"/>
        <v>3</v>
      </c>
      <c r="Q31" s="3">
        <f t="shared" si="7"/>
        <v>3</v>
      </c>
      <c r="R31" s="3">
        <f t="shared" si="7"/>
        <v>3</v>
      </c>
      <c r="S31" s="3">
        <f t="shared" si="7"/>
        <v>3</v>
      </c>
      <c r="T31" s="3">
        <f t="shared" si="7"/>
        <v>3</v>
      </c>
      <c r="U31" s="3">
        <f t="shared" si="7"/>
        <v>3</v>
      </c>
      <c r="V31" s="3">
        <f t="shared" si="7"/>
        <v>3</v>
      </c>
      <c r="W31" s="3">
        <f t="shared" si="7"/>
        <v>3</v>
      </c>
      <c r="X31" s="261">
        <f t="shared" si="7"/>
        <v>3</v>
      </c>
      <c r="Y31" s="261">
        <f t="shared" si="7"/>
        <v>3</v>
      </c>
      <c r="Z31" s="260"/>
      <c r="AA31" s="261">
        <f>+COUNTA(AA44:AA46)</f>
        <v>3</v>
      </c>
      <c r="AB31" s="261">
        <f>+COUNTA(AB44:AB46)</f>
        <v>3</v>
      </c>
      <c r="AC31" s="260"/>
      <c r="AD31" s="3">
        <f t="shared" ref="AD31:AT31" si="8">+COUNTA(AD44:AD46)</f>
        <v>3</v>
      </c>
      <c r="AE31" s="3">
        <f t="shared" si="8"/>
        <v>3</v>
      </c>
      <c r="AF31" s="3">
        <f t="shared" si="8"/>
        <v>3</v>
      </c>
      <c r="AG31" s="3">
        <f t="shared" si="8"/>
        <v>3</v>
      </c>
      <c r="AH31" s="3">
        <f t="shared" si="8"/>
        <v>3</v>
      </c>
      <c r="AI31" s="3">
        <f t="shared" si="8"/>
        <v>3</v>
      </c>
      <c r="AJ31" s="3">
        <f t="shared" si="8"/>
        <v>3</v>
      </c>
      <c r="AK31" s="3">
        <f t="shared" si="8"/>
        <v>3</v>
      </c>
      <c r="AL31" s="3">
        <f t="shared" si="8"/>
        <v>3</v>
      </c>
      <c r="AM31" s="3">
        <f t="shared" si="8"/>
        <v>3</v>
      </c>
      <c r="AN31" s="3">
        <f t="shared" si="8"/>
        <v>3</v>
      </c>
      <c r="AO31" s="3">
        <f t="shared" si="8"/>
        <v>3</v>
      </c>
      <c r="AP31" s="3">
        <f t="shared" si="8"/>
        <v>3</v>
      </c>
      <c r="AQ31" s="3">
        <f t="shared" si="8"/>
        <v>3</v>
      </c>
      <c r="AR31" s="3">
        <f t="shared" si="8"/>
        <v>3</v>
      </c>
      <c r="AS31" s="261">
        <f t="shared" si="8"/>
        <v>3</v>
      </c>
      <c r="AT31" s="261">
        <f t="shared" si="8"/>
        <v>3</v>
      </c>
      <c r="AU31" s="260"/>
      <c r="AV31" s="261">
        <f>+COUNTA(AV44:AV46)</f>
        <v>3</v>
      </c>
      <c r="AW31" s="261">
        <f>+COUNTA(AW44:AW46)</f>
        <v>3</v>
      </c>
      <c r="AX31" s="260"/>
      <c r="BD31" s="86"/>
    </row>
    <row r="32" spans="1:65" outlineLevel="2">
      <c r="F32" s="261"/>
      <c r="G32" s="261"/>
      <c r="H32" s="260"/>
      <c r="S32" s="3"/>
      <c r="T32" s="3"/>
      <c r="U32" s="3"/>
      <c r="V32" s="3"/>
      <c r="W32" s="3"/>
      <c r="X32" s="261"/>
      <c r="Y32" s="261"/>
      <c r="Z32" s="260"/>
      <c r="AA32" s="261"/>
      <c r="AB32" s="261"/>
      <c r="AC32" s="260"/>
      <c r="AD32" s="3"/>
      <c r="AE32" s="3"/>
      <c r="AF32" s="3"/>
      <c r="AG32" s="3"/>
      <c r="AH32" s="3"/>
      <c r="AI32" s="3"/>
      <c r="AJ32" s="3"/>
      <c r="AK32" s="3"/>
      <c r="AL32" s="3"/>
      <c r="AM32" s="3"/>
      <c r="AN32" s="3"/>
      <c r="AO32" s="3"/>
      <c r="AP32" s="3"/>
      <c r="AQ32" s="3"/>
      <c r="AR32" s="3"/>
      <c r="AS32" s="261"/>
      <c r="AT32" s="261"/>
      <c r="AU32" s="260"/>
      <c r="AV32" s="261"/>
      <c r="AW32" s="261"/>
      <c r="AX32" s="260"/>
      <c r="AZ32">
        <f>SUM(D25:AY25)</f>
        <v>570</v>
      </c>
      <c r="BB32" s="259">
        <f>+AZ32*100000</f>
        <v>57000000</v>
      </c>
      <c r="BD32" s="86"/>
    </row>
    <row r="33" spans="1:65" outlineLevel="2">
      <c r="A33" s="80" t="s">
        <v>274</v>
      </c>
      <c r="B33" s="80"/>
      <c r="F33" s="261"/>
      <c r="G33" s="261"/>
      <c r="H33" s="260"/>
      <c r="I33" s="3">
        <f t="shared" ref="I33:W33" si="9">+I29*10</f>
        <v>20</v>
      </c>
      <c r="J33" s="3">
        <f t="shared" si="9"/>
        <v>20</v>
      </c>
      <c r="K33" s="3">
        <f t="shared" si="9"/>
        <v>20</v>
      </c>
      <c r="L33" s="3">
        <f t="shared" si="9"/>
        <v>20</v>
      </c>
      <c r="M33" s="3">
        <f t="shared" si="9"/>
        <v>20</v>
      </c>
      <c r="N33" s="3">
        <f t="shared" si="9"/>
        <v>20</v>
      </c>
      <c r="O33" s="3">
        <f t="shared" si="9"/>
        <v>20</v>
      </c>
      <c r="P33" s="3">
        <f t="shared" si="9"/>
        <v>20</v>
      </c>
      <c r="Q33" s="3">
        <f t="shared" si="9"/>
        <v>20</v>
      </c>
      <c r="R33" s="3">
        <f t="shared" si="9"/>
        <v>20</v>
      </c>
      <c r="S33" s="3">
        <f t="shared" si="9"/>
        <v>20</v>
      </c>
      <c r="T33" s="3">
        <f t="shared" si="9"/>
        <v>20</v>
      </c>
      <c r="U33" s="3">
        <f t="shared" si="9"/>
        <v>20</v>
      </c>
      <c r="V33" s="3">
        <f t="shared" si="9"/>
        <v>20</v>
      </c>
      <c r="W33" s="3">
        <f t="shared" si="9"/>
        <v>20</v>
      </c>
      <c r="X33" s="261"/>
      <c r="Y33" s="261"/>
      <c r="Z33" s="260"/>
      <c r="AA33" s="261"/>
      <c r="AB33" s="261"/>
      <c r="AC33" s="260"/>
      <c r="AD33" s="3">
        <f t="shared" ref="AD33:AR33" si="10">+AD29*10</f>
        <v>20</v>
      </c>
      <c r="AE33" s="3">
        <f t="shared" si="10"/>
        <v>20</v>
      </c>
      <c r="AF33" s="3">
        <f t="shared" si="10"/>
        <v>20</v>
      </c>
      <c r="AG33" s="3">
        <f t="shared" si="10"/>
        <v>20</v>
      </c>
      <c r="AH33" s="3">
        <f t="shared" si="10"/>
        <v>20</v>
      </c>
      <c r="AI33" s="3">
        <f t="shared" si="10"/>
        <v>20</v>
      </c>
      <c r="AJ33" s="3">
        <f t="shared" si="10"/>
        <v>20</v>
      </c>
      <c r="AK33" s="3">
        <f t="shared" si="10"/>
        <v>20</v>
      </c>
      <c r="AL33" s="3">
        <f t="shared" si="10"/>
        <v>20</v>
      </c>
      <c r="AM33" s="3">
        <f t="shared" si="10"/>
        <v>20</v>
      </c>
      <c r="AN33" s="3">
        <f t="shared" si="10"/>
        <v>20</v>
      </c>
      <c r="AO33" s="3">
        <f t="shared" si="10"/>
        <v>20</v>
      </c>
      <c r="AP33" s="3">
        <f t="shared" si="10"/>
        <v>20</v>
      </c>
      <c r="AQ33" s="3">
        <f t="shared" si="10"/>
        <v>20</v>
      </c>
      <c r="AR33" s="3">
        <f t="shared" si="10"/>
        <v>20</v>
      </c>
      <c r="AS33" s="261"/>
      <c r="AT33" s="261"/>
      <c r="AU33" s="260"/>
      <c r="AV33" s="261"/>
      <c r="AW33" s="261"/>
      <c r="AX33" s="260"/>
      <c r="AZ33">
        <f>SUM(E26:AW26)</f>
        <v>2840</v>
      </c>
      <c r="BB33" s="259">
        <f>+AZ33*100000</f>
        <v>284000000</v>
      </c>
    </row>
    <row r="34" spans="1:65" outlineLevel="2">
      <c r="A34" s="80" t="s">
        <v>275</v>
      </c>
      <c r="B34" s="80"/>
      <c r="F34" s="261">
        <f>+F30*10</f>
        <v>40</v>
      </c>
      <c r="G34" s="261">
        <f>+G30*10</f>
        <v>40</v>
      </c>
      <c r="H34" s="260">
        <f>+H30*10</f>
        <v>10</v>
      </c>
      <c r="I34" s="3">
        <f t="shared" ref="I34:W34" si="11">+I30*10</f>
        <v>30</v>
      </c>
      <c r="J34" s="3">
        <f t="shared" si="11"/>
        <v>30</v>
      </c>
      <c r="K34" s="3">
        <f t="shared" si="11"/>
        <v>30</v>
      </c>
      <c r="L34" s="3">
        <f t="shared" si="11"/>
        <v>30</v>
      </c>
      <c r="M34" s="3">
        <f t="shared" si="11"/>
        <v>30</v>
      </c>
      <c r="N34" s="3">
        <f t="shared" si="11"/>
        <v>30</v>
      </c>
      <c r="O34" s="3">
        <f t="shared" si="11"/>
        <v>30</v>
      </c>
      <c r="P34" s="3">
        <f t="shared" si="11"/>
        <v>30</v>
      </c>
      <c r="Q34" s="3">
        <f t="shared" si="11"/>
        <v>30</v>
      </c>
      <c r="R34" s="3">
        <f t="shared" si="11"/>
        <v>30</v>
      </c>
      <c r="S34" s="3">
        <f t="shared" si="11"/>
        <v>30</v>
      </c>
      <c r="T34" s="3">
        <f t="shared" si="11"/>
        <v>30</v>
      </c>
      <c r="U34" s="3">
        <f t="shared" si="11"/>
        <v>30</v>
      </c>
      <c r="V34" s="3">
        <f t="shared" si="11"/>
        <v>30</v>
      </c>
      <c r="W34" s="3">
        <f t="shared" si="11"/>
        <v>30</v>
      </c>
      <c r="X34" s="261">
        <f t="shared" ref="X34:AC34" si="12">+X30*10</f>
        <v>40</v>
      </c>
      <c r="Y34" s="261">
        <f t="shared" si="12"/>
        <v>40</v>
      </c>
      <c r="Z34" s="260">
        <f t="shared" si="12"/>
        <v>10</v>
      </c>
      <c r="AA34" s="261">
        <f t="shared" si="12"/>
        <v>40</v>
      </c>
      <c r="AB34" s="261">
        <f t="shared" si="12"/>
        <v>40</v>
      </c>
      <c r="AC34" s="260">
        <f t="shared" si="12"/>
        <v>10</v>
      </c>
      <c r="AD34" s="3">
        <f t="shared" ref="AD34:AR34" si="13">+AD30*10</f>
        <v>30</v>
      </c>
      <c r="AE34" s="3">
        <f t="shared" si="13"/>
        <v>30</v>
      </c>
      <c r="AF34" s="3">
        <f t="shared" si="13"/>
        <v>30</v>
      </c>
      <c r="AG34" s="3">
        <f t="shared" si="13"/>
        <v>30</v>
      </c>
      <c r="AH34" s="3">
        <f t="shared" si="13"/>
        <v>30</v>
      </c>
      <c r="AI34" s="3">
        <f t="shared" si="13"/>
        <v>30</v>
      </c>
      <c r="AJ34" s="3">
        <f t="shared" si="13"/>
        <v>30</v>
      </c>
      <c r="AK34" s="3">
        <f t="shared" si="13"/>
        <v>30</v>
      </c>
      <c r="AL34" s="3">
        <f t="shared" si="13"/>
        <v>30</v>
      </c>
      <c r="AM34" s="3">
        <f t="shared" si="13"/>
        <v>30</v>
      </c>
      <c r="AN34" s="3">
        <f t="shared" si="13"/>
        <v>30</v>
      </c>
      <c r="AO34" s="3">
        <f t="shared" si="13"/>
        <v>30</v>
      </c>
      <c r="AP34" s="3">
        <f t="shared" si="13"/>
        <v>30</v>
      </c>
      <c r="AQ34" s="3">
        <f t="shared" si="13"/>
        <v>30</v>
      </c>
      <c r="AR34" s="3">
        <f t="shared" si="13"/>
        <v>30</v>
      </c>
      <c r="AS34" s="261">
        <f t="shared" ref="AS34:AX34" si="14">+AS30*10</f>
        <v>40</v>
      </c>
      <c r="AT34" s="261">
        <f t="shared" si="14"/>
        <v>40</v>
      </c>
      <c r="AU34" s="260">
        <f t="shared" si="14"/>
        <v>10</v>
      </c>
      <c r="AV34" s="261">
        <f t="shared" si="14"/>
        <v>40</v>
      </c>
      <c r="AW34" s="261">
        <f t="shared" si="14"/>
        <v>40</v>
      </c>
      <c r="AX34" s="260">
        <f t="shared" si="14"/>
        <v>10</v>
      </c>
      <c r="AZ34">
        <f>SUM(I26:W26)</f>
        <v>1200</v>
      </c>
      <c r="BH34" s="103"/>
      <c r="BI34" s="104" t="s">
        <v>288</v>
      </c>
      <c r="BJ34" s="104" t="s">
        <v>10</v>
      </c>
      <c r="BK34" s="104" t="s">
        <v>11</v>
      </c>
      <c r="BL34" s="104" t="s">
        <v>12</v>
      </c>
      <c r="BM34" s="104" t="s">
        <v>13</v>
      </c>
    </row>
    <row r="35" spans="1:65" outlineLevel="2">
      <c r="A35" s="80" t="s">
        <v>276</v>
      </c>
      <c r="B35" s="80"/>
      <c r="F35" s="261">
        <f>+F31*10</f>
        <v>30</v>
      </c>
      <c r="G35" s="261">
        <f>+G31*10</f>
        <v>30</v>
      </c>
      <c r="H35" s="260"/>
      <c r="I35" s="3">
        <f t="shared" ref="I35:W35" si="15">+I31*10</f>
        <v>30</v>
      </c>
      <c r="J35" s="3">
        <f t="shared" si="15"/>
        <v>30</v>
      </c>
      <c r="K35" s="3">
        <f t="shared" si="15"/>
        <v>30</v>
      </c>
      <c r="L35" s="3">
        <f t="shared" si="15"/>
        <v>30</v>
      </c>
      <c r="M35" s="3">
        <f t="shared" si="15"/>
        <v>30</v>
      </c>
      <c r="N35" s="3">
        <f t="shared" si="15"/>
        <v>30</v>
      </c>
      <c r="O35" s="3">
        <f t="shared" si="15"/>
        <v>30</v>
      </c>
      <c r="P35" s="3">
        <f t="shared" si="15"/>
        <v>30</v>
      </c>
      <c r="Q35" s="3">
        <f t="shared" si="15"/>
        <v>30</v>
      </c>
      <c r="R35" s="3">
        <f t="shared" si="15"/>
        <v>30</v>
      </c>
      <c r="S35" s="3">
        <f t="shared" si="15"/>
        <v>30</v>
      </c>
      <c r="T35" s="3">
        <f t="shared" si="15"/>
        <v>30</v>
      </c>
      <c r="U35" s="3">
        <f t="shared" si="15"/>
        <v>30</v>
      </c>
      <c r="V35" s="3">
        <f t="shared" si="15"/>
        <v>30</v>
      </c>
      <c r="W35" s="3">
        <f t="shared" si="15"/>
        <v>30</v>
      </c>
      <c r="X35" s="261">
        <f>+X31*10</f>
        <v>30</v>
      </c>
      <c r="Y35" s="261">
        <f>+Y31*10</f>
        <v>30</v>
      </c>
      <c r="Z35" s="260"/>
      <c r="AA35" s="261">
        <f>+AA31*10</f>
        <v>30</v>
      </c>
      <c r="AB35" s="261">
        <f>+AB31*10</f>
        <v>30</v>
      </c>
      <c r="AC35" s="260"/>
      <c r="AD35" s="3">
        <f t="shared" ref="AD35:AR35" si="16">+AD31*10</f>
        <v>30</v>
      </c>
      <c r="AE35" s="3">
        <f t="shared" si="16"/>
        <v>30</v>
      </c>
      <c r="AF35" s="3">
        <f t="shared" si="16"/>
        <v>30</v>
      </c>
      <c r="AG35" s="3">
        <f t="shared" si="16"/>
        <v>30</v>
      </c>
      <c r="AH35" s="3">
        <f t="shared" si="16"/>
        <v>30</v>
      </c>
      <c r="AI35" s="3">
        <f t="shared" si="16"/>
        <v>30</v>
      </c>
      <c r="AJ35" s="3">
        <f t="shared" si="16"/>
        <v>30</v>
      </c>
      <c r="AK35" s="3">
        <f t="shared" si="16"/>
        <v>30</v>
      </c>
      <c r="AL35" s="3">
        <f t="shared" si="16"/>
        <v>30</v>
      </c>
      <c r="AM35" s="3">
        <f t="shared" si="16"/>
        <v>30</v>
      </c>
      <c r="AN35" s="3">
        <f t="shared" si="16"/>
        <v>30</v>
      </c>
      <c r="AO35" s="3">
        <f t="shared" si="16"/>
        <v>30</v>
      </c>
      <c r="AP35" s="3">
        <f t="shared" si="16"/>
        <v>30</v>
      </c>
      <c r="AQ35" s="3">
        <f t="shared" si="16"/>
        <v>30</v>
      </c>
      <c r="AR35" s="3">
        <f t="shared" si="16"/>
        <v>30</v>
      </c>
      <c r="AS35" s="261">
        <f>+AS31*10</f>
        <v>30</v>
      </c>
      <c r="AT35" s="261">
        <f>+AT31*10</f>
        <v>30</v>
      </c>
      <c r="AU35" s="260"/>
      <c r="AV35" s="261">
        <f>+AV31*10</f>
        <v>30</v>
      </c>
      <c r="AW35" s="261">
        <f>+AW31*10</f>
        <v>30</v>
      </c>
      <c r="AX35" s="260"/>
      <c r="BH35" t="s">
        <v>509</v>
      </c>
      <c r="BI35" s="1">
        <f>SUM(I26:W26)</f>
        <v>1200</v>
      </c>
    </row>
    <row r="36" spans="1:65" outlineLevel="2">
      <c r="F36" s="261"/>
      <c r="G36" s="261"/>
      <c r="H36" s="260"/>
      <c r="X36" s="261"/>
      <c r="Y36" s="261"/>
      <c r="Z36" s="260"/>
      <c r="AA36" s="261"/>
      <c r="AB36" s="261"/>
      <c r="AC36" s="260"/>
      <c r="AS36" s="261"/>
      <c r="AT36" s="261"/>
      <c r="AU36" s="260"/>
      <c r="AV36" s="261"/>
      <c r="AW36" s="261"/>
      <c r="AX36" s="260"/>
      <c r="AZ36">
        <v>15</v>
      </c>
      <c r="BB36" s="259">
        <f>+AZ36*100000</f>
        <v>1500000</v>
      </c>
      <c r="BH36" t="s">
        <v>508</v>
      </c>
      <c r="BI36" s="58">
        <f>+BI35*BB53</f>
        <v>24000000</v>
      </c>
    </row>
    <row r="37" spans="1:65" outlineLevel="2">
      <c r="F37" s="494" t="s">
        <v>507</v>
      </c>
      <c r="G37" s="494"/>
      <c r="H37" s="494"/>
      <c r="I37" s="499" t="s">
        <v>504</v>
      </c>
      <c r="J37" s="499"/>
      <c r="K37" s="499"/>
      <c r="L37" s="499"/>
      <c r="M37" s="499"/>
      <c r="N37" s="499"/>
      <c r="O37" s="499"/>
      <c r="P37" s="499"/>
      <c r="Q37" s="499"/>
      <c r="R37" s="499"/>
      <c r="S37" s="499"/>
      <c r="T37" s="499"/>
      <c r="U37" s="499"/>
      <c r="V37" s="499"/>
      <c r="W37" s="499"/>
      <c r="X37" s="495" t="s">
        <v>506</v>
      </c>
      <c r="Y37" s="495"/>
      <c r="Z37" s="495"/>
      <c r="AA37" s="494" t="s">
        <v>505</v>
      </c>
      <c r="AB37" s="494"/>
      <c r="AC37" s="494"/>
      <c r="AD37" s="499" t="s">
        <v>504</v>
      </c>
      <c r="AE37" s="499"/>
      <c r="AF37" s="499"/>
      <c r="AG37" s="499"/>
      <c r="AH37" s="499"/>
      <c r="AI37" s="499"/>
      <c r="AJ37" s="499"/>
      <c r="AK37" s="499"/>
      <c r="AL37" s="499"/>
      <c r="AM37" s="499"/>
      <c r="AN37" s="499"/>
      <c r="AO37" s="499"/>
      <c r="AP37" s="499"/>
      <c r="AQ37" s="499"/>
      <c r="AR37" s="499"/>
      <c r="AS37" s="495" t="s">
        <v>503</v>
      </c>
      <c r="AT37" s="495"/>
      <c r="AU37" s="495"/>
      <c r="AV37" s="494" t="s">
        <v>503</v>
      </c>
      <c r="AW37" s="494"/>
      <c r="AX37" s="494"/>
      <c r="BB37" s="259">
        <f>+BB36*80</f>
        <v>120000000</v>
      </c>
      <c r="BG37" s="1">
        <v>10</v>
      </c>
      <c r="BH37" t="s">
        <v>160</v>
      </c>
      <c r="BI37" s="58">
        <f>+BD57*BG37</f>
        <v>3000000</v>
      </c>
      <c r="BJ37" s="58"/>
      <c r="BK37" s="1"/>
    </row>
    <row r="38" spans="1:65" outlineLevel="2">
      <c r="A38" s="80" t="s">
        <v>278</v>
      </c>
      <c r="B38" t="s">
        <v>279</v>
      </c>
      <c r="I38" s="3">
        <v>10</v>
      </c>
      <c r="J38" s="3">
        <v>10</v>
      </c>
      <c r="K38" s="3">
        <v>10</v>
      </c>
      <c r="L38" s="3">
        <v>10</v>
      </c>
      <c r="M38" s="3">
        <v>10</v>
      </c>
      <c r="N38" s="3">
        <v>10</v>
      </c>
      <c r="O38" s="3">
        <v>10</v>
      </c>
      <c r="P38" s="3">
        <v>10</v>
      </c>
      <c r="Q38" s="3">
        <v>10</v>
      </c>
      <c r="R38" s="3">
        <v>10</v>
      </c>
      <c r="S38" s="3">
        <v>10</v>
      </c>
      <c r="T38" s="3">
        <v>10</v>
      </c>
      <c r="U38" s="3">
        <v>10</v>
      </c>
      <c r="V38" s="3">
        <v>10</v>
      </c>
      <c r="W38" s="3">
        <v>10</v>
      </c>
      <c r="AD38" s="3">
        <v>10</v>
      </c>
      <c r="AE38" s="3">
        <v>10</v>
      </c>
      <c r="AF38" s="3">
        <v>10</v>
      </c>
      <c r="AG38" s="3">
        <v>10</v>
      </c>
      <c r="AH38" s="3">
        <v>10</v>
      </c>
      <c r="AI38" s="3">
        <v>10</v>
      </c>
      <c r="AJ38" s="3">
        <v>10</v>
      </c>
      <c r="AK38" s="3">
        <v>10</v>
      </c>
      <c r="AL38" s="3">
        <v>10</v>
      </c>
      <c r="AM38" s="3">
        <v>10</v>
      </c>
      <c r="AN38" s="3">
        <v>10</v>
      </c>
      <c r="AO38" s="3">
        <v>10</v>
      </c>
      <c r="AP38" s="3">
        <v>10</v>
      </c>
      <c r="AQ38" s="3">
        <v>10</v>
      </c>
      <c r="AR38" s="3">
        <v>10</v>
      </c>
      <c r="BG38" s="1">
        <v>5</v>
      </c>
      <c r="BH38" t="s">
        <v>161</v>
      </c>
      <c r="BI38" s="58">
        <f>+BD57*BG38</f>
        <v>1500000</v>
      </c>
    </row>
    <row r="39" spans="1:65" outlineLevel="2">
      <c r="A39" s="80" t="s">
        <v>278</v>
      </c>
      <c r="B39" t="s">
        <v>280</v>
      </c>
      <c r="I39" s="3">
        <v>10</v>
      </c>
      <c r="J39" s="3">
        <v>10</v>
      </c>
      <c r="K39" s="3">
        <v>10</v>
      </c>
      <c r="L39" s="3">
        <v>10</v>
      </c>
      <c r="M39" s="3">
        <v>10</v>
      </c>
      <c r="N39" s="3">
        <v>10</v>
      </c>
      <c r="O39" s="3">
        <v>10</v>
      </c>
      <c r="P39" s="3">
        <v>10</v>
      </c>
      <c r="Q39" s="3">
        <v>10</v>
      </c>
      <c r="R39" s="3">
        <v>10</v>
      </c>
      <c r="S39" s="3">
        <v>10</v>
      </c>
      <c r="T39" s="3">
        <v>10</v>
      </c>
      <c r="U39" s="3">
        <v>10</v>
      </c>
      <c r="V39" s="3">
        <v>10</v>
      </c>
      <c r="W39" s="3">
        <v>10</v>
      </c>
      <c r="AD39" s="3">
        <v>10</v>
      </c>
      <c r="AE39" s="3">
        <v>10</v>
      </c>
      <c r="AF39" s="3">
        <v>10</v>
      </c>
      <c r="AG39" s="3">
        <v>10</v>
      </c>
      <c r="AH39" s="3">
        <v>10</v>
      </c>
      <c r="AI39" s="3">
        <v>10</v>
      </c>
      <c r="AJ39" s="3">
        <v>10</v>
      </c>
      <c r="AK39" s="3">
        <v>10</v>
      </c>
      <c r="AL39" s="3">
        <v>10</v>
      </c>
      <c r="AM39" s="3">
        <v>10</v>
      </c>
      <c r="AN39" s="3">
        <v>10</v>
      </c>
      <c r="AO39" s="3">
        <v>10</v>
      </c>
      <c r="AP39" s="3">
        <v>10</v>
      </c>
      <c r="AQ39" s="3">
        <v>10</v>
      </c>
      <c r="AR39" s="3">
        <v>10</v>
      </c>
      <c r="BG39" s="1">
        <v>3</v>
      </c>
      <c r="BH39" t="s">
        <v>163</v>
      </c>
      <c r="BI39" s="58">
        <f>+BD57*BG39</f>
        <v>900000</v>
      </c>
    </row>
    <row r="40" spans="1:65" outlineLevel="2">
      <c r="A40" s="85" t="s">
        <v>281</v>
      </c>
      <c r="B40" s="83" t="s">
        <v>282</v>
      </c>
      <c r="C40" s="5"/>
      <c r="D40" s="5"/>
      <c r="E40" s="5"/>
      <c r="F40" s="5">
        <v>10</v>
      </c>
      <c r="G40" s="5">
        <v>10</v>
      </c>
      <c r="H40" s="5"/>
      <c r="I40" s="5"/>
      <c r="J40" s="5"/>
      <c r="K40" s="5"/>
      <c r="L40" s="5"/>
      <c r="M40" s="5"/>
      <c r="N40" s="5"/>
      <c r="O40" s="5"/>
      <c r="P40" s="5"/>
      <c r="Q40" s="5"/>
      <c r="R40" s="5"/>
      <c r="S40" s="5"/>
      <c r="T40" s="5"/>
      <c r="U40" s="5"/>
      <c r="V40" s="5"/>
      <c r="W40" s="5"/>
      <c r="X40" s="5">
        <v>10</v>
      </c>
      <c r="Y40" s="5">
        <v>10</v>
      </c>
      <c r="Z40" s="5"/>
      <c r="AA40" s="5">
        <v>10</v>
      </c>
      <c r="AB40" s="5">
        <v>10</v>
      </c>
      <c r="AC40" s="5"/>
      <c r="AD40" s="5"/>
      <c r="AE40" s="5"/>
      <c r="AF40" s="5"/>
      <c r="AG40" s="5"/>
      <c r="AH40" s="5"/>
      <c r="AI40" s="5"/>
      <c r="AJ40" s="5"/>
      <c r="AK40" s="5"/>
      <c r="AL40" s="5"/>
      <c r="AM40" s="5"/>
      <c r="AN40" s="5"/>
      <c r="AO40" s="5"/>
      <c r="AP40" s="5"/>
      <c r="AQ40" s="5"/>
      <c r="AR40" s="5"/>
      <c r="AS40" s="5">
        <v>10</v>
      </c>
      <c r="AT40" s="5">
        <v>10</v>
      </c>
      <c r="AU40" s="5"/>
      <c r="AV40" s="5">
        <v>10</v>
      </c>
      <c r="AW40" s="5">
        <v>10</v>
      </c>
      <c r="AX40" s="5"/>
      <c r="AY40" s="4"/>
      <c r="AZ40" s="4"/>
      <c r="BI40" s="258">
        <f>SUM(BI37:BI39)</f>
        <v>5400000</v>
      </c>
    </row>
    <row r="41" spans="1:65" outlineLevel="2">
      <c r="A41" s="85" t="s">
        <v>281</v>
      </c>
      <c r="B41" s="83" t="s">
        <v>283</v>
      </c>
      <c r="C41" s="5"/>
      <c r="D41" s="5"/>
      <c r="E41" s="5"/>
      <c r="F41" s="5">
        <v>10</v>
      </c>
      <c r="G41" s="5">
        <v>10</v>
      </c>
      <c r="H41" s="5"/>
      <c r="I41" s="5">
        <v>10</v>
      </c>
      <c r="J41" s="5">
        <v>10</v>
      </c>
      <c r="K41" s="5">
        <v>10</v>
      </c>
      <c r="L41" s="5">
        <v>10</v>
      </c>
      <c r="M41" s="5">
        <v>10</v>
      </c>
      <c r="N41" s="5">
        <v>10</v>
      </c>
      <c r="O41" s="5">
        <v>10</v>
      </c>
      <c r="P41" s="5">
        <v>10</v>
      </c>
      <c r="Q41" s="5">
        <v>10</v>
      </c>
      <c r="R41" s="5">
        <v>10</v>
      </c>
      <c r="S41" s="5">
        <v>10</v>
      </c>
      <c r="T41" s="5">
        <v>10</v>
      </c>
      <c r="U41" s="5">
        <v>10</v>
      </c>
      <c r="V41" s="5">
        <v>10</v>
      </c>
      <c r="W41" s="5">
        <v>10</v>
      </c>
      <c r="X41" s="5">
        <v>10</v>
      </c>
      <c r="Y41" s="5">
        <v>10</v>
      </c>
      <c r="Z41" s="5"/>
      <c r="AA41" s="5">
        <v>10</v>
      </c>
      <c r="AB41" s="5">
        <v>10</v>
      </c>
      <c r="AC41" s="5"/>
      <c r="AD41" s="5">
        <v>10</v>
      </c>
      <c r="AE41" s="5">
        <v>10</v>
      </c>
      <c r="AF41" s="5">
        <v>10</v>
      </c>
      <c r="AG41" s="5">
        <v>10</v>
      </c>
      <c r="AH41" s="5">
        <v>10</v>
      </c>
      <c r="AI41" s="5">
        <v>10</v>
      </c>
      <c r="AJ41" s="5">
        <v>10</v>
      </c>
      <c r="AK41" s="5">
        <v>10</v>
      </c>
      <c r="AL41" s="5">
        <v>10</v>
      </c>
      <c r="AM41" s="5">
        <v>10</v>
      </c>
      <c r="AN41" s="5">
        <v>10</v>
      </c>
      <c r="AO41" s="5">
        <v>10</v>
      </c>
      <c r="AP41" s="5">
        <v>10</v>
      </c>
      <c r="AQ41" s="5">
        <v>10</v>
      </c>
      <c r="AR41" s="5">
        <v>10</v>
      </c>
      <c r="AS41" s="5">
        <v>10</v>
      </c>
      <c r="AT41" s="5">
        <v>10</v>
      </c>
      <c r="AU41" s="5"/>
      <c r="AV41" s="5">
        <v>10</v>
      </c>
      <c r="AW41" s="5">
        <v>10</v>
      </c>
      <c r="AX41" s="5"/>
      <c r="AY41" s="4"/>
      <c r="AZ41" s="4"/>
      <c r="BI41" s="98">
        <f>+BI40/BI36</f>
        <v>0.22500000000000001</v>
      </c>
    </row>
    <row r="42" spans="1:65" outlineLevel="2">
      <c r="A42" s="85" t="s">
        <v>281</v>
      </c>
      <c r="B42" s="83" t="s">
        <v>284</v>
      </c>
      <c r="C42" s="5"/>
      <c r="D42" s="5"/>
      <c r="E42" s="5"/>
      <c r="F42" s="5">
        <v>10</v>
      </c>
      <c r="G42" s="5">
        <v>10</v>
      </c>
      <c r="H42" s="5">
        <v>10</v>
      </c>
      <c r="I42" s="5">
        <v>10</v>
      </c>
      <c r="J42" s="5">
        <v>10</v>
      </c>
      <c r="K42" s="5">
        <v>10</v>
      </c>
      <c r="L42" s="5">
        <v>10</v>
      </c>
      <c r="M42" s="5">
        <v>10</v>
      </c>
      <c r="N42" s="5">
        <v>10</v>
      </c>
      <c r="O42" s="5">
        <v>10</v>
      </c>
      <c r="P42" s="5">
        <v>10</v>
      </c>
      <c r="Q42" s="5">
        <v>10</v>
      </c>
      <c r="R42" s="5">
        <v>10</v>
      </c>
      <c r="S42" s="5">
        <v>10</v>
      </c>
      <c r="T42" s="5">
        <v>10</v>
      </c>
      <c r="U42" s="5">
        <v>10</v>
      </c>
      <c r="V42" s="5">
        <v>10</v>
      </c>
      <c r="W42" s="5">
        <v>10</v>
      </c>
      <c r="X42" s="5">
        <v>10</v>
      </c>
      <c r="Y42" s="5">
        <v>10</v>
      </c>
      <c r="Z42" s="5">
        <v>10</v>
      </c>
      <c r="AA42" s="5">
        <v>10</v>
      </c>
      <c r="AB42" s="5">
        <v>10</v>
      </c>
      <c r="AC42" s="5">
        <v>10</v>
      </c>
      <c r="AD42" s="5">
        <v>10</v>
      </c>
      <c r="AE42" s="5">
        <v>10</v>
      </c>
      <c r="AF42" s="5">
        <v>10</v>
      </c>
      <c r="AG42" s="5">
        <v>10</v>
      </c>
      <c r="AH42" s="5">
        <v>10</v>
      </c>
      <c r="AI42" s="5">
        <v>10</v>
      </c>
      <c r="AJ42" s="5">
        <v>10</v>
      </c>
      <c r="AK42" s="5">
        <v>10</v>
      </c>
      <c r="AL42" s="5">
        <v>10</v>
      </c>
      <c r="AM42" s="5">
        <v>10</v>
      </c>
      <c r="AN42" s="5">
        <v>10</v>
      </c>
      <c r="AO42" s="5">
        <v>10</v>
      </c>
      <c r="AP42" s="5">
        <v>10</v>
      </c>
      <c r="AQ42" s="5">
        <v>10</v>
      </c>
      <c r="AR42" s="5">
        <v>10</v>
      </c>
      <c r="AS42" s="5">
        <v>10</v>
      </c>
      <c r="AT42" s="5">
        <v>10</v>
      </c>
      <c r="AU42" s="5">
        <v>10</v>
      </c>
      <c r="AV42" s="5">
        <v>10</v>
      </c>
      <c r="AW42" s="5">
        <v>10</v>
      </c>
      <c r="AX42" s="5">
        <v>10</v>
      </c>
      <c r="AY42" s="4"/>
      <c r="AZ42" s="4"/>
      <c r="BA42" s="86">
        <f>+BA45*BA43</f>
        <v>144000000</v>
      </c>
      <c r="BF42" s="86"/>
      <c r="BH42" t="s">
        <v>502</v>
      </c>
      <c r="BI42" s="1">
        <f>SUM(E26:H26)</f>
        <v>90</v>
      </c>
    </row>
    <row r="43" spans="1:65" outlineLevel="2">
      <c r="A43" s="85" t="s">
        <v>281</v>
      </c>
      <c r="B43" s="83" t="s">
        <v>285</v>
      </c>
      <c r="C43" s="5"/>
      <c r="D43" s="5"/>
      <c r="E43" s="5"/>
      <c r="F43" s="5">
        <v>10</v>
      </c>
      <c r="G43" s="5">
        <v>10</v>
      </c>
      <c r="H43" s="5"/>
      <c r="I43" s="5">
        <v>10</v>
      </c>
      <c r="J43" s="5">
        <v>10</v>
      </c>
      <c r="K43" s="5">
        <v>10</v>
      </c>
      <c r="L43" s="5">
        <v>10</v>
      </c>
      <c r="M43" s="5">
        <v>10</v>
      </c>
      <c r="N43" s="5">
        <v>10</v>
      </c>
      <c r="O43" s="5">
        <v>10</v>
      </c>
      <c r="P43" s="5">
        <v>10</v>
      </c>
      <c r="Q43" s="5">
        <v>10</v>
      </c>
      <c r="R43" s="5">
        <v>10</v>
      </c>
      <c r="S43" s="5">
        <v>10</v>
      </c>
      <c r="T43" s="5">
        <v>10</v>
      </c>
      <c r="U43" s="5">
        <v>10</v>
      </c>
      <c r="V43" s="5">
        <v>10</v>
      </c>
      <c r="W43" s="5">
        <v>10</v>
      </c>
      <c r="X43" s="5">
        <v>10</v>
      </c>
      <c r="Y43" s="5">
        <v>10</v>
      </c>
      <c r="Z43" s="5"/>
      <c r="AA43" s="5">
        <v>10</v>
      </c>
      <c r="AB43" s="5">
        <v>10</v>
      </c>
      <c r="AC43" s="5"/>
      <c r="AD43" s="5">
        <v>10</v>
      </c>
      <c r="AE43" s="5">
        <v>10</v>
      </c>
      <c r="AF43" s="5">
        <v>10</v>
      </c>
      <c r="AG43" s="5">
        <v>10</v>
      </c>
      <c r="AH43" s="5">
        <v>10</v>
      </c>
      <c r="AI43" s="5">
        <v>10</v>
      </c>
      <c r="AJ43" s="5">
        <v>10</v>
      </c>
      <c r="AK43" s="5">
        <v>10</v>
      </c>
      <c r="AL43" s="5">
        <v>10</v>
      </c>
      <c r="AM43" s="5">
        <v>10</v>
      </c>
      <c r="AN43" s="5">
        <v>10</v>
      </c>
      <c r="AO43" s="5">
        <v>10</v>
      </c>
      <c r="AP43" s="5">
        <v>10</v>
      </c>
      <c r="AQ43" s="5">
        <v>10</v>
      </c>
      <c r="AR43" s="5">
        <v>10</v>
      </c>
      <c r="AS43" s="5">
        <v>10</v>
      </c>
      <c r="AT43" s="5">
        <v>10</v>
      </c>
      <c r="AU43" s="5"/>
      <c r="AV43" s="5">
        <v>10</v>
      </c>
      <c r="AW43" s="5">
        <v>10</v>
      </c>
      <c r="AX43" s="5"/>
      <c r="AY43" s="4"/>
      <c r="AZ43" s="4"/>
      <c r="BA43">
        <v>80</v>
      </c>
      <c r="BH43" t="s">
        <v>501</v>
      </c>
      <c r="BI43" s="58">
        <f>+BI42*BB53</f>
        <v>1800000</v>
      </c>
    </row>
    <row r="44" spans="1:65" outlineLevel="2">
      <c r="A44" s="80" t="s">
        <v>286</v>
      </c>
      <c r="B44" s="84" t="s">
        <v>282</v>
      </c>
      <c r="C44" s="3"/>
      <c r="F44" s="3">
        <v>10</v>
      </c>
      <c r="G44" s="3">
        <v>10</v>
      </c>
      <c r="I44" s="3">
        <v>10</v>
      </c>
      <c r="J44" s="3">
        <v>10</v>
      </c>
      <c r="K44" s="3">
        <v>10</v>
      </c>
      <c r="L44" s="3">
        <v>10</v>
      </c>
      <c r="M44" s="3">
        <v>10</v>
      </c>
      <c r="N44" s="3">
        <v>10</v>
      </c>
      <c r="O44" s="3">
        <v>10</v>
      </c>
      <c r="P44" s="3">
        <v>10</v>
      </c>
      <c r="Q44" s="3">
        <v>10</v>
      </c>
      <c r="R44" s="3">
        <v>10</v>
      </c>
      <c r="S44" s="3">
        <v>10</v>
      </c>
      <c r="T44" s="3">
        <v>10</v>
      </c>
      <c r="U44" s="3">
        <v>10</v>
      </c>
      <c r="V44" s="3">
        <v>10</v>
      </c>
      <c r="W44" s="3">
        <v>10</v>
      </c>
      <c r="X44" s="3">
        <v>10</v>
      </c>
      <c r="Y44" s="3">
        <v>10</v>
      </c>
      <c r="Z44" s="3"/>
      <c r="AA44" s="3">
        <v>10</v>
      </c>
      <c r="AB44" s="3">
        <v>10</v>
      </c>
      <c r="AC44" s="3"/>
      <c r="AD44" s="3">
        <v>10</v>
      </c>
      <c r="AE44" s="3">
        <v>10</v>
      </c>
      <c r="AF44" s="3">
        <v>10</v>
      </c>
      <c r="AG44" s="3">
        <v>10</v>
      </c>
      <c r="AH44" s="3">
        <v>10</v>
      </c>
      <c r="AI44" s="3">
        <v>10</v>
      </c>
      <c r="AJ44" s="3">
        <v>10</v>
      </c>
      <c r="AK44" s="3">
        <v>10</v>
      </c>
      <c r="AL44" s="3">
        <v>10</v>
      </c>
      <c r="AM44" s="3">
        <v>10</v>
      </c>
      <c r="AN44" s="3">
        <v>10</v>
      </c>
      <c r="AO44" s="3">
        <v>10</v>
      </c>
      <c r="AP44" s="3">
        <v>10</v>
      </c>
      <c r="AQ44" s="3">
        <v>10</v>
      </c>
      <c r="AR44" s="3">
        <v>10</v>
      </c>
      <c r="AS44" s="3">
        <v>10</v>
      </c>
      <c r="AT44" s="3">
        <v>10</v>
      </c>
      <c r="AU44" s="3"/>
      <c r="AV44" s="3">
        <v>10</v>
      </c>
      <c r="AW44" s="3">
        <v>10</v>
      </c>
      <c r="AX44" s="3"/>
      <c r="BG44" s="1">
        <v>10</v>
      </c>
      <c r="BH44" t="s">
        <v>160</v>
      </c>
    </row>
    <row r="45" spans="1:65" outlineLevel="2">
      <c r="A45" s="80" t="s">
        <v>286</v>
      </c>
      <c r="B45" s="84" t="s">
        <v>287</v>
      </c>
      <c r="C45" s="3"/>
      <c r="F45" s="3">
        <v>10</v>
      </c>
      <c r="G45" s="3">
        <v>10</v>
      </c>
      <c r="I45" s="3">
        <v>10</v>
      </c>
      <c r="J45" s="3">
        <v>10</v>
      </c>
      <c r="K45" s="3">
        <v>10</v>
      </c>
      <c r="L45" s="3">
        <v>10</v>
      </c>
      <c r="M45" s="3">
        <v>10</v>
      </c>
      <c r="N45" s="3">
        <v>10</v>
      </c>
      <c r="O45" s="3">
        <v>10</v>
      </c>
      <c r="P45" s="3">
        <v>10</v>
      </c>
      <c r="Q45" s="3">
        <v>10</v>
      </c>
      <c r="R45" s="3">
        <v>10</v>
      </c>
      <c r="S45" s="3">
        <v>10</v>
      </c>
      <c r="T45" s="3">
        <v>10</v>
      </c>
      <c r="U45" s="3">
        <v>10</v>
      </c>
      <c r="V45" s="3">
        <v>10</v>
      </c>
      <c r="W45" s="3">
        <v>10</v>
      </c>
      <c r="X45" s="3">
        <v>10</v>
      </c>
      <c r="Y45" s="3">
        <v>10</v>
      </c>
      <c r="Z45" s="3"/>
      <c r="AA45" s="3">
        <v>10</v>
      </c>
      <c r="AB45" s="3">
        <v>10</v>
      </c>
      <c r="AC45" s="3"/>
      <c r="AD45" s="3">
        <v>10</v>
      </c>
      <c r="AE45" s="3">
        <v>10</v>
      </c>
      <c r="AF45" s="3">
        <v>10</v>
      </c>
      <c r="AG45" s="3">
        <v>10</v>
      </c>
      <c r="AH45" s="3">
        <v>10</v>
      </c>
      <c r="AI45" s="3">
        <v>10</v>
      </c>
      <c r="AJ45" s="3">
        <v>10</v>
      </c>
      <c r="AK45" s="3">
        <v>10</v>
      </c>
      <c r="AL45" s="3">
        <v>10</v>
      </c>
      <c r="AM45" s="3">
        <v>10</v>
      </c>
      <c r="AN45" s="3">
        <v>10</v>
      </c>
      <c r="AO45" s="3">
        <v>10</v>
      </c>
      <c r="AP45" s="3">
        <v>10</v>
      </c>
      <c r="AQ45" s="3">
        <v>10</v>
      </c>
      <c r="AR45" s="3">
        <v>10</v>
      </c>
      <c r="AS45" s="3">
        <v>10</v>
      </c>
      <c r="AT45" s="3">
        <v>10</v>
      </c>
      <c r="AU45" s="3"/>
      <c r="AV45" s="3">
        <v>10</v>
      </c>
      <c r="AW45" s="3">
        <v>10</v>
      </c>
      <c r="AX45" s="3"/>
      <c r="BA45" s="86">
        <f>+BA47*BA46</f>
        <v>1800000</v>
      </c>
      <c r="BG45" s="1">
        <v>5</v>
      </c>
      <c r="BH45" t="s">
        <v>161</v>
      </c>
    </row>
    <row r="46" spans="1:65" outlineLevel="2">
      <c r="A46" s="80" t="s">
        <v>286</v>
      </c>
      <c r="B46" s="84" t="s">
        <v>284</v>
      </c>
      <c r="C46" s="3"/>
      <c r="F46" s="3">
        <v>10</v>
      </c>
      <c r="G46" s="3">
        <v>10</v>
      </c>
      <c r="I46" s="3">
        <v>10</v>
      </c>
      <c r="J46" s="3">
        <v>10</v>
      </c>
      <c r="K46" s="3">
        <v>10</v>
      </c>
      <c r="L46" s="3">
        <v>10</v>
      </c>
      <c r="M46" s="3">
        <v>10</v>
      </c>
      <c r="N46" s="3">
        <v>10</v>
      </c>
      <c r="O46" s="3">
        <v>10</v>
      </c>
      <c r="P46" s="3">
        <v>10</v>
      </c>
      <c r="Q46" s="3">
        <v>10</v>
      </c>
      <c r="R46" s="3">
        <v>10</v>
      </c>
      <c r="S46" s="3">
        <v>10</v>
      </c>
      <c r="T46" s="3">
        <v>10</v>
      </c>
      <c r="U46" s="3">
        <v>10</v>
      </c>
      <c r="V46" s="3">
        <v>10</v>
      </c>
      <c r="W46" s="3">
        <v>10</v>
      </c>
      <c r="X46" s="3">
        <v>10</v>
      </c>
      <c r="Y46" s="3">
        <v>10</v>
      </c>
      <c r="Z46" s="3"/>
      <c r="AA46" s="3">
        <v>10</v>
      </c>
      <c r="AB46" s="3">
        <v>10</v>
      </c>
      <c r="AC46" s="3"/>
      <c r="AD46" s="3">
        <v>10</v>
      </c>
      <c r="AE46" s="3">
        <v>10</v>
      </c>
      <c r="AF46" s="3">
        <v>10</v>
      </c>
      <c r="AG46" s="3">
        <v>10</v>
      </c>
      <c r="AH46" s="3">
        <v>10</v>
      </c>
      <c r="AI46" s="3">
        <v>10</v>
      </c>
      <c r="AJ46" s="3">
        <v>10</v>
      </c>
      <c r="AK46" s="3">
        <v>10</v>
      </c>
      <c r="AL46" s="3">
        <v>10</v>
      </c>
      <c r="AM46" s="3">
        <v>10</v>
      </c>
      <c r="AN46" s="3">
        <v>10</v>
      </c>
      <c r="AO46" s="3">
        <v>10</v>
      </c>
      <c r="AP46" s="3">
        <v>10</v>
      </c>
      <c r="AQ46" s="3">
        <v>10</v>
      </c>
      <c r="AR46" s="3">
        <v>10</v>
      </c>
      <c r="AS46" s="3">
        <v>10</v>
      </c>
      <c r="AT46" s="3">
        <v>10</v>
      </c>
      <c r="AU46" s="3"/>
      <c r="AV46" s="3">
        <v>10</v>
      </c>
      <c r="AW46" s="3">
        <v>10</v>
      </c>
      <c r="AX46" s="3"/>
      <c r="BA46">
        <v>60000</v>
      </c>
      <c r="BG46" s="1">
        <v>3</v>
      </c>
      <c r="BH46" t="s">
        <v>163</v>
      </c>
    </row>
    <row r="47" spans="1:65" outlineLevel="1">
      <c r="F47" s="497">
        <f>+(F25+G25)*5</f>
        <v>80</v>
      </c>
      <c r="G47" s="497"/>
      <c r="H47" s="497"/>
      <c r="I47" s="498">
        <f>SUM(I38:W46)</f>
        <v>1200</v>
      </c>
      <c r="J47" s="498"/>
      <c r="K47" s="498"/>
      <c r="L47" s="498"/>
      <c r="M47" s="498"/>
      <c r="N47" s="498"/>
      <c r="O47" s="498"/>
      <c r="P47" s="498"/>
      <c r="Q47" s="498"/>
      <c r="R47" s="498"/>
      <c r="S47" s="498"/>
      <c r="T47" s="498"/>
      <c r="U47" s="498"/>
      <c r="V47" s="498"/>
      <c r="W47" s="498"/>
      <c r="X47" s="496">
        <f>+(X25+Y25)*5</f>
        <v>80</v>
      </c>
      <c r="Y47" s="496"/>
      <c r="Z47" s="496"/>
      <c r="AA47" s="497">
        <f>+(AA25+AB25)*5</f>
        <v>80</v>
      </c>
      <c r="AB47" s="497"/>
      <c r="AC47" s="497"/>
      <c r="AD47" s="498">
        <f>SUM(AD38:AR46)</f>
        <v>1200</v>
      </c>
      <c r="AE47" s="498"/>
      <c r="AF47" s="498"/>
      <c r="AG47" s="498"/>
      <c r="AH47" s="498"/>
      <c r="AI47" s="498"/>
      <c r="AJ47" s="498"/>
      <c r="AK47" s="498"/>
      <c r="AL47" s="498"/>
      <c r="AM47" s="498"/>
      <c r="AN47" s="498"/>
      <c r="AO47" s="498"/>
      <c r="AP47" s="498"/>
      <c r="AQ47" s="498"/>
      <c r="AR47" s="498"/>
      <c r="AS47" s="496">
        <f>+(AS25+AT25)*5</f>
        <v>80</v>
      </c>
      <c r="AT47" s="496"/>
      <c r="AU47" s="496"/>
      <c r="AV47" s="497">
        <f>+(AV25+AW25)*5</f>
        <v>80</v>
      </c>
      <c r="AW47" s="497"/>
      <c r="AX47" s="497"/>
      <c r="BA47">
        <v>30</v>
      </c>
    </row>
    <row r="48" spans="1:65" outlineLevel="1"/>
    <row r="49" spans="1:79">
      <c r="A49" s="80" t="s">
        <v>500</v>
      </c>
      <c r="B49" s="58">
        <v>100000</v>
      </c>
      <c r="BC49" s="100">
        <f>+BC50-1</f>
        <v>0.10000000000000009</v>
      </c>
      <c r="BD49" s="100">
        <f>+BD50-1</f>
        <v>0.10000000000000009</v>
      </c>
      <c r="BE49" s="100">
        <f>+BE50-1</f>
        <v>0.10000000000000009</v>
      </c>
      <c r="BF49" s="100">
        <f>+BF50-1</f>
        <v>0.10000000000000009</v>
      </c>
      <c r="BJ49" s="100">
        <f>+BJ50-1</f>
        <v>4.0000000000000036E-2</v>
      </c>
      <c r="BK49" s="100">
        <f>+BK50-1</f>
        <v>4.0000000000000036E-2</v>
      </c>
      <c r="BL49" s="100">
        <f>+BL50-1</f>
        <v>4.0000000000000036E-2</v>
      </c>
      <c r="BM49" s="100">
        <f>+BM50-1</f>
        <v>4.0000000000000036E-2</v>
      </c>
    </row>
    <row r="50" spans="1:79">
      <c r="B50" s="58">
        <f>+B49*F47</f>
        <v>8000000</v>
      </c>
      <c r="BC50" s="101">
        <v>1.1000000000000001</v>
      </c>
      <c r="BD50" s="101">
        <v>1.1000000000000001</v>
      </c>
      <c r="BE50" s="101">
        <v>1.1000000000000001</v>
      </c>
      <c r="BF50" s="101">
        <v>1.1000000000000001</v>
      </c>
      <c r="BJ50" s="101">
        <v>1.04</v>
      </c>
      <c r="BK50" s="101">
        <v>1.04</v>
      </c>
      <c r="BL50" s="101">
        <v>1.04</v>
      </c>
      <c r="BM50" s="101">
        <v>1.04</v>
      </c>
    </row>
    <row r="51" spans="1:79">
      <c r="B51" s="58">
        <f>+B50/COUNTA(F7:H7)</f>
        <v>2666666.6666666665</v>
      </c>
      <c r="BA51" s="4"/>
      <c r="BB51" s="90" t="s">
        <v>288</v>
      </c>
      <c r="BC51" s="90" t="s">
        <v>10</v>
      </c>
      <c r="BD51" s="90" t="s">
        <v>11</v>
      </c>
      <c r="BE51" s="90" t="s">
        <v>12</v>
      </c>
      <c r="BF51" s="90" t="s">
        <v>13</v>
      </c>
      <c r="BH51" s="103"/>
      <c r="BI51" s="104" t="s">
        <v>288</v>
      </c>
      <c r="BJ51" s="104" t="s">
        <v>10</v>
      </c>
      <c r="BK51" s="104" t="s">
        <v>11</v>
      </c>
      <c r="BL51" s="104" t="s">
        <v>12</v>
      </c>
      <c r="BM51" s="104" t="s">
        <v>13</v>
      </c>
      <c r="BO51" s="108" t="s">
        <v>288</v>
      </c>
      <c r="BP51" s="108" t="s">
        <v>10</v>
      </c>
      <c r="BQ51" s="108" t="s">
        <v>11</v>
      </c>
      <c r="BR51" s="108" t="s">
        <v>12</v>
      </c>
      <c r="BS51" s="108" t="s">
        <v>13</v>
      </c>
      <c r="BT51" s="22"/>
      <c r="BV51" s="111"/>
      <c r="BW51" s="112" t="s">
        <v>288</v>
      </c>
      <c r="BX51" s="112" t="s">
        <v>10</v>
      </c>
      <c r="BY51" s="112" t="s">
        <v>11</v>
      </c>
      <c r="BZ51" s="112" t="s">
        <v>12</v>
      </c>
      <c r="CA51" s="112" t="s">
        <v>13</v>
      </c>
    </row>
    <row r="52" spans="1:79">
      <c r="BA52" s="94" t="s">
        <v>289</v>
      </c>
      <c r="BB52" s="89">
        <f>SUM(D26:AY26)</f>
        <v>2850</v>
      </c>
      <c r="BC52" s="89">
        <f>+BB52</f>
        <v>2850</v>
      </c>
      <c r="BD52" s="89">
        <f>+BC52</f>
        <v>2850</v>
      </c>
      <c r="BE52" s="89">
        <f>+BD52</f>
        <v>2850</v>
      </c>
      <c r="BF52" s="89">
        <f>+BE52</f>
        <v>2850</v>
      </c>
      <c r="BH52" s="94" t="s">
        <v>290</v>
      </c>
      <c r="BI52" s="119">
        <v>0.05</v>
      </c>
      <c r="BJ52" s="119">
        <f>+BI52</f>
        <v>0.05</v>
      </c>
      <c r="BK52" s="119">
        <f>+BJ52</f>
        <v>0.05</v>
      </c>
      <c r="BL52" s="119">
        <f>+BK52</f>
        <v>0.05</v>
      </c>
      <c r="BM52" s="119">
        <f>+BL52</f>
        <v>0.05</v>
      </c>
    </row>
    <row r="53" spans="1:79">
      <c r="A53" t="s">
        <v>499</v>
      </c>
      <c r="B53" s="58">
        <v>30000</v>
      </c>
      <c r="BA53" s="73" t="s">
        <v>291</v>
      </c>
      <c r="BB53" s="91">
        <v>20000</v>
      </c>
      <c r="BC53" s="58">
        <f>+BB53*BC50</f>
        <v>22000</v>
      </c>
      <c r="BD53" s="58">
        <f>+BC53*BD50</f>
        <v>24200.000000000004</v>
      </c>
      <c r="BE53" s="58">
        <f>+BD53*BE50</f>
        <v>26620.000000000007</v>
      </c>
      <c r="BF53" s="58">
        <f>+BE53*BF50</f>
        <v>29282.000000000011</v>
      </c>
      <c r="BH53" s="73" t="s">
        <v>292</v>
      </c>
      <c r="BI53" s="91">
        <f>+BI52*BB54</f>
        <v>237500</v>
      </c>
      <c r="BJ53" s="91">
        <f>+BJ52*BC54</f>
        <v>261250</v>
      </c>
      <c r="BK53" s="91">
        <f>+BK52*BD54</f>
        <v>287375.00000000006</v>
      </c>
      <c r="BL53" s="91">
        <f>+BL52*BE54</f>
        <v>316112.50000000006</v>
      </c>
      <c r="BM53" s="91">
        <f>+BM52*BF54</f>
        <v>347723.75000000017</v>
      </c>
    </row>
    <row r="54" spans="1:79">
      <c r="B54" s="58">
        <f>+B53*I47</f>
        <v>36000000</v>
      </c>
      <c r="BA54" t="s">
        <v>293</v>
      </c>
      <c r="BB54" s="58">
        <f>+BB55/12</f>
        <v>4750000</v>
      </c>
      <c r="BC54" s="58">
        <f>+BC55/12</f>
        <v>5225000</v>
      </c>
      <c r="BD54" s="58">
        <f>+BD55/12</f>
        <v>5747500.0000000009</v>
      </c>
      <c r="BE54" s="58">
        <f>+BE55/12</f>
        <v>6322250.0000000009</v>
      </c>
      <c r="BF54" s="58">
        <f>+BF55/12</f>
        <v>6954475.0000000028</v>
      </c>
      <c r="BH54" t="s">
        <v>293</v>
      </c>
      <c r="BI54" s="58">
        <f>+BI53</f>
        <v>237500</v>
      </c>
      <c r="BJ54" s="58">
        <f>+BJ53</f>
        <v>261250</v>
      </c>
      <c r="BK54" s="58">
        <f>+BK53</f>
        <v>287375.00000000006</v>
      </c>
      <c r="BL54" s="58">
        <f>+BL53</f>
        <v>316112.50000000006</v>
      </c>
      <c r="BM54" s="58">
        <f>+BM53</f>
        <v>347723.75000000017</v>
      </c>
    </row>
    <row r="55" spans="1:79">
      <c r="B55" s="58">
        <f>+B54/COUNTA(I7:W7)</f>
        <v>2400000</v>
      </c>
      <c r="BA55" s="4" t="s">
        <v>294</v>
      </c>
      <c r="BB55" s="92">
        <f>+BB52*BB53</f>
        <v>57000000</v>
      </c>
      <c r="BC55" s="92">
        <f>+BC52*BC53</f>
        <v>62700000</v>
      </c>
      <c r="BD55" s="92">
        <f>+BD52*BD53</f>
        <v>68970000.000000015</v>
      </c>
      <c r="BE55" s="92">
        <f>+BE52*BE53</f>
        <v>75867000.000000015</v>
      </c>
      <c r="BF55" s="92">
        <f>+BF52*BF53</f>
        <v>83453700.00000003</v>
      </c>
      <c r="BH55" s="4" t="s">
        <v>294</v>
      </c>
      <c r="BI55" s="92">
        <f>+BI54*12</f>
        <v>2850000</v>
      </c>
      <c r="BJ55" s="92">
        <f>+BJ54*12</f>
        <v>3135000</v>
      </c>
      <c r="BK55" s="92">
        <f>+BK54*12</f>
        <v>3448500.0000000009</v>
      </c>
      <c r="BL55" s="92">
        <f>+BL54*12</f>
        <v>3793350.0000000009</v>
      </c>
      <c r="BM55" s="92">
        <f>+BM54*12</f>
        <v>4172685.0000000019</v>
      </c>
      <c r="BO55" s="110">
        <f>+BB55-BI55-(BV106*12)</f>
        <v>-38850000</v>
      </c>
      <c r="BP55" s="110">
        <f>+BC55-BJ55-(BV106*12)</f>
        <v>-33435000</v>
      </c>
      <c r="BQ55" s="110">
        <f>+BD55-BK55-(BV106*12)</f>
        <v>-27478499.999999985</v>
      </c>
      <c r="BR55" s="110">
        <f>+BE55-BL55-(BV106*12)</f>
        <v>-20926349.999999985</v>
      </c>
      <c r="BS55" s="110">
        <f>+BF55-BM55-(BV106*12)</f>
        <v>-13718984.99999997</v>
      </c>
      <c r="BT55" s="109"/>
    </row>
    <row r="56" spans="1:79">
      <c r="BB56" s="58">
        <f>+I26*BB53</f>
        <v>1600000</v>
      </c>
      <c r="BH56" t="s">
        <v>295</v>
      </c>
      <c r="BI56" s="58">
        <f t="shared" ref="BI56:BM57" si="17">+BI55/BB52</f>
        <v>1000</v>
      </c>
      <c r="BJ56" s="58">
        <f t="shared" si="17"/>
        <v>1100</v>
      </c>
      <c r="BK56" s="58">
        <f t="shared" si="17"/>
        <v>1210.0000000000002</v>
      </c>
      <c r="BL56" s="58">
        <f t="shared" si="17"/>
        <v>1331.0000000000002</v>
      </c>
      <c r="BM56" s="58">
        <f t="shared" si="17"/>
        <v>1464.1000000000006</v>
      </c>
      <c r="BO56" s="105">
        <f>+BO55/BB55</f>
        <v>-0.68157894736842106</v>
      </c>
      <c r="BP56" s="105">
        <f>+BP55/BC55</f>
        <v>-0.53325358851674642</v>
      </c>
      <c r="BQ56" s="105">
        <f>+BQ55/BD55</f>
        <v>-0.39841235319704188</v>
      </c>
      <c r="BR56" s="105">
        <f>+BR55/BE55</f>
        <v>-0.27582941199731081</v>
      </c>
      <c r="BS56" s="105">
        <f>+BS55/BF55</f>
        <v>-0.16439037454300967</v>
      </c>
      <c r="BT56" s="121"/>
    </row>
    <row r="57" spans="1:79">
      <c r="BB57" s="86">
        <f>+BB53/5</f>
        <v>4000</v>
      </c>
      <c r="BC57" s="86">
        <f>+BB57*15</f>
        <v>60000</v>
      </c>
      <c r="BD57" s="86">
        <f>+BC57*5</f>
        <v>300000</v>
      </c>
      <c r="BI57" s="105">
        <f t="shared" si="17"/>
        <v>0.05</v>
      </c>
      <c r="BJ57" s="105">
        <f t="shared" si="17"/>
        <v>0.05</v>
      </c>
      <c r="BK57" s="105">
        <f t="shared" si="17"/>
        <v>0.05</v>
      </c>
      <c r="BL57" s="105">
        <f t="shared" si="17"/>
        <v>4.9999999999999996E-2</v>
      </c>
      <c r="BM57" s="105">
        <f t="shared" si="17"/>
        <v>0.05</v>
      </c>
    </row>
    <row r="58" spans="1:79">
      <c r="B58" s="58">
        <f>+B53*80</f>
        <v>2400000</v>
      </c>
      <c r="BC58" s="100">
        <f>+BC59-1</f>
        <v>0.10000000000000009</v>
      </c>
      <c r="BD58" s="100">
        <f>+BD59-1</f>
        <v>0.10000000000000009</v>
      </c>
      <c r="BE58" s="100">
        <f>+BE59-1</f>
        <v>0.10000000000000009</v>
      </c>
      <c r="BF58" s="100">
        <f>+BF59-1</f>
        <v>0.10000000000000009</v>
      </c>
      <c r="BJ58" s="100"/>
      <c r="BK58" s="100"/>
      <c r="BL58" s="100"/>
      <c r="BM58" s="100"/>
    </row>
    <row r="59" spans="1:79">
      <c r="B59" s="58">
        <f>+B58*15</f>
        <v>36000000</v>
      </c>
      <c r="BB59">
        <v>2</v>
      </c>
      <c r="BC59" s="101">
        <v>1.1000000000000001</v>
      </c>
      <c r="BD59" s="101">
        <v>1.1000000000000001</v>
      </c>
      <c r="BE59" s="101">
        <v>1.1000000000000001</v>
      </c>
      <c r="BF59" s="101">
        <v>1.1000000000000001</v>
      </c>
      <c r="BJ59" s="101"/>
      <c r="BK59" s="101"/>
      <c r="BL59" s="101"/>
      <c r="BM59" s="101"/>
    </row>
    <row r="60" spans="1:79">
      <c r="BA60" s="4"/>
      <c r="BB60" s="90" t="s">
        <v>288</v>
      </c>
      <c r="BC60" s="90" t="s">
        <v>10</v>
      </c>
      <c r="BD60" s="90" t="s">
        <v>11</v>
      </c>
      <c r="BE60" s="90" t="s">
        <v>12</v>
      </c>
      <c r="BF60" s="90" t="s">
        <v>13</v>
      </c>
      <c r="BH60" s="103"/>
      <c r="BI60" s="104" t="s">
        <v>288</v>
      </c>
      <c r="BJ60" s="104" t="s">
        <v>10</v>
      </c>
      <c r="BK60" s="104" t="s">
        <v>11</v>
      </c>
      <c r="BL60" s="104" t="s">
        <v>12</v>
      </c>
      <c r="BM60" s="104" t="s">
        <v>13</v>
      </c>
    </row>
    <row r="61" spans="1:79">
      <c r="BA61" s="94" t="s">
        <v>296</v>
      </c>
      <c r="BB61" s="89">
        <f>+BB52*BB59</f>
        <v>5700</v>
      </c>
      <c r="BC61" s="89">
        <f>+BC52*BB59</f>
        <v>5700</v>
      </c>
      <c r="BD61" s="89">
        <f>+BD52*BB59</f>
        <v>5700</v>
      </c>
      <c r="BE61" s="89">
        <f>+BE52*BB59</f>
        <v>5700</v>
      </c>
      <c r="BF61" s="89">
        <f>+BF52*BB59</f>
        <v>5700</v>
      </c>
      <c r="BH61" s="94" t="s">
        <v>297</v>
      </c>
      <c r="BI61" s="89">
        <v>1</v>
      </c>
      <c r="BJ61" s="89">
        <f>+BI61</f>
        <v>1</v>
      </c>
      <c r="BK61" s="89">
        <f>+BJ61</f>
        <v>1</v>
      </c>
      <c r="BL61" s="89">
        <f>+BK61</f>
        <v>1</v>
      </c>
      <c r="BM61" s="89">
        <f>+BL61</f>
        <v>1</v>
      </c>
    </row>
    <row r="62" spans="1:79">
      <c r="BA62" s="73" t="s">
        <v>291</v>
      </c>
      <c r="BB62" s="91">
        <v>10000</v>
      </c>
      <c r="BC62" s="58">
        <f>+BB62*BC59</f>
        <v>11000</v>
      </c>
      <c r="BD62" s="58">
        <f>+BC62*BD59</f>
        <v>12100.000000000002</v>
      </c>
      <c r="BE62" s="58">
        <f>+BD62*BE59</f>
        <v>13310.000000000004</v>
      </c>
      <c r="BF62" s="58">
        <f>+BE62*BF59</f>
        <v>14641.000000000005</v>
      </c>
      <c r="BH62" s="73" t="s">
        <v>298</v>
      </c>
      <c r="BI62" s="91">
        <f>+BC4</f>
        <v>2295000</v>
      </c>
      <c r="BJ62" s="58">
        <f>+BI62*BJ50</f>
        <v>2386800</v>
      </c>
      <c r="BK62" s="58">
        <f>+BJ62*BK50</f>
        <v>2482272</v>
      </c>
      <c r="BL62" s="58">
        <f>+BK62*BL50</f>
        <v>2581562.88</v>
      </c>
      <c r="BM62" s="58">
        <f>+BL62*BM50</f>
        <v>2684825.3952000001</v>
      </c>
    </row>
    <row r="63" spans="1:79">
      <c r="BA63" t="s">
        <v>293</v>
      </c>
      <c r="BB63" s="58">
        <f>+BB64/12</f>
        <v>4750000</v>
      </c>
      <c r="BC63" s="58">
        <f>+BC64/12</f>
        <v>5225000</v>
      </c>
      <c r="BD63" s="58">
        <f>+BD64/12</f>
        <v>5747500.0000000009</v>
      </c>
      <c r="BE63" s="58">
        <f>+BE64/12</f>
        <v>6322250.0000000009</v>
      </c>
      <c r="BF63" s="58">
        <f>+BF64/12</f>
        <v>6954475.0000000028</v>
      </c>
      <c r="BH63" t="s">
        <v>293</v>
      </c>
      <c r="BI63" s="58">
        <f>+BI61*BI62</f>
        <v>2295000</v>
      </c>
      <c r="BJ63" s="58">
        <f>+BJ61*BJ62</f>
        <v>2386800</v>
      </c>
      <c r="BK63" s="58">
        <f>+BK61*BK62</f>
        <v>2482272</v>
      </c>
      <c r="BL63" s="58">
        <f>+BL61*BL62</f>
        <v>2581562.88</v>
      </c>
      <c r="BM63" s="58">
        <f>+BM61*BM62</f>
        <v>2684825.3952000001</v>
      </c>
    </row>
    <row r="64" spans="1:79">
      <c r="BA64" s="4" t="s">
        <v>294</v>
      </c>
      <c r="BB64" s="92">
        <f>+BB61*BB62</f>
        <v>57000000</v>
      </c>
      <c r="BC64" s="92">
        <f>+BC61*BC62</f>
        <v>62700000</v>
      </c>
      <c r="BD64" s="92">
        <f>+BD61*BD62</f>
        <v>68970000.000000015</v>
      </c>
      <c r="BE64" s="92">
        <f>+BE61*BE62</f>
        <v>75867000.000000015</v>
      </c>
      <c r="BF64" s="92">
        <f>+BF61*BF62</f>
        <v>83453700.00000003</v>
      </c>
      <c r="BH64" s="4" t="s">
        <v>294</v>
      </c>
      <c r="BI64" s="92">
        <f>+BI63*12</f>
        <v>27540000</v>
      </c>
      <c r="BJ64" s="92">
        <f>+BJ63*12</f>
        <v>28641600</v>
      </c>
      <c r="BK64" s="92">
        <f>+BK63*12</f>
        <v>29787264</v>
      </c>
      <c r="BL64" s="92">
        <f>+BL63*12</f>
        <v>30978754.559999999</v>
      </c>
      <c r="BM64" s="92">
        <f>+BM63*12</f>
        <v>32217904.742400002</v>
      </c>
      <c r="BO64" s="110">
        <f>+BB64-BI64</f>
        <v>29460000</v>
      </c>
      <c r="BP64" s="110">
        <f>+BC64-BJ64</f>
        <v>34058400</v>
      </c>
      <c r="BQ64" s="110">
        <f>+BD64-BK64</f>
        <v>39182736.000000015</v>
      </c>
      <c r="BR64" s="110">
        <f>+BE64-BL64</f>
        <v>44888245.440000013</v>
      </c>
      <c r="BS64" s="110">
        <f>+BF64-BM64</f>
        <v>51235795.257600024</v>
      </c>
      <c r="BT64" s="109"/>
    </row>
    <row r="65" spans="53:72">
      <c r="BH65" t="s">
        <v>295</v>
      </c>
      <c r="BI65" s="58">
        <f t="shared" ref="BI65:BM66" si="18">+BI64/BB61</f>
        <v>4831.5789473684208</v>
      </c>
      <c r="BJ65" s="58">
        <f t="shared" si="18"/>
        <v>5024.8421052631575</v>
      </c>
      <c r="BK65" s="58">
        <f t="shared" si="18"/>
        <v>5225.8357894736846</v>
      </c>
      <c r="BL65" s="58">
        <f t="shared" si="18"/>
        <v>5434.8692210526315</v>
      </c>
      <c r="BM65" s="58">
        <f t="shared" si="18"/>
        <v>5652.2639898947373</v>
      </c>
      <c r="BO65" s="105">
        <f>+BO64/BB64</f>
        <v>0.51684210526315788</v>
      </c>
      <c r="BP65" s="105">
        <f>+BP64/BC64</f>
        <v>0.54319617224880379</v>
      </c>
      <c r="BQ65" s="105">
        <f>+BQ64/BD64</f>
        <v>0.56811274467159645</v>
      </c>
      <c r="BR65" s="105">
        <f>+BR64/BE64</f>
        <v>0.59167023132587293</v>
      </c>
      <c r="BS65" s="105">
        <f>+BS64/BF64</f>
        <v>0.61394276416264359</v>
      </c>
      <c r="BT65" s="121"/>
    </row>
    <row r="66" spans="53:72">
      <c r="BI66" s="105">
        <f t="shared" si="18"/>
        <v>0.48315789473684206</v>
      </c>
      <c r="BJ66" s="105">
        <f t="shared" si="18"/>
        <v>0.45680382775119616</v>
      </c>
      <c r="BK66" s="105">
        <f t="shared" si="18"/>
        <v>0.43188725532840361</v>
      </c>
      <c r="BL66" s="105">
        <f t="shared" si="18"/>
        <v>0.40832976867412696</v>
      </c>
      <c r="BM66" s="105">
        <f t="shared" si="18"/>
        <v>0.38605723583735641</v>
      </c>
    </row>
    <row r="67" spans="53:72">
      <c r="BC67" s="100">
        <f>+BC68-1</f>
        <v>0.10000000000000009</v>
      </c>
      <c r="BD67" s="100">
        <f>+BD68-1</f>
        <v>0.10000000000000009</v>
      </c>
      <c r="BE67" s="100">
        <f>+BE68-1</f>
        <v>0.10000000000000009</v>
      </c>
      <c r="BF67" s="100">
        <f>+BF68-1</f>
        <v>0.10000000000000009</v>
      </c>
      <c r="BI67" s="105"/>
    </row>
    <row r="68" spans="53:72">
      <c r="BC68" s="101">
        <v>1.1000000000000001</v>
      </c>
      <c r="BD68" s="101">
        <v>1.1000000000000001</v>
      </c>
      <c r="BE68" s="101">
        <v>1.1000000000000001</v>
      </c>
      <c r="BF68" s="101">
        <v>1.1000000000000001</v>
      </c>
    </row>
    <row r="69" spans="53:72">
      <c r="BA69" s="4"/>
      <c r="BB69" s="90" t="s">
        <v>288</v>
      </c>
      <c r="BC69" s="90" t="s">
        <v>10</v>
      </c>
      <c r="BD69" s="90" t="s">
        <v>11</v>
      </c>
      <c r="BE69" s="90" t="s">
        <v>12</v>
      </c>
      <c r="BF69" s="90" t="s">
        <v>13</v>
      </c>
      <c r="BH69" s="103"/>
      <c r="BI69" s="104" t="s">
        <v>288</v>
      </c>
      <c r="BJ69" s="104" t="s">
        <v>10</v>
      </c>
      <c r="BK69" s="104" t="s">
        <v>11</v>
      </c>
      <c r="BL69" s="104" t="s">
        <v>12</v>
      </c>
      <c r="BM69" s="104" t="s">
        <v>13</v>
      </c>
    </row>
    <row r="70" spans="53:72">
      <c r="BA70" s="94" t="s">
        <v>299</v>
      </c>
      <c r="BB70" s="89">
        <f>+BB61</f>
        <v>5700</v>
      </c>
      <c r="BC70" s="89">
        <f>+BC61</f>
        <v>5700</v>
      </c>
      <c r="BD70" s="89">
        <f>+BD61</f>
        <v>5700</v>
      </c>
      <c r="BE70" s="89">
        <f>+BE61</f>
        <v>5700</v>
      </c>
      <c r="BF70" s="89">
        <f>+BF61</f>
        <v>5700</v>
      </c>
      <c r="BH70" s="94" t="s">
        <v>297</v>
      </c>
      <c r="BI70" s="89">
        <v>1</v>
      </c>
      <c r="BJ70" s="89">
        <f>+BI70</f>
        <v>1</v>
      </c>
      <c r="BK70" s="89">
        <f>+BJ70</f>
        <v>1</v>
      </c>
      <c r="BL70" s="89">
        <f>+BK70</f>
        <v>1</v>
      </c>
      <c r="BM70" s="89">
        <f>+BL70</f>
        <v>1</v>
      </c>
    </row>
    <row r="71" spans="53:72">
      <c r="BA71" s="73" t="s">
        <v>300</v>
      </c>
      <c r="BB71" s="91">
        <v>15000</v>
      </c>
      <c r="BC71" s="58">
        <f>+BB71*BC68</f>
        <v>16500</v>
      </c>
      <c r="BD71" s="58">
        <f>+BC71*BD68</f>
        <v>18150</v>
      </c>
      <c r="BE71" s="58">
        <f>+BD71*BE68</f>
        <v>19965</v>
      </c>
      <c r="BF71" s="58">
        <f>+BE71*BF68</f>
        <v>21961.5</v>
      </c>
      <c r="BH71" s="73" t="s">
        <v>298</v>
      </c>
      <c r="BI71" s="91">
        <f>+BC4</f>
        <v>2295000</v>
      </c>
      <c r="BJ71" s="58">
        <f>+BI71*BJ50</f>
        <v>2386800</v>
      </c>
      <c r="BK71" s="58">
        <f>+BJ71*BK50</f>
        <v>2482272</v>
      </c>
      <c r="BL71" s="58">
        <f>+BK71*BL50</f>
        <v>2581562.88</v>
      </c>
      <c r="BM71" s="58">
        <f>+BL71*BM50</f>
        <v>2684825.3952000001</v>
      </c>
    </row>
    <row r="72" spans="53:72">
      <c r="BA72" t="s">
        <v>301</v>
      </c>
      <c r="BB72" s="2">
        <v>0.35</v>
      </c>
      <c r="BC72" s="2">
        <v>0.4</v>
      </c>
      <c r="BD72" s="2">
        <v>0.4</v>
      </c>
      <c r="BE72" s="2">
        <v>0.4</v>
      </c>
      <c r="BF72" s="2">
        <v>0.4</v>
      </c>
      <c r="BH72" t="s">
        <v>293</v>
      </c>
      <c r="BI72" s="58">
        <f>+BI70*BI71</f>
        <v>2295000</v>
      </c>
      <c r="BJ72" s="58">
        <f>+BJ70*BJ71</f>
        <v>2386800</v>
      </c>
      <c r="BK72" s="58">
        <f>+BK70*BK71</f>
        <v>2482272</v>
      </c>
      <c r="BL72" s="58">
        <f>+BL70*BL71</f>
        <v>2581562.88</v>
      </c>
      <c r="BM72" s="58">
        <f>+BM70*BM71</f>
        <v>2684825.3952000001</v>
      </c>
    </row>
    <row r="73" spans="53:72">
      <c r="BA73" t="s">
        <v>302</v>
      </c>
      <c r="BB73" s="58">
        <f>+BB71*BB72</f>
        <v>5250</v>
      </c>
      <c r="BC73" s="58">
        <f>+BC71*BC72</f>
        <v>6600</v>
      </c>
      <c r="BD73" s="58">
        <f>+BD71*BD72</f>
        <v>7260</v>
      </c>
      <c r="BE73" s="58">
        <f>+BE71*BE72</f>
        <v>7986</v>
      </c>
      <c r="BF73" s="58">
        <f>+BF71*BF72</f>
        <v>8784.6</v>
      </c>
      <c r="BO73" s="109"/>
      <c r="BP73" s="109"/>
      <c r="BQ73" s="109"/>
      <c r="BR73" s="109"/>
      <c r="BS73" s="109"/>
      <c r="BT73" s="109"/>
    </row>
    <row r="74" spans="53:72">
      <c r="BA74" t="s">
        <v>293</v>
      </c>
      <c r="BB74" s="58">
        <f>+BB75/12</f>
        <v>2493750</v>
      </c>
      <c r="BC74" s="58">
        <f>+BC75/12</f>
        <v>3135000</v>
      </c>
      <c r="BD74" s="58">
        <f>+BD75/12</f>
        <v>3448500</v>
      </c>
      <c r="BE74" s="58">
        <f>+BE75/12</f>
        <v>3793350</v>
      </c>
      <c r="BF74" s="58">
        <f>+BF75/12</f>
        <v>4172685</v>
      </c>
    </row>
    <row r="75" spans="53:72">
      <c r="BA75" s="4" t="s">
        <v>294</v>
      </c>
      <c r="BB75" s="92">
        <f>+BB70*BB73</f>
        <v>29925000</v>
      </c>
      <c r="BC75" s="92">
        <f>+BC70*BC73</f>
        <v>37620000</v>
      </c>
      <c r="BD75" s="92">
        <f>+BD70*BD73</f>
        <v>41382000</v>
      </c>
      <c r="BE75" s="92">
        <f>+BE70*BE73</f>
        <v>45520200</v>
      </c>
      <c r="BF75" s="92">
        <f>+BF70*BF73</f>
        <v>50072220</v>
      </c>
      <c r="BH75" s="4" t="s">
        <v>294</v>
      </c>
      <c r="BI75" s="92">
        <f>+BI72*12</f>
        <v>27540000</v>
      </c>
      <c r="BJ75" s="92">
        <f>+BJ72*12</f>
        <v>28641600</v>
      </c>
      <c r="BK75" s="92">
        <f>+BK72*12</f>
        <v>29787264</v>
      </c>
      <c r="BL75" s="92">
        <f>+BL72*12</f>
        <v>30978754.559999999</v>
      </c>
      <c r="BM75" s="92">
        <f>+BM72*12</f>
        <v>32217904.742400002</v>
      </c>
      <c r="BO75" s="110">
        <f>+BB75-BI75</f>
        <v>2385000</v>
      </c>
      <c r="BP75" s="110">
        <f>+BC75-BJ75</f>
        <v>8978400</v>
      </c>
      <c r="BQ75" s="110">
        <f>+BD75-BK75</f>
        <v>11594736</v>
      </c>
      <c r="BR75" s="110">
        <f>+BE75-BL75</f>
        <v>14541445.440000001</v>
      </c>
      <c r="BS75" s="110">
        <f>+BF75-BM75</f>
        <v>17854315.257599998</v>
      </c>
      <c r="BT75" s="109"/>
    </row>
    <row r="76" spans="53:72">
      <c r="BH76" t="s">
        <v>295</v>
      </c>
      <c r="BI76" s="58">
        <f t="shared" ref="BI76:BM77" si="19">+BI75/BB70</f>
        <v>4831.5789473684208</v>
      </c>
      <c r="BJ76" s="58">
        <f t="shared" si="19"/>
        <v>5024.8421052631575</v>
      </c>
      <c r="BK76" s="58">
        <f t="shared" si="19"/>
        <v>5225.8357894736846</v>
      </c>
      <c r="BL76" s="58">
        <f t="shared" si="19"/>
        <v>5434.8692210526315</v>
      </c>
      <c r="BM76" s="58">
        <f t="shared" si="19"/>
        <v>5652.2639898947373</v>
      </c>
      <c r="BO76" s="105">
        <f>+BO75/BB75</f>
        <v>7.9699248120300756E-2</v>
      </c>
      <c r="BP76" s="105">
        <f>+BP75/BC75</f>
        <v>0.23866028708133971</v>
      </c>
      <c r="BQ76" s="105">
        <f>+BQ75/BD75</f>
        <v>0.28018790778599389</v>
      </c>
      <c r="BR76" s="105">
        <f>+BR75/BE75</f>
        <v>0.31945038554312155</v>
      </c>
      <c r="BS76" s="105">
        <f>+BS75/BF75</f>
        <v>0.35657127360440577</v>
      </c>
      <c r="BT76" s="121"/>
    </row>
    <row r="77" spans="53:72">
      <c r="BC77" s="100">
        <f>+BC78-1</f>
        <v>0.10000000000000009</v>
      </c>
      <c r="BD77" s="100">
        <f>+BD78-1</f>
        <v>0.10000000000000009</v>
      </c>
      <c r="BE77" s="100">
        <f>+BE78-1</f>
        <v>0.10000000000000009</v>
      </c>
      <c r="BF77" s="100">
        <f>+BF78-1</f>
        <v>0.10000000000000009</v>
      </c>
      <c r="BI77" s="105">
        <f t="shared" si="19"/>
        <v>0.32210526315789473</v>
      </c>
      <c r="BJ77" s="105">
        <f t="shared" si="19"/>
        <v>0.3045358851674641</v>
      </c>
      <c r="BK77" s="105">
        <f t="shared" si="19"/>
        <v>0.28792483688560244</v>
      </c>
      <c r="BL77" s="105">
        <f t="shared" si="19"/>
        <v>0.27221984578275138</v>
      </c>
      <c r="BM77" s="105">
        <f t="shared" si="19"/>
        <v>0.25737149055823771</v>
      </c>
    </row>
    <row r="78" spans="53:72">
      <c r="BC78" s="101">
        <v>1.1000000000000001</v>
      </c>
      <c r="BD78" s="101">
        <v>1.1000000000000001</v>
      </c>
      <c r="BE78" s="101">
        <v>1.1000000000000001</v>
      </c>
      <c r="BF78" s="101">
        <v>1.1000000000000001</v>
      </c>
    </row>
    <row r="79" spans="53:72">
      <c r="BA79" s="4"/>
      <c r="BB79" s="90" t="s">
        <v>288</v>
      </c>
      <c r="BC79" s="90" t="s">
        <v>10</v>
      </c>
      <c r="BD79" s="90" t="s">
        <v>11</v>
      </c>
      <c r="BE79" s="90" t="s">
        <v>12</v>
      </c>
      <c r="BF79" s="90" t="s">
        <v>13</v>
      </c>
      <c r="BH79" s="103"/>
      <c r="BI79" s="104" t="s">
        <v>288</v>
      </c>
      <c r="BJ79" s="104" t="s">
        <v>10</v>
      </c>
      <c r="BK79" s="104" t="s">
        <v>11</v>
      </c>
      <c r="BL79" s="104" t="s">
        <v>12</v>
      </c>
      <c r="BM79" s="104" t="s">
        <v>13</v>
      </c>
    </row>
    <row r="80" spans="53:72">
      <c r="BA80" s="94" t="s">
        <v>303</v>
      </c>
      <c r="BB80" s="89">
        <v>12</v>
      </c>
      <c r="BC80" s="89">
        <v>12</v>
      </c>
      <c r="BD80" s="89">
        <v>12</v>
      </c>
      <c r="BE80" s="89">
        <v>12</v>
      </c>
      <c r="BF80" s="89">
        <v>12</v>
      </c>
      <c r="BH80" s="94" t="s">
        <v>290</v>
      </c>
      <c r="BI80" s="119">
        <v>0.06</v>
      </c>
      <c r="BJ80" s="119">
        <f>+BI80</f>
        <v>0.06</v>
      </c>
      <c r="BK80" s="119">
        <f>+BJ80</f>
        <v>0.06</v>
      </c>
      <c r="BL80" s="119">
        <f>+BK80</f>
        <v>0.06</v>
      </c>
      <c r="BM80" s="119">
        <f>+BL80</f>
        <v>0.06</v>
      </c>
    </row>
    <row r="81" spans="52:74">
      <c r="AZ81" s="114">
        <f>+BB81*BB80</f>
        <v>120000000</v>
      </c>
      <c r="BA81" s="73" t="s">
        <v>304</v>
      </c>
      <c r="BB81" s="116">
        <v>10000000</v>
      </c>
      <c r="BC81" s="58">
        <f>+BB81*BC78</f>
        <v>11000000</v>
      </c>
      <c r="BD81" s="58">
        <f>+BC81*BD78</f>
        <v>12100000.000000002</v>
      </c>
      <c r="BE81" s="58">
        <f>+BD81*BE78</f>
        <v>13310000.000000004</v>
      </c>
      <c r="BF81" s="58">
        <f>+BE81*BF78</f>
        <v>14641000.000000006</v>
      </c>
      <c r="BH81" s="73" t="s">
        <v>292</v>
      </c>
      <c r="BI81" s="91">
        <f>+BI80*BB83</f>
        <v>2400000</v>
      </c>
      <c r="BJ81" s="91">
        <f>+BJ80*BC83</f>
        <v>2640000</v>
      </c>
      <c r="BK81" s="91">
        <f>+BK80*BD83</f>
        <v>2904000.0000000005</v>
      </c>
      <c r="BL81" s="91">
        <f>+BL80*BE83</f>
        <v>3194400.0000000009</v>
      </c>
      <c r="BM81" s="91">
        <f>+BM80*BF83</f>
        <v>3513840.0000000014</v>
      </c>
    </row>
    <row r="82" spans="52:74">
      <c r="BA82" s="73" t="s">
        <v>269</v>
      </c>
      <c r="BB82" s="115">
        <v>4</v>
      </c>
      <c r="BC82" s="1">
        <v>4</v>
      </c>
      <c r="BD82" s="1">
        <v>4</v>
      </c>
      <c r="BE82" s="1">
        <v>4</v>
      </c>
      <c r="BF82" s="1">
        <v>4</v>
      </c>
      <c r="BH82" t="s">
        <v>293</v>
      </c>
      <c r="BI82" s="58">
        <f>+BI81</f>
        <v>2400000</v>
      </c>
      <c r="BJ82" s="58">
        <f>+BJ81</f>
        <v>2640000</v>
      </c>
      <c r="BK82" s="58">
        <f>+BK81</f>
        <v>2904000.0000000005</v>
      </c>
      <c r="BL82" s="58">
        <f>+BL81</f>
        <v>3194400.0000000009</v>
      </c>
      <c r="BM82" s="58">
        <f>+BM81</f>
        <v>3513840.0000000014</v>
      </c>
    </row>
    <row r="83" spans="52:74">
      <c r="BA83" s="73" t="s">
        <v>293</v>
      </c>
      <c r="BB83" s="68">
        <f>+BB81*BB82</f>
        <v>40000000</v>
      </c>
      <c r="BC83" s="68">
        <f>+BC81*BC82</f>
        <v>44000000</v>
      </c>
      <c r="BD83" s="68">
        <f>+BD81*BD82</f>
        <v>48400000.000000007</v>
      </c>
      <c r="BE83" s="68">
        <f>+BE81*BE82</f>
        <v>53240000.000000015</v>
      </c>
      <c r="BF83" s="68">
        <f>+BF81*BF82</f>
        <v>58564000.000000022</v>
      </c>
    </row>
    <row r="84" spans="52:74">
      <c r="BA84" s="4" t="s">
        <v>294</v>
      </c>
      <c r="BB84" s="92">
        <f>+BB80*BB83</f>
        <v>480000000</v>
      </c>
      <c r="BC84" s="92">
        <f>+BC80*BC83</f>
        <v>528000000</v>
      </c>
      <c r="BD84" s="92">
        <f>+BD80*BD83</f>
        <v>580800000.00000012</v>
      </c>
      <c r="BE84" s="92">
        <f>+BE80*BE83</f>
        <v>638880000.00000024</v>
      </c>
      <c r="BF84" s="92">
        <f>+BF80*BF83</f>
        <v>702768000.00000024</v>
      </c>
      <c r="BH84" s="4" t="s">
        <v>294</v>
      </c>
      <c r="BI84" s="92">
        <f>+BI82*12</f>
        <v>28800000</v>
      </c>
      <c r="BJ84" s="92">
        <f>+BJ82*12</f>
        <v>31680000</v>
      </c>
      <c r="BK84" s="92">
        <f>+BK82*12</f>
        <v>34848000.000000007</v>
      </c>
      <c r="BL84" s="92">
        <f>+BL82*12</f>
        <v>38332800.000000015</v>
      </c>
      <c r="BM84" s="92">
        <f>+BM82*12</f>
        <v>42166080.000000015</v>
      </c>
      <c r="BO84" s="110">
        <f>+BB84-BI84</f>
        <v>451200000</v>
      </c>
      <c r="BP84" s="110">
        <f>+BC84-BJ84</f>
        <v>496320000</v>
      </c>
      <c r="BQ84" s="110">
        <f>+BD84-BK84</f>
        <v>545952000.00000012</v>
      </c>
      <c r="BR84" s="110">
        <f>+BE84-BL84</f>
        <v>600547200.00000024</v>
      </c>
      <c r="BS84" s="110">
        <f>+BF84-BM84</f>
        <v>660601920.00000024</v>
      </c>
      <c r="BT84" s="109"/>
    </row>
    <row r="85" spans="52:74">
      <c r="BH85" t="s">
        <v>295</v>
      </c>
      <c r="BI85" s="58">
        <f>+BI82/BB82</f>
        <v>600000</v>
      </c>
      <c r="BJ85" s="58">
        <f>+BJ82/BC82</f>
        <v>660000</v>
      </c>
      <c r="BK85" s="58">
        <f>+BK82/BD82</f>
        <v>726000.00000000012</v>
      </c>
      <c r="BL85" s="58">
        <f>+BL82/BE82</f>
        <v>798600.00000000023</v>
      </c>
      <c r="BM85" s="58">
        <f>+BM82/BF82</f>
        <v>878460.00000000035</v>
      </c>
      <c r="BO85" s="105">
        <f>+BO84/BB84</f>
        <v>0.94</v>
      </c>
      <c r="BP85" s="105">
        <f>+BP84/BC84</f>
        <v>0.94</v>
      </c>
      <c r="BQ85" s="105">
        <f>+BQ84/BD84</f>
        <v>0.94000000000000006</v>
      </c>
      <c r="BR85" s="105">
        <f>+BR84/BE84</f>
        <v>0.94000000000000006</v>
      </c>
      <c r="BS85" s="105">
        <f>+BS84/BF84</f>
        <v>0.94000000000000006</v>
      </c>
      <c r="BT85" s="121"/>
    </row>
    <row r="86" spans="52:74">
      <c r="BC86" s="100">
        <f>+BC87-1</f>
        <v>0.10000000000000009</v>
      </c>
      <c r="BD86" s="100">
        <f>+BD87-1</f>
        <v>5.0000000000000044E-2</v>
      </c>
      <c r="BE86" s="100">
        <f>+BE87-1</f>
        <v>5.0000000000000044E-2</v>
      </c>
      <c r="BF86" s="100">
        <f>+BF87-1</f>
        <v>5.0000000000000044E-2</v>
      </c>
      <c r="BI86" s="105">
        <f>+BI85/BB81</f>
        <v>0.06</v>
      </c>
      <c r="BJ86" s="105">
        <f>+BJ85/BC81</f>
        <v>0.06</v>
      </c>
      <c r="BK86" s="105">
        <f>+BK85/BD81</f>
        <v>0.06</v>
      </c>
      <c r="BL86" s="105">
        <f>+BL85/BE81</f>
        <v>0.06</v>
      </c>
      <c r="BM86" s="105">
        <f>+BM85/BF81</f>
        <v>0.06</v>
      </c>
    </row>
    <row r="87" spans="52:74">
      <c r="BC87" s="101">
        <v>1.1000000000000001</v>
      </c>
      <c r="BD87" s="101">
        <v>1.05</v>
      </c>
      <c r="BE87" s="101">
        <v>1.05</v>
      </c>
      <c r="BF87" s="101">
        <v>1.05</v>
      </c>
    </row>
    <row r="88" spans="52:74">
      <c r="BA88" s="4"/>
      <c r="BB88" s="90" t="s">
        <v>288</v>
      </c>
      <c r="BC88" s="90" t="s">
        <v>10</v>
      </c>
      <c r="BD88" s="90" t="s">
        <v>11</v>
      </c>
      <c r="BE88" s="90" t="s">
        <v>12</v>
      </c>
      <c r="BF88" s="90" t="s">
        <v>13</v>
      </c>
      <c r="BH88" s="103"/>
      <c r="BI88" s="104" t="s">
        <v>288</v>
      </c>
      <c r="BJ88" s="104" t="s">
        <v>10</v>
      </c>
      <c r="BK88" s="104" t="s">
        <v>11</v>
      </c>
      <c r="BL88" s="104" t="s">
        <v>12</v>
      </c>
      <c r="BM88" s="104" t="s">
        <v>13</v>
      </c>
    </row>
    <row r="89" spans="52:74">
      <c r="BA89" s="94" t="s">
        <v>305</v>
      </c>
      <c r="BB89" s="89">
        <f>+BB80</f>
        <v>12</v>
      </c>
      <c r="BC89" s="89">
        <f>+BC80</f>
        <v>12</v>
      </c>
      <c r="BD89" s="89">
        <f>+BD80</f>
        <v>12</v>
      </c>
      <c r="BE89" s="89">
        <f>+BE80</f>
        <v>12</v>
      </c>
      <c r="BF89" s="89">
        <f>+BF80</f>
        <v>12</v>
      </c>
      <c r="BH89" s="94" t="s">
        <v>297</v>
      </c>
      <c r="BI89" s="89">
        <v>0</v>
      </c>
      <c r="BJ89" s="89">
        <f>+BI89</f>
        <v>0</v>
      </c>
      <c r="BK89" s="89">
        <f>+BJ89</f>
        <v>0</v>
      </c>
      <c r="BL89" s="89">
        <f>+BK89</f>
        <v>0</v>
      </c>
      <c r="BM89" s="89">
        <f>+BL89</f>
        <v>0</v>
      </c>
    </row>
    <row r="90" spans="52:74">
      <c r="BA90" s="73" t="s">
        <v>306</v>
      </c>
      <c r="BB90" s="91">
        <v>15000000</v>
      </c>
      <c r="BC90" s="58">
        <f>+BB90*BC87</f>
        <v>16500000.000000002</v>
      </c>
      <c r="BD90" s="58">
        <f>+BC90*BD87</f>
        <v>17325000.000000004</v>
      </c>
      <c r="BE90" s="58">
        <f>+BD90*BE87</f>
        <v>18191250.000000004</v>
      </c>
      <c r="BF90" s="58">
        <f>+BE90*BF87</f>
        <v>19100812.500000004</v>
      </c>
      <c r="BH90" s="73" t="s">
        <v>298</v>
      </c>
      <c r="BI90" s="91">
        <f>+BC4</f>
        <v>2295000</v>
      </c>
      <c r="BJ90" s="58">
        <f>+BI90*BJ50</f>
        <v>2386800</v>
      </c>
      <c r="BK90" s="58">
        <f>+BJ90*BK50</f>
        <v>2482272</v>
      </c>
      <c r="BL90" s="58">
        <f>+BK90*BL50</f>
        <v>2581562.88</v>
      </c>
      <c r="BM90" s="58">
        <f>+BL90*BM50</f>
        <v>2684825.3952000001</v>
      </c>
      <c r="BU90" t="s">
        <v>49</v>
      </c>
    </row>
    <row r="91" spans="52:74">
      <c r="BA91" t="s">
        <v>301</v>
      </c>
      <c r="BB91" s="2">
        <v>0.2</v>
      </c>
      <c r="BC91" s="2">
        <v>0.2</v>
      </c>
      <c r="BD91" s="2">
        <v>0.2</v>
      </c>
      <c r="BE91" s="2">
        <v>0.2</v>
      </c>
      <c r="BF91" s="2">
        <v>0.2</v>
      </c>
      <c r="BH91" t="s">
        <v>293</v>
      </c>
      <c r="BI91" s="58">
        <f>+BI89*BI90</f>
        <v>0</v>
      </c>
      <c r="BJ91" s="58">
        <f>+BJ89*BJ90</f>
        <v>0</v>
      </c>
      <c r="BK91" s="58">
        <f>+BK89*BK90</f>
        <v>0</v>
      </c>
      <c r="BL91" s="58">
        <f>+BL89*BL90</f>
        <v>0</v>
      </c>
      <c r="BM91" s="58">
        <f>+BM89*BM90</f>
        <v>0</v>
      </c>
      <c r="BV91" t="s">
        <v>51</v>
      </c>
    </row>
    <row r="92" spans="52:74">
      <c r="BA92" t="s">
        <v>302</v>
      </c>
      <c r="BB92" s="58">
        <f>+BB90*BB91</f>
        <v>3000000</v>
      </c>
      <c r="BC92" s="58">
        <f>+BC90*BC91</f>
        <v>3300000.0000000005</v>
      </c>
      <c r="BD92" s="58">
        <f>+BD90*BD91</f>
        <v>3465000.0000000009</v>
      </c>
      <c r="BE92" s="58">
        <f>+BE90*BE91</f>
        <v>3638250.0000000009</v>
      </c>
      <c r="BF92" s="58">
        <f>+BF90*BF91</f>
        <v>3820162.5000000009</v>
      </c>
      <c r="BU92" s="204" t="s">
        <v>52</v>
      </c>
      <c r="BV92" s="113">
        <v>75295536</v>
      </c>
    </row>
    <row r="93" spans="52:74">
      <c r="BA93" s="4" t="s">
        <v>28</v>
      </c>
      <c r="BB93" s="92">
        <f>+BB89*BB92</f>
        <v>36000000</v>
      </c>
      <c r="BC93" s="92">
        <f>+BC89*BC92</f>
        <v>39600000.000000007</v>
      </c>
      <c r="BD93" s="92">
        <f>+BD89*BD92</f>
        <v>41580000.000000015</v>
      </c>
      <c r="BE93" s="92">
        <f>+BE89*BE92</f>
        <v>43659000.000000015</v>
      </c>
      <c r="BF93" s="92">
        <f>+BF89*BF92</f>
        <v>45841950.000000015</v>
      </c>
      <c r="BH93" s="4" t="s">
        <v>294</v>
      </c>
      <c r="BI93" s="92">
        <f>+BI91*12</f>
        <v>0</v>
      </c>
      <c r="BJ93" s="92">
        <f>+BJ91*12</f>
        <v>0</v>
      </c>
      <c r="BK93" s="92">
        <f>+BK91*12</f>
        <v>0</v>
      </c>
      <c r="BL93" s="92">
        <f>+BL91*12</f>
        <v>0</v>
      </c>
      <c r="BM93" s="92">
        <f>+BM91*12</f>
        <v>0</v>
      </c>
      <c r="BO93" s="110">
        <f>+BB93-BI93</f>
        <v>36000000</v>
      </c>
      <c r="BP93" s="110">
        <f>+BC93-BJ93</f>
        <v>39600000.000000007</v>
      </c>
      <c r="BQ93" s="110">
        <f>+BD93-BK93</f>
        <v>41580000.000000015</v>
      </c>
      <c r="BR93" s="110">
        <f>+BE93-BL93</f>
        <v>43659000.000000015</v>
      </c>
      <c r="BS93" s="110">
        <f>+BF93-BM93</f>
        <v>45841950.000000015</v>
      </c>
      <c r="BT93" s="109"/>
      <c r="BV93" s="86"/>
    </row>
    <row r="94" spans="52:74">
      <c r="BI94" s="98">
        <f>+BI93/BB93</f>
        <v>0</v>
      </c>
      <c r="BJ94" s="98">
        <f>+BJ93/BC93</f>
        <v>0</v>
      </c>
      <c r="BK94" s="98">
        <f>+BK93/BD93</f>
        <v>0</v>
      </c>
      <c r="BL94" s="98">
        <f>+BL93/BE93</f>
        <v>0</v>
      </c>
      <c r="BM94" s="98">
        <f>+BM93/BF93</f>
        <v>0</v>
      </c>
      <c r="BO94" s="105">
        <f>+BO93/BB93</f>
        <v>1</v>
      </c>
      <c r="BP94" s="105">
        <f>+BP93/BC93</f>
        <v>1</v>
      </c>
      <c r="BQ94" s="105">
        <f>+BQ93/BD93</f>
        <v>1</v>
      </c>
      <c r="BR94" s="105">
        <f>+BR93/BE93</f>
        <v>1</v>
      </c>
      <c r="BS94" s="105">
        <f>+BS93/BF93</f>
        <v>1</v>
      </c>
      <c r="BT94" s="121"/>
      <c r="BU94" s="203" t="s">
        <v>55</v>
      </c>
      <c r="BV94" s="202">
        <v>185037720</v>
      </c>
    </row>
    <row r="95" spans="52:74">
      <c r="BC95" s="100">
        <f>+BC96-1</f>
        <v>0.10000000000000009</v>
      </c>
      <c r="BD95" s="100">
        <f>+BD96-1</f>
        <v>0.10000000000000009</v>
      </c>
      <c r="BE95" s="100">
        <f>+BE96-1</f>
        <v>0.10000000000000009</v>
      </c>
      <c r="BF95" s="100">
        <f>+BF96-1</f>
        <v>0.10000000000000009</v>
      </c>
      <c r="BV95" s="86"/>
    </row>
    <row r="96" spans="52:74">
      <c r="BC96" s="101">
        <v>1.1000000000000001</v>
      </c>
      <c r="BD96" s="101">
        <v>1.1000000000000001</v>
      </c>
      <c r="BE96" s="101">
        <v>1.1000000000000001</v>
      </c>
      <c r="BF96" s="101">
        <v>1.1000000000000001</v>
      </c>
      <c r="BU96" s="205" t="s">
        <v>58</v>
      </c>
      <c r="BV96" s="206">
        <v>148030176</v>
      </c>
    </row>
    <row r="97" spans="53:82">
      <c r="BA97" s="4"/>
      <c r="BB97" s="90" t="s">
        <v>288</v>
      </c>
      <c r="BC97" s="90" t="s">
        <v>10</v>
      </c>
      <c r="BD97" s="90" t="s">
        <v>11</v>
      </c>
      <c r="BE97" s="90" t="s">
        <v>12</v>
      </c>
      <c r="BF97" s="90" t="s">
        <v>13</v>
      </c>
      <c r="BH97" s="103"/>
      <c r="BI97" s="104" t="s">
        <v>288</v>
      </c>
      <c r="BJ97" s="104" t="s">
        <v>10</v>
      </c>
      <c r="BK97" s="104" t="s">
        <v>11</v>
      </c>
      <c r="BL97" s="104" t="s">
        <v>12</v>
      </c>
      <c r="BM97" s="104" t="s">
        <v>13</v>
      </c>
      <c r="BU97" t="s">
        <v>60</v>
      </c>
      <c r="BV97" s="201">
        <v>408363432</v>
      </c>
    </row>
    <row r="98" spans="53:82">
      <c r="BA98" s="94" t="s">
        <v>307</v>
      </c>
      <c r="BB98" s="89">
        <v>12</v>
      </c>
      <c r="BC98" s="89">
        <v>12</v>
      </c>
      <c r="BD98" s="89">
        <v>12</v>
      </c>
      <c r="BE98" s="89">
        <v>12</v>
      </c>
      <c r="BF98" s="89">
        <v>12</v>
      </c>
      <c r="BH98" s="94" t="s">
        <v>297</v>
      </c>
      <c r="BI98" s="89">
        <v>1</v>
      </c>
      <c r="BJ98" s="89">
        <f>+BI98</f>
        <v>1</v>
      </c>
      <c r="BK98" s="89">
        <f>+BJ98</f>
        <v>1</v>
      </c>
      <c r="BL98" s="89">
        <f>+BK98</f>
        <v>1</v>
      </c>
      <c r="BM98" s="89">
        <f>+BL98</f>
        <v>1</v>
      </c>
      <c r="BV98" s="86"/>
    </row>
    <row r="99" spans="53:82">
      <c r="BA99" s="73" t="s">
        <v>308</v>
      </c>
      <c r="BB99" s="91">
        <v>1000000</v>
      </c>
      <c r="BC99" s="58">
        <f>+BB99*BC96</f>
        <v>1100000</v>
      </c>
      <c r="BD99" s="58">
        <f>+BC99*BD96</f>
        <v>1210000</v>
      </c>
      <c r="BE99" s="58">
        <f>+BD99*BE96</f>
        <v>1331000</v>
      </c>
      <c r="BF99" s="58">
        <f>+BE99*BF96</f>
        <v>1464100.0000000002</v>
      </c>
      <c r="BH99" s="73" t="s">
        <v>298</v>
      </c>
      <c r="BI99" s="91">
        <f>+BC5</f>
        <v>3825000</v>
      </c>
      <c r="BJ99" s="58">
        <f>+BI99*BJ50</f>
        <v>3978000</v>
      </c>
      <c r="BK99" s="58">
        <f>+BJ99*BK50</f>
        <v>4137120</v>
      </c>
      <c r="BL99" s="58">
        <f>+BK99*BL50</f>
        <v>4302604.8</v>
      </c>
      <c r="BM99" s="58">
        <f>+BL99*BM50</f>
        <v>4474708.9919999996</v>
      </c>
    </row>
    <row r="100" spans="53:82">
      <c r="BA100" s="73" t="s">
        <v>308</v>
      </c>
      <c r="BB100" s="93">
        <v>10</v>
      </c>
      <c r="BC100" s="68">
        <v>10</v>
      </c>
      <c r="BD100" s="68">
        <v>10</v>
      </c>
      <c r="BE100" s="68">
        <v>10</v>
      </c>
      <c r="BF100" s="68">
        <v>10</v>
      </c>
      <c r="BH100" t="s">
        <v>293</v>
      </c>
      <c r="BI100" s="58">
        <f>+BI98*BI99</f>
        <v>3825000</v>
      </c>
      <c r="BJ100" s="58">
        <f>+BJ98*BJ99</f>
        <v>3978000</v>
      </c>
      <c r="BK100" s="58">
        <f>+BK98*BK99</f>
        <v>4137120</v>
      </c>
      <c r="BL100" s="58">
        <f>+BL98*BL99</f>
        <v>4302604.8</v>
      </c>
      <c r="BM100" s="58">
        <f>+BM98*BM99</f>
        <v>4474708.9919999996</v>
      </c>
    </row>
    <row r="101" spans="53:82">
      <c r="BA101" s="73" t="s">
        <v>293</v>
      </c>
      <c r="BB101" s="68">
        <f>+BB99*BB100</f>
        <v>10000000</v>
      </c>
      <c r="BC101" s="68">
        <f>+BC99*BC100</f>
        <v>11000000</v>
      </c>
      <c r="BD101" s="68">
        <f>+BD99*BD100</f>
        <v>12100000</v>
      </c>
      <c r="BE101" s="68">
        <f>+BE99*BE100</f>
        <v>13310000</v>
      </c>
      <c r="BF101" s="68">
        <f>+BF99*BF100</f>
        <v>14641000.000000002</v>
      </c>
    </row>
    <row r="102" spans="53:82">
      <c r="BA102" s="4" t="s">
        <v>294</v>
      </c>
      <c r="BB102" s="92">
        <f>+BB101*BB98</f>
        <v>120000000</v>
      </c>
      <c r="BC102" s="92">
        <f>+BC101*BC98</f>
        <v>132000000</v>
      </c>
      <c r="BD102" s="92">
        <f>+BD101*BD98</f>
        <v>145200000</v>
      </c>
      <c r="BE102" s="92">
        <f>+BE101*BE98</f>
        <v>159720000</v>
      </c>
      <c r="BF102" s="92">
        <f>+BF101*BF98</f>
        <v>175692000.00000003</v>
      </c>
      <c r="BH102" s="4" t="s">
        <v>294</v>
      </c>
      <c r="BI102" s="92">
        <f>+BI100*12</f>
        <v>45900000</v>
      </c>
      <c r="BJ102" s="92">
        <f>+BJ100*12</f>
        <v>47736000</v>
      </c>
      <c r="BK102" s="92">
        <f>+BK100*12</f>
        <v>49645440</v>
      </c>
      <c r="BL102" s="92">
        <f>+BL100*12</f>
        <v>51631257.599999994</v>
      </c>
      <c r="BM102" s="92">
        <f>+BM100*12</f>
        <v>53696507.903999999</v>
      </c>
      <c r="BO102" s="110">
        <f>+BB102-BI102</f>
        <v>74100000</v>
      </c>
      <c r="BP102" s="110">
        <f>+BC102-BJ102</f>
        <v>84264000</v>
      </c>
      <c r="BQ102" s="110">
        <f>+BD102-BK102</f>
        <v>95554560</v>
      </c>
      <c r="BR102" s="110">
        <f>+BE102-BL102</f>
        <v>108088742.40000001</v>
      </c>
      <c r="BS102" s="110">
        <f>+BF102-BM102</f>
        <v>121995492.09600003</v>
      </c>
      <c r="BT102" s="109"/>
    </row>
    <row r="103" spans="53:82">
      <c r="BI103" s="98">
        <f>+BI102/BB102</f>
        <v>0.38250000000000001</v>
      </c>
      <c r="BJ103" s="98">
        <f>+BJ102/BC102</f>
        <v>0.36163636363636364</v>
      </c>
      <c r="BK103" s="98">
        <f>+BK102/BD102</f>
        <v>0.34191074380165287</v>
      </c>
      <c r="BL103" s="98">
        <f>+BL102/BE102</f>
        <v>0.32326106686701722</v>
      </c>
      <c r="BM103" s="98">
        <f>+BM102/BF102</f>
        <v>0.30562864503790721</v>
      </c>
      <c r="BO103" s="105">
        <f>+BO102/BB102</f>
        <v>0.61750000000000005</v>
      </c>
      <c r="BP103" s="105">
        <f>+BP102/BC102</f>
        <v>0.63836363636363636</v>
      </c>
      <c r="BQ103" s="105">
        <f>+BQ102/BD102</f>
        <v>0.65808925619834713</v>
      </c>
      <c r="BR103" s="105">
        <f>+BR102/BE102</f>
        <v>0.67673893313298272</v>
      </c>
      <c r="BS103" s="105">
        <f>+BS102/BF102</f>
        <v>0.69437135496209279</v>
      </c>
      <c r="BT103" s="121"/>
    </row>
    <row r="104" spans="53:82">
      <c r="BX104" s="120"/>
      <c r="BY104" s="101">
        <v>1.04</v>
      </c>
      <c r="BZ104" s="101">
        <v>1.04</v>
      </c>
      <c r="CA104" s="101">
        <v>1.04</v>
      </c>
      <c r="CB104" s="101">
        <v>1.04</v>
      </c>
    </row>
    <row r="105" spans="53:82">
      <c r="BA105" s="106"/>
      <c r="BB105" s="107" t="s">
        <v>288</v>
      </c>
      <c r="BC105" s="107" t="s">
        <v>10</v>
      </c>
      <c r="BD105" s="107" t="s">
        <v>11</v>
      </c>
      <c r="BE105" s="107" t="s">
        <v>12</v>
      </c>
      <c r="BF105" s="107" t="s">
        <v>13</v>
      </c>
      <c r="BH105" s="103"/>
      <c r="BI105" s="104" t="s">
        <v>288</v>
      </c>
      <c r="BJ105" s="104" t="s">
        <v>10</v>
      </c>
      <c r="BK105" s="104" t="s">
        <v>11</v>
      </c>
      <c r="BL105" s="104" t="s">
        <v>12</v>
      </c>
      <c r="BM105" s="104" t="s">
        <v>13</v>
      </c>
      <c r="BV105" s="112" t="s">
        <v>183</v>
      </c>
      <c r="BW105" s="112" t="s">
        <v>19</v>
      </c>
      <c r="BX105" s="112" t="s">
        <v>288</v>
      </c>
      <c r="BY105" s="112" t="s">
        <v>10</v>
      </c>
      <c r="BZ105" s="112" t="s">
        <v>11</v>
      </c>
      <c r="CA105" s="112" t="s">
        <v>12</v>
      </c>
      <c r="CB105" s="112" t="s">
        <v>13</v>
      </c>
    </row>
    <row r="106" spans="53:82">
      <c r="BA106" t="s">
        <v>293</v>
      </c>
      <c r="BB106" s="58">
        <f>+BB107/12</f>
        <v>64993750</v>
      </c>
      <c r="BC106" s="58">
        <f>+BC107/12</f>
        <v>71885000</v>
      </c>
      <c r="BD106" s="58">
        <f>+BD107/12</f>
        <v>78908500.000000015</v>
      </c>
      <c r="BE106" s="58">
        <f>+BE107/12</f>
        <v>86626100.000000015</v>
      </c>
      <c r="BF106" s="58">
        <f>+BF107/12</f>
        <v>95106797.500000015</v>
      </c>
      <c r="BH106" t="s">
        <v>293</v>
      </c>
      <c r="BI106" s="58">
        <f>+BI107/12</f>
        <v>11052500</v>
      </c>
      <c r="BJ106" s="58">
        <f>+BJ107/12</f>
        <v>11652850</v>
      </c>
      <c r="BK106" s="58">
        <f>+BK107/12</f>
        <v>12293039</v>
      </c>
      <c r="BL106" s="58">
        <f>+BL107/12</f>
        <v>12976243.060000002</v>
      </c>
      <c r="BM106" s="58">
        <f>+BM107/12</f>
        <v>13705923.532400003</v>
      </c>
      <c r="BT106">
        <v>1</v>
      </c>
      <c r="BU106" t="s">
        <v>309</v>
      </c>
      <c r="BV106" s="86">
        <f>5000000*1.55</f>
        <v>7750000</v>
      </c>
      <c r="BW106" s="118">
        <f>+BV106*12</f>
        <v>93000000</v>
      </c>
      <c r="BX106" s="202">
        <f>+BW106</f>
        <v>93000000</v>
      </c>
      <c r="BY106" s="86">
        <f>+BX106*BY104</f>
        <v>96720000</v>
      </c>
      <c r="BZ106" s="86">
        <f>+BY106*BZ104</f>
        <v>100588800</v>
      </c>
      <c r="CA106" s="86">
        <f>+BZ106*CA104</f>
        <v>104612352</v>
      </c>
      <c r="CB106" s="86">
        <f>+CA106*CB104</f>
        <v>108796846.08</v>
      </c>
      <c r="CC106" t="s">
        <v>310</v>
      </c>
      <c r="CD106">
        <v>1</v>
      </c>
    </row>
    <row r="107" spans="53:82">
      <c r="BA107" t="s">
        <v>294</v>
      </c>
      <c r="BB107" s="58">
        <f>+BB55+BB64+BB75+BB84+BB93+BB102</f>
        <v>779925000</v>
      </c>
      <c r="BC107" s="58">
        <f>+BC55+BC64+BC75+BC84+BC93+BC102</f>
        <v>862620000</v>
      </c>
      <c r="BD107" s="58">
        <f>+BD55+BD64+BD75+BD84+BD93+BD102</f>
        <v>946902000.00000012</v>
      </c>
      <c r="BE107" s="58">
        <f>+BE55+BE64+BE75+BE84+BE93+BE102</f>
        <v>1039513200.0000002</v>
      </c>
      <c r="BF107" s="58">
        <f>+BF55+BF64+BF75+BF84+BF93+BF102</f>
        <v>1141281570.0000002</v>
      </c>
      <c r="BH107" t="s">
        <v>294</v>
      </c>
      <c r="BI107" s="58">
        <f>+BI55+BI64+BI75+BI84+BI93+BI102</f>
        <v>132630000</v>
      </c>
      <c r="BJ107" s="58">
        <f>+BJ55+BJ64+BJ75+BJ84+BJ93+BJ102</f>
        <v>139834200</v>
      </c>
      <c r="BK107" s="58">
        <f>+BK55+BK64+BK75+BK84+BK93+BK102</f>
        <v>147516468</v>
      </c>
      <c r="BL107" s="58">
        <f>+BL55+BL64+BL75+BL84+BL93+BL102</f>
        <v>155714916.72000003</v>
      </c>
      <c r="BM107" s="58">
        <f>+BM55+BM64+BM75+BM84+BM93+BM102</f>
        <v>164471082.38880002</v>
      </c>
      <c r="BT107">
        <v>1</v>
      </c>
      <c r="BU107" t="s">
        <v>311</v>
      </c>
      <c r="BV107" s="95">
        <f>+BV106</f>
        <v>7750000</v>
      </c>
      <c r="BW107" s="118">
        <f>+BV107*12</f>
        <v>93000000</v>
      </c>
      <c r="BX107" s="202">
        <f>+BW107</f>
        <v>93000000</v>
      </c>
      <c r="BY107" s="86">
        <f>+BX107*BY104</f>
        <v>96720000</v>
      </c>
      <c r="BZ107" s="86">
        <f>+BY107*BZ104</f>
        <v>100588800</v>
      </c>
      <c r="CA107" s="86">
        <f>+BZ107*CA104</f>
        <v>104612352</v>
      </c>
      <c r="CB107" s="86">
        <f>+CA107*CB104</f>
        <v>108796846.08</v>
      </c>
      <c r="CC107" t="s">
        <v>310</v>
      </c>
      <c r="CD107">
        <v>1</v>
      </c>
    </row>
    <row r="108" spans="53:82">
      <c r="BB108" s="102">
        <f>+'[1]1'!B32</f>
        <v>779925000</v>
      </c>
      <c r="BC108" s="102">
        <f>+'[1]1'!C32</f>
        <v>892234200</v>
      </c>
      <c r="BD108" s="102">
        <f>+'[1]1'!D32</f>
        <v>1018574356.8000002</v>
      </c>
      <c r="BE108" s="102">
        <f>+'[1]1'!E32</f>
        <v>1162910471.9232004</v>
      </c>
      <c r="BF108" s="102">
        <f>+'[1]1'!F32</f>
        <v>1327815837.1365893</v>
      </c>
      <c r="BI108" s="102">
        <f>+'[1]1'!B33</f>
        <v>132630000</v>
      </c>
      <c r="BJ108" s="102">
        <f>+'[1]1'!C33</f>
        <v>145893000.00000003</v>
      </c>
      <c r="BK108" s="102">
        <f>+'[1]1'!D33</f>
        <v>160482300.00000006</v>
      </c>
      <c r="BL108" s="102">
        <f>+'[1]1'!E33</f>
        <v>176530530.00000006</v>
      </c>
      <c r="BM108" s="102">
        <f>+'[1]1'!F33</f>
        <v>194183583.00000006</v>
      </c>
      <c r="BO108" s="110">
        <f>+BB108-BI108</f>
        <v>647295000</v>
      </c>
      <c r="BP108" s="110">
        <f>+BC108-BJ108</f>
        <v>746341200</v>
      </c>
      <c r="BQ108" s="110">
        <f>+BD108-BK108</f>
        <v>858092056.80000019</v>
      </c>
      <c r="BR108" s="110">
        <f>+BE108-BL108</f>
        <v>986379941.92320037</v>
      </c>
      <c r="BS108" s="110">
        <f>+BF108-BM108</f>
        <v>1133632254.1365893</v>
      </c>
      <c r="BT108">
        <v>1</v>
      </c>
      <c r="BU108" t="s">
        <v>312</v>
      </c>
      <c r="BV108" s="86">
        <f>3000000*1.55</f>
        <v>4650000</v>
      </c>
      <c r="BW108" s="86">
        <f>+BV108*12</f>
        <v>55800000</v>
      </c>
      <c r="BX108" s="113">
        <f>+BV108*4</f>
        <v>18600000</v>
      </c>
      <c r="BY108" s="113">
        <f>+BV108*BY104*4</f>
        <v>19344000</v>
      </c>
      <c r="BZ108" s="86">
        <f>+BW108*BZ104</f>
        <v>58032000</v>
      </c>
      <c r="CA108" s="86">
        <f>+BZ108*CA104</f>
        <v>60353280</v>
      </c>
      <c r="CB108" s="86">
        <f>+CA108*CB104</f>
        <v>62767411.200000003</v>
      </c>
      <c r="CC108" t="s">
        <v>313</v>
      </c>
      <c r="CD108">
        <v>1</v>
      </c>
    </row>
    <row r="109" spans="53:82">
      <c r="BB109" s="58">
        <f>+BB107-BB108</f>
        <v>0</v>
      </c>
      <c r="BC109" s="58">
        <f>+BC107-BC108</f>
        <v>-29614200</v>
      </c>
      <c r="BD109" s="58">
        <f>+BD107-BD108</f>
        <v>-71672356.800000072</v>
      </c>
      <c r="BE109" s="58">
        <f>+BE107-BE108</f>
        <v>-123397271.92320013</v>
      </c>
      <c r="BF109" s="58">
        <f>+BF107-BF108</f>
        <v>-186534267.13658905</v>
      </c>
      <c r="BI109" s="58">
        <f>+BI107-BI108</f>
        <v>0</v>
      </c>
      <c r="BJ109" s="58">
        <f>+BJ107-BJ108</f>
        <v>-6058800.0000000298</v>
      </c>
      <c r="BK109" s="58">
        <f>+BK107-BK108</f>
        <v>-12965832.00000006</v>
      </c>
      <c r="BL109" s="58">
        <f>+BL107-BL108</f>
        <v>-20815613.280000031</v>
      </c>
      <c r="BM109" s="58">
        <f>+BM107-BM108</f>
        <v>-29712500.611200035</v>
      </c>
      <c r="BO109" s="105">
        <f>+BO108/BB108</f>
        <v>0.82994518703721509</v>
      </c>
      <c r="BP109" s="105">
        <f>+BP108/BC108</f>
        <v>0.83648575676655301</v>
      </c>
      <c r="BQ109" s="105">
        <f>+BQ108/BD108</f>
        <v>0.84244419768805245</v>
      </c>
      <c r="BR109" s="105">
        <f>+BR108/BE108</f>
        <v>0.84819938055243671</v>
      </c>
      <c r="BS109" s="105">
        <f>+BS108/BF108</f>
        <v>0.8537571419401403</v>
      </c>
      <c r="BT109">
        <v>1</v>
      </c>
      <c r="BU109" t="s">
        <v>314</v>
      </c>
      <c r="BV109" s="86">
        <f>3000000*1.55</f>
        <v>4650000</v>
      </c>
      <c r="BW109" s="86">
        <f>+BV109*12</f>
        <v>55800000</v>
      </c>
      <c r="BX109" s="113">
        <f>+BW109</f>
        <v>55800000</v>
      </c>
      <c r="BY109" s="86">
        <f>+BW109*BY104</f>
        <v>58032000</v>
      </c>
      <c r="BZ109" s="86">
        <f>+BY109*BZ104</f>
        <v>60353280</v>
      </c>
      <c r="CA109" s="86">
        <f>+BZ109*CA104</f>
        <v>62767411.200000003</v>
      </c>
      <c r="CB109" s="86">
        <f>+CA109*CB104</f>
        <v>65278107.648000002</v>
      </c>
      <c r="CC109" t="s">
        <v>313</v>
      </c>
      <c r="CD109">
        <v>1</v>
      </c>
    </row>
    <row r="110" spans="53:82">
      <c r="BB110" s="58"/>
      <c r="BC110" s="58"/>
      <c r="BD110" s="58"/>
      <c r="BE110" s="58"/>
      <c r="BF110" s="58"/>
      <c r="BI110" s="58"/>
      <c r="BJ110" s="58"/>
      <c r="BK110" s="58"/>
      <c r="BL110" s="58"/>
      <c r="BM110" s="58"/>
      <c r="BO110" s="105"/>
      <c r="BP110" s="105"/>
      <c r="BQ110" s="105"/>
      <c r="BR110" s="105"/>
      <c r="BS110" s="105"/>
      <c r="BT110">
        <v>1</v>
      </c>
      <c r="BU110" t="s">
        <v>315</v>
      </c>
      <c r="BV110" s="86"/>
      <c r="BW110" s="86"/>
      <c r="BX110" s="118"/>
      <c r="BY110" s="86"/>
      <c r="BZ110" s="86"/>
      <c r="CA110" s="86"/>
      <c r="CB110" s="86"/>
    </row>
    <row r="111" spans="53:82">
      <c r="BT111">
        <v>1</v>
      </c>
      <c r="BU111" s="117" t="s">
        <v>316</v>
      </c>
      <c r="BV111" s="86">
        <f>3000000*1.55</f>
        <v>4650000</v>
      </c>
      <c r="BW111" s="86">
        <f>+BV111*12</f>
        <v>55800000</v>
      </c>
      <c r="BX111" s="206">
        <f>+BW111</f>
        <v>55800000</v>
      </c>
      <c r="BY111" s="113">
        <f>+BV111*BY104*4</f>
        <v>19344000</v>
      </c>
      <c r="BZ111" s="86">
        <f>+BW111*BZ104</f>
        <v>58032000</v>
      </c>
      <c r="CA111" s="86">
        <f>+BZ111*CA104</f>
        <v>60353280</v>
      </c>
      <c r="CB111" s="86">
        <f>+CA111*CB104</f>
        <v>62767411.200000003</v>
      </c>
      <c r="CC111" t="s">
        <v>317</v>
      </c>
      <c r="CD111">
        <v>1</v>
      </c>
    </row>
    <row r="112" spans="53:82">
      <c r="BT112">
        <v>1</v>
      </c>
      <c r="BU112" s="117" t="s">
        <v>318</v>
      </c>
      <c r="BV112" s="86">
        <f>3000000*1.55</f>
        <v>4650000</v>
      </c>
      <c r="BW112" s="86">
        <f>+BV112*12</f>
        <v>55800000</v>
      </c>
      <c r="BX112" s="206">
        <f>+BW112</f>
        <v>55800000</v>
      </c>
      <c r="BY112" s="113">
        <f>+BV112*BY104*4</f>
        <v>19344000</v>
      </c>
      <c r="BZ112" s="86">
        <f>+BW112*BZ104</f>
        <v>58032000</v>
      </c>
      <c r="CA112" s="86">
        <f>+BZ112*CA104</f>
        <v>60353280</v>
      </c>
      <c r="CB112" s="86">
        <f>+CA112*CB104</f>
        <v>62767411.200000003</v>
      </c>
      <c r="CC112" t="s">
        <v>317</v>
      </c>
      <c r="CD112">
        <v>1</v>
      </c>
    </row>
    <row r="113" spans="59:82">
      <c r="BT113">
        <v>1</v>
      </c>
      <c r="BU113" s="117" t="s">
        <v>319</v>
      </c>
      <c r="BV113" s="86">
        <f>3000000*1.55</f>
        <v>4650000</v>
      </c>
      <c r="BW113" s="86">
        <f>+BV113*12</f>
        <v>55800000</v>
      </c>
      <c r="BX113" s="206">
        <f>+BW113</f>
        <v>55800000</v>
      </c>
      <c r="BY113" s="86">
        <f>+BX113*BY104</f>
        <v>58032000</v>
      </c>
      <c r="BZ113" s="86">
        <f>+BY113*BZ104</f>
        <v>60353280</v>
      </c>
      <c r="CA113" s="86">
        <f>+BZ113*CA104</f>
        <v>62767411.200000003</v>
      </c>
      <c r="CB113" s="86">
        <f>+CA113*CB104</f>
        <v>65278107.648000002</v>
      </c>
      <c r="CC113" t="s">
        <v>317</v>
      </c>
      <c r="CD113">
        <v>1</v>
      </c>
    </row>
    <row r="114" spans="59:82">
      <c r="BG114" s="2">
        <v>0.03</v>
      </c>
      <c r="BH114" t="s">
        <v>320</v>
      </c>
      <c r="BI114" s="86">
        <f>+BB107*$BG$114</f>
        <v>23397750</v>
      </c>
      <c r="BJ114" s="86">
        <f>+BC107*$BG$114</f>
        <v>25878600</v>
      </c>
      <c r="BK114" s="86">
        <f>+BD107*$BG$114</f>
        <v>28407060.000000004</v>
      </c>
      <c r="BL114" s="86">
        <f>+BE107*$BG$114</f>
        <v>31185396.000000007</v>
      </c>
      <c r="BM114" s="86">
        <f>+BF107*$BG$114</f>
        <v>34238447.100000009</v>
      </c>
      <c r="BT114">
        <v>1</v>
      </c>
      <c r="BU114" s="117" t="s">
        <v>321</v>
      </c>
      <c r="BV114" s="86">
        <f>(3000000*1.55)*1</f>
        <v>4650000</v>
      </c>
      <c r="BW114" s="86">
        <f>+BV114*12</f>
        <v>55800000</v>
      </c>
      <c r="BX114" s="206">
        <f>+BW114</f>
        <v>55800000</v>
      </c>
      <c r="BY114" s="86">
        <f>+BX114*BY104</f>
        <v>58032000</v>
      </c>
      <c r="BZ114" s="86">
        <f>+BY114*BZ104</f>
        <v>60353280</v>
      </c>
      <c r="CA114" s="86">
        <f>+BZ114*CA104</f>
        <v>62767411.200000003</v>
      </c>
      <c r="CB114" s="86">
        <f>+CA114*CB104</f>
        <v>65278107.648000002</v>
      </c>
      <c r="CC114" t="s">
        <v>317</v>
      </c>
      <c r="CD114">
        <v>1</v>
      </c>
    </row>
    <row r="115" spans="59:82">
      <c r="BT115">
        <f>SUM(BT106:BT114)</f>
        <v>9</v>
      </c>
      <c r="BV115" s="96">
        <f t="shared" ref="BV115:CB115" si="20">SUM(BV106:BV114)</f>
        <v>43400000</v>
      </c>
      <c r="BW115" s="96">
        <f t="shared" si="20"/>
        <v>520800000</v>
      </c>
      <c r="BX115" s="207">
        <f t="shared" si="20"/>
        <v>483600000</v>
      </c>
      <c r="BY115" s="96">
        <f t="shared" si="20"/>
        <v>425568000</v>
      </c>
      <c r="BZ115" s="96">
        <f t="shared" si="20"/>
        <v>556333440</v>
      </c>
      <c r="CA115" s="96">
        <f t="shared" si="20"/>
        <v>578586777.60000002</v>
      </c>
      <c r="CB115" s="96">
        <f t="shared" si="20"/>
        <v>601730248.704</v>
      </c>
    </row>
    <row r="116" spans="59:82">
      <c r="BV116" s="86">
        <f>+BW116/12</f>
        <v>5425000</v>
      </c>
      <c r="BW116" s="86">
        <f>+BW115/8</f>
        <v>65100000</v>
      </c>
    </row>
    <row r="118" spans="59:82">
      <c r="BU118">
        <v>200</v>
      </c>
      <c r="BV118" s="86">
        <v>100000</v>
      </c>
      <c r="BW118" s="95">
        <f>+BU118*BV118</f>
        <v>20000000</v>
      </c>
    </row>
  </sheetData>
  <mergeCells count="46">
    <mergeCell ref="AV4:AY4"/>
    <mergeCell ref="AV3:AY3"/>
    <mergeCell ref="I2:W2"/>
    <mergeCell ref="X2:Z2"/>
    <mergeCell ref="F2:H2"/>
    <mergeCell ref="AB3:AE3"/>
    <mergeCell ref="AF3:AI3"/>
    <mergeCell ref="D3:G3"/>
    <mergeCell ref="H3:K3"/>
    <mergeCell ref="T3:W3"/>
    <mergeCell ref="D4:G4"/>
    <mergeCell ref="H4:K4"/>
    <mergeCell ref="L4:O4"/>
    <mergeCell ref="P4:S4"/>
    <mergeCell ref="T4:W4"/>
    <mergeCell ref="L3:O3"/>
    <mergeCell ref="AS47:AU47"/>
    <mergeCell ref="AV47:AX47"/>
    <mergeCell ref="I47:W47"/>
    <mergeCell ref="AD47:AR47"/>
    <mergeCell ref="F37:H37"/>
    <mergeCell ref="X37:Z37"/>
    <mergeCell ref="AA37:AC37"/>
    <mergeCell ref="F47:H47"/>
    <mergeCell ref="X47:Z47"/>
    <mergeCell ref="AA47:AC47"/>
    <mergeCell ref="AS37:AU37"/>
    <mergeCell ref="AV37:AX37"/>
    <mergeCell ref="I37:W37"/>
    <mergeCell ref="AD37:AR37"/>
    <mergeCell ref="P3:S3"/>
    <mergeCell ref="BB1:BF1"/>
    <mergeCell ref="AD2:AR2"/>
    <mergeCell ref="AB4:AE4"/>
    <mergeCell ref="AF4:AI4"/>
    <mergeCell ref="AN4:AQ4"/>
    <mergeCell ref="AR4:AU4"/>
    <mergeCell ref="AN3:AQ3"/>
    <mergeCell ref="AR3:AU3"/>
    <mergeCell ref="AJ3:AM3"/>
    <mergeCell ref="AA2:AC2"/>
    <mergeCell ref="X3:AA3"/>
    <mergeCell ref="X4:AA4"/>
    <mergeCell ref="AS2:AU2"/>
    <mergeCell ref="AV2:AX2"/>
    <mergeCell ref="AJ4:AM4"/>
  </mergeCells>
  <conditionalFormatting sqref="C8 AD8:AR8">
    <cfRule type="duplicateValues" dxfId="63" priority="17"/>
  </conditionalFormatting>
  <conditionalFormatting sqref="C9 AD9:AR9">
    <cfRule type="duplicateValues" dxfId="62" priority="18"/>
  </conditionalFormatting>
  <conditionalFormatting sqref="C10 AD10:AR10">
    <cfRule type="duplicateValues" dxfId="61" priority="19"/>
  </conditionalFormatting>
  <conditionalFormatting sqref="C11 AD11:AR11">
    <cfRule type="duplicateValues" dxfId="60" priority="20"/>
  </conditionalFormatting>
  <conditionalFormatting sqref="C12 AD12:AR12">
    <cfRule type="duplicateValues" dxfId="59" priority="21"/>
  </conditionalFormatting>
  <conditionalFormatting sqref="C13 AD13:AR13">
    <cfRule type="duplicateValues" dxfId="58" priority="22"/>
  </conditionalFormatting>
  <conditionalFormatting sqref="C14 AD14:AR14">
    <cfRule type="duplicateValues" dxfId="57" priority="23"/>
  </conditionalFormatting>
  <conditionalFormatting sqref="C15 AD15:AR15">
    <cfRule type="duplicateValues" dxfId="56" priority="24"/>
  </conditionalFormatting>
  <conditionalFormatting sqref="C16 AD16:AR16">
    <cfRule type="duplicateValues" dxfId="55" priority="25"/>
  </conditionalFormatting>
  <conditionalFormatting sqref="C17 AD17:AR17">
    <cfRule type="duplicateValues" dxfId="54" priority="26"/>
  </conditionalFormatting>
  <conditionalFormatting sqref="C18 AD18:AR18">
    <cfRule type="duplicateValues" dxfId="53" priority="27"/>
  </conditionalFormatting>
  <conditionalFormatting sqref="C19 AD19:AR19">
    <cfRule type="duplicateValues" dxfId="52" priority="28"/>
  </conditionalFormatting>
  <conditionalFormatting sqref="C20 AD20:AR20">
    <cfRule type="duplicateValues" dxfId="51" priority="29"/>
  </conditionalFormatting>
  <conditionalFormatting sqref="C21 AD21:AR21">
    <cfRule type="duplicateValues" dxfId="50" priority="30"/>
  </conditionalFormatting>
  <conditionalFormatting sqref="C22 AD22:AR22">
    <cfRule type="duplicateValues" dxfId="49" priority="31"/>
  </conditionalFormatting>
  <conditionalFormatting sqref="C23 AD23:AR23">
    <cfRule type="duplicateValues" dxfId="48" priority="32"/>
  </conditionalFormatting>
  <conditionalFormatting sqref="I8:W8">
    <cfRule type="duplicateValues" dxfId="47" priority="1"/>
  </conditionalFormatting>
  <conditionalFormatting sqref="I9:W9">
    <cfRule type="duplicateValues" dxfId="46" priority="2"/>
  </conditionalFormatting>
  <conditionalFormatting sqref="I10:W10">
    <cfRule type="duplicateValues" dxfId="45" priority="3"/>
  </conditionalFormatting>
  <conditionalFormatting sqref="I11:W11">
    <cfRule type="duplicateValues" dxfId="44" priority="4"/>
  </conditionalFormatting>
  <conditionalFormatting sqref="I12:W12">
    <cfRule type="duplicateValues" dxfId="43" priority="5"/>
  </conditionalFormatting>
  <conditionalFormatting sqref="I13:W13">
    <cfRule type="duplicateValues" dxfId="42" priority="6"/>
  </conditionalFormatting>
  <conditionalFormatting sqref="I14:W14">
    <cfRule type="duplicateValues" dxfId="41" priority="7"/>
  </conditionalFormatting>
  <conditionalFormatting sqref="I15:W15">
    <cfRule type="duplicateValues" dxfId="40" priority="8"/>
  </conditionalFormatting>
  <conditionalFormatting sqref="I16:W16">
    <cfRule type="duplicateValues" dxfId="39" priority="9"/>
  </conditionalFormatting>
  <conditionalFormatting sqref="I17:W17">
    <cfRule type="duplicateValues" dxfId="38" priority="10"/>
  </conditionalFormatting>
  <conditionalFormatting sqref="I18:W18">
    <cfRule type="duplicateValues" dxfId="37" priority="11"/>
  </conditionalFormatting>
  <conditionalFormatting sqref="I19:W19">
    <cfRule type="duplicateValues" dxfId="36" priority="12"/>
  </conditionalFormatting>
  <conditionalFormatting sqref="I20:W20">
    <cfRule type="duplicateValues" dxfId="35" priority="13"/>
  </conditionalFormatting>
  <conditionalFormatting sqref="I21:W21">
    <cfRule type="duplicateValues" dxfId="34" priority="14"/>
  </conditionalFormatting>
  <conditionalFormatting sqref="I22:W22">
    <cfRule type="duplicateValues" dxfId="33" priority="15"/>
  </conditionalFormatting>
  <conditionalFormatting sqref="I23:W23">
    <cfRule type="duplicateValues" dxfId="32" priority="16"/>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06C31-1BCD-436F-B84F-2AD4C5BB8575}">
  <sheetPr codeName="Hoja8"/>
  <dimension ref="B1:AN51"/>
  <sheetViews>
    <sheetView topLeftCell="F32" zoomScale="70" zoomScaleNormal="70" workbookViewId="0">
      <selection activeCell="P20" sqref="P20"/>
    </sheetView>
  </sheetViews>
  <sheetFormatPr baseColWidth="10" defaultColWidth="11.42578125" defaultRowHeight="15"/>
  <cols>
    <col min="1" max="1" width="0" hidden="1" customWidth="1"/>
    <col min="2" max="2" width="23.7109375" hidden="1" customWidth="1"/>
    <col min="3" max="3" width="0" style="3" hidden="1" customWidth="1"/>
    <col min="4" max="4" width="22" hidden="1" customWidth="1"/>
    <col min="5" max="5" width="13" hidden="1" customWidth="1"/>
    <col min="6" max="6" width="5.140625" customWidth="1"/>
    <col min="7" max="7" width="10.5703125" customWidth="1"/>
    <col min="8" max="8" width="22.140625" customWidth="1"/>
    <col min="9" max="9" width="12" customWidth="1"/>
    <col min="10" max="11" width="13.28515625" customWidth="1"/>
    <col min="13" max="13" width="3" customWidth="1"/>
    <col min="14" max="14" width="9" customWidth="1"/>
    <col min="15" max="15" width="9.5703125" bestFit="1" customWidth="1"/>
    <col min="16" max="16" width="10.5703125" bestFit="1" customWidth="1"/>
    <col min="17" max="17" width="13.5703125" bestFit="1" customWidth="1"/>
    <col min="18" max="18" width="10.85546875" bestFit="1" customWidth="1"/>
    <col min="19" max="19" width="10.28515625" bestFit="1" customWidth="1"/>
    <col min="20" max="20" width="14.140625" customWidth="1"/>
    <col min="21" max="21" width="9.42578125" bestFit="1" customWidth="1"/>
    <col min="22" max="22" width="9.5703125" bestFit="1" customWidth="1"/>
    <col min="23" max="23" width="9.42578125" customWidth="1"/>
    <col min="24" max="24" width="3" customWidth="1"/>
    <col min="26" max="26" width="13.5703125" bestFit="1" customWidth="1"/>
    <col min="27" max="27" width="13.85546875" bestFit="1" customWidth="1"/>
    <col min="28" max="28" width="13.5703125" bestFit="1" customWidth="1"/>
    <col min="30" max="30" width="12.5703125" bestFit="1" customWidth="1"/>
    <col min="31" max="31" width="14.85546875" customWidth="1"/>
    <col min="33" max="33" width="12.5703125" bestFit="1" customWidth="1"/>
    <col min="34" max="34" width="14.7109375" customWidth="1"/>
    <col min="36" max="36" width="12.5703125" bestFit="1" customWidth="1"/>
    <col min="39" max="39" width="14.28515625" customWidth="1"/>
    <col min="40" max="40" width="16.42578125" customWidth="1"/>
  </cols>
  <sheetData>
    <row r="1" spans="11:39">
      <c r="Q1" s="3" t="s">
        <v>322</v>
      </c>
      <c r="R1" s="3" t="s">
        <v>323</v>
      </c>
      <c r="S1" s="3" t="s">
        <v>324</v>
      </c>
      <c r="T1" s="3" t="s">
        <v>325</v>
      </c>
      <c r="AF1">
        <v>6216</v>
      </c>
    </row>
    <row r="2" spans="11:39">
      <c r="R2" s="66">
        <v>0.05</v>
      </c>
      <c r="S2" s="66">
        <v>0.15</v>
      </c>
      <c r="T2" s="2"/>
      <c r="AF2">
        <f>+AF1/4</f>
        <v>1554</v>
      </c>
      <c r="AG2">
        <f>+AF2/3</f>
        <v>518</v>
      </c>
    </row>
    <row r="3" spans="11:39">
      <c r="R3" s="58">
        <f>+AE34*R2</f>
        <v>300000</v>
      </c>
      <c r="S3" s="58">
        <f>+AE34*S2</f>
        <v>900000</v>
      </c>
      <c r="T3" s="58"/>
      <c r="AH3">
        <f>SUM(AH4:AH11)</f>
        <v>8242</v>
      </c>
    </row>
    <row r="4" spans="11:39">
      <c r="AD4">
        <v>1</v>
      </c>
      <c r="AE4">
        <v>518</v>
      </c>
      <c r="AF4">
        <v>4</v>
      </c>
      <c r="AG4">
        <v>518</v>
      </c>
      <c r="AH4">
        <f>+AF4*AG4</f>
        <v>2072</v>
      </c>
      <c r="AI4">
        <v>1</v>
      </c>
      <c r="AJ4">
        <v>2072</v>
      </c>
      <c r="AK4" s="57"/>
      <c r="AL4" s="57"/>
    </row>
    <row r="5" spans="11:39" ht="27" customHeight="1">
      <c r="L5" s="23"/>
      <c r="M5" s="23"/>
      <c r="N5" s="24" t="s">
        <v>326</v>
      </c>
      <c r="O5" s="24" t="s">
        <v>327</v>
      </c>
      <c r="P5" s="24" t="s">
        <v>328</v>
      </c>
      <c r="Q5" s="26" t="s">
        <v>329</v>
      </c>
      <c r="R5" s="25" t="s">
        <v>330</v>
      </c>
      <c r="S5" s="25" t="s">
        <v>330</v>
      </c>
      <c r="T5" s="26" t="s">
        <v>329</v>
      </c>
      <c r="U5" s="24" t="s">
        <v>328</v>
      </c>
      <c r="V5" s="24" t="s">
        <v>327</v>
      </c>
      <c r="W5" s="24" t="s">
        <v>326</v>
      </c>
      <c r="X5" s="23"/>
      <c r="Y5" s="23"/>
      <c r="AD5">
        <v>519</v>
      </c>
      <c r="AE5">
        <f>+AD5+518</f>
        <v>1037</v>
      </c>
      <c r="AF5">
        <v>4</v>
      </c>
      <c r="AG5">
        <v>518</v>
      </c>
      <c r="AH5">
        <f>+AF5*AG5</f>
        <v>2072</v>
      </c>
      <c r="AI5">
        <v>2073</v>
      </c>
      <c r="AJ5">
        <f>+AI5+AH5-1</f>
        <v>4144</v>
      </c>
      <c r="AK5" s="57"/>
      <c r="AL5" s="57"/>
    </row>
    <row r="6" spans="11:39" ht="15.75">
      <c r="L6" s="20" t="s">
        <v>331</v>
      </c>
      <c r="M6" s="18"/>
      <c r="Q6" s="14">
        <v>5</v>
      </c>
      <c r="R6" s="21"/>
      <c r="T6" s="9">
        <v>5</v>
      </c>
      <c r="Y6" s="17" t="s">
        <v>332</v>
      </c>
      <c r="AD6">
        <f>+AE5+1</f>
        <v>1038</v>
      </c>
      <c r="AE6">
        <v>1554</v>
      </c>
      <c r="AF6">
        <v>4</v>
      </c>
      <c r="AG6">
        <v>518</v>
      </c>
      <c r="AH6">
        <f>+AF6*AG6</f>
        <v>2072</v>
      </c>
      <c r="AI6">
        <v>4145</v>
      </c>
      <c r="AJ6">
        <v>6216</v>
      </c>
      <c r="AK6" s="57"/>
      <c r="AL6" s="57"/>
    </row>
    <row r="7" spans="11:39" ht="15.75">
      <c r="L7" s="15">
        <v>1</v>
      </c>
      <c r="M7" s="18"/>
      <c r="N7" s="8">
        <v>5</v>
      </c>
      <c r="O7" s="3"/>
      <c r="P7" s="3"/>
      <c r="T7" s="3"/>
      <c r="U7" s="3"/>
      <c r="V7" s="3"/>
      <c r="W7" s="8">
        <v>5</v>
      </c>
      <c r="X7" s="12"/>
      <c r="Y7" s="16">
        <v>9</v>
      </c>
      <c r="AK7" s="57"/>
      <c r="AL7" s="57"/>
    </row>
    <row r="8" spans="11:39" ht="15.75">
      <c r="L8" s="15">
        <v>2</v>
      </c>
      <c r="M8" s="18"/>
      <c r="N8" s="11">
        <v>5</v>
      </c>
      <c r="O8" s="8">
        <v>5</v>
      </c>
      <c r="P8" s="3"/>
      <c r="U8" s="3"/>
      <c r="V8" s="8">
        <v>5</v>
      </c>
      <c r="W8" s="11">
        <v>5</v>
      </c>
      <c r="X8" s="19"/>
      <c r="Y8" s="16">
        <v>10</v>
      </c>
      <c r="AK8" s="57"/>
      <c r="AL8" s="57"/>
    </row>
    <row r="9" spans="11:39" ht="15.75">
      <c r="L9" s="15">
        <v>3</v>
      </c>
      <c r="M9" s="18"/>
      <c r="N9" s="9">
        <v>5</v>
      </c>
      <c r="O9" s="13">
        <v>5</v>
      </c>
      <c r="P9" s="3"/>
      <c r="Q9" s="3"/>
      <c r="T9" s="3"/>
      <c r="U9" s="3"/>
      <c r="V9" s="13">
        <v>5</v>
      </c>
      <c r="W9" s="9">
        <v>5</v>
      </c>
      <c r="X9" s="12"/>
      <c r="Y9" s="16">
        <v>11</v>
      </c>
    </row>
    <row r="10" spans="11:39" ht="15.75">
      <c r="L10" s="15">
        <v>4</v>
      </c>
      <c r="M10" s="18"/>
      <c r="N10" s="10">
        <v>5</v>
      </c>
      <c r="P10" s="8">
        <v>5</v>
      </c>
      <c r="Q10" s="3"/>
      <c r="R10" s="8">
        <v>5</v>
      </c>
      <c r="S10" s="10">
        <v>5</v>
      </c>
      <c r="T10" s="3"/>
      <c r="U10" s="3"/>
      <c r="W10" s="10">
        <v>5</v>
      </c>
      <c r="X10" s="19"/>
      <c r="Y10" s="16">
        <v>12</v>
      </c>
      <c r="AK10" s="57"/>
      <c r="AL10" s="57"/>
    </row>
    <row r="11" spans="11:39" ht="15.75">
      <c r="L11" s="15">
        <v>5</v>
      </c>
      <c r="M11" s="18"/>
      <c r="N11" s="8">
        <v>5</v>
      </c>
      <c r="P11" s="13">
        <v>5</v>
      </c>
      <c r="U11" s="9">
        <v>5</v>
      </c>
      <c r="W11" s="8">
        <v>5</v>
      </c>
      <c r="X11" s="12"/>
      <c r="Y11" s="16">
        <v>13</v>
      </c>
      <c r="AE11">
        <v>2023</v>
      </c>
      <c r="AF11">
        <v>2024</v>
      </c>
      <c r="AG11">
        <v>2025</v>
      </c>
      <c r="AH11">
        <v>2026</v>
      </c>
      <c r="AK11" s="2"/>
      <c r="AL11" s="57"/>
      <c r="AM11" s="57"/>
    </row>
    <row r="12" spans="11:39" ht="15.75">
      <c r="L12" s="15">
        <v>6</v>
      </c>
      <c r="M12" s="18"/>
      <c r="N12" s="13">
        <v>5</v>
      </c>
      <c r="O12" s="9">
        <v>5</v>
      </c>
      <c r="P12" s="3"/>
      <c r="Q12" s="3"/>
      <c r="R12" s="3"/>
      <c r="T12" s="3"/>
      <c r="U12" s="10">
        <v>5</v>
      </c>
      <c r="V12" s="9">
        <v>5</v>
      </c>
      <c r="W12" s="13">
        <v>5</v>
      </c>
      <c r="X12" s="19"/>
      <c r="Y12" s="16">
        <v>14</v>
      </c>
      <c r="AE12">
        <v>1.2</v>
      </c>
      <c r="AF12">
        <v>1.1499999999999999</v>
      </c>
      <c r="AG12">
        <v>1.1499999999999999</v>
      </c>
      <c r="AH12">
        <v>1.1499999999999999</v>
      </c>
      <c r="AK12" s="2"/>
      <c r="AL12" s="57"/>
      <c r="AM12" s="57"/>
    </row>
    <row r="13" spans="11:39" ht="15.75">
      <c r="L13" s="15">
        <v>7</v>
      </c>
      <c r="M13" s="18"/>
      <c r="N13" s="9">
        <v>5</v>
      </c>
      <c r="O13" s="10">
        <v>5</v>
      </c>
      <c r="P13" s="3"/>
      <c r="U13" s="3"/>
      <c r="V13" s="10">
        <v>5</v>
      </c>
      <c r="W13" s="9">
        <v>5</v>
      </c>
      <c r="X13" s="12"/>
      <c r="Y13" s="16">
        <v>15</v>
      </c>
      <c r="AK13" s="2"/>
      <c r="AL13" s="57"/>
      <c r="AM13" s="57"/>
    </row>
    <row r="14" spans="11:39" ht="15.75">
      <c r="L14" s="15">
        <v>8</v>
      </c>
      <c r="M14" s="18"/>
      <c r="N14" s="10">
        <v>5</v>
      </c>
      <c r="O14" s="3"/>
      <c r="P14" s="3"/>
      <c r="U14" s="3"/>
      <c r="V14" s="3"/>
      <c r="W14" s="10">
        <v>5</v>
      </c>
      <c r="X14" s="19"/>
      <c r="Y14" s="16">
        <v>16</v>
      </c>
      <c r="AK14" s="2"/>
      <c r="AL14" s="57"/>
      <c r="AM14" s="57"/>
    </row>
    <row r="15" spans="11:39">
      <c r="AK15" s="2"/>
      <c r="AL15" s="57"/>
      <c r="AM15" s="57"/>
    </row>
    <row r="16" spans="11:39">
      <c r="K16" s="4" t="s">
        <v>333</v>
      </c>
      <c r="L16" s="4"/>
      <c r="M16" s="4"/>
      <c r="N16" s="5">
        <v>4</v>
      </c>
      <c r="O16" s="27">
        <v>2</v>
      </c>
      <c r="P16" s="27">
        <v>1</v>
      </c>
      <c r="Q16" s="65">
        <v>1</v>
      </c>
      <c r="R16" s="65"/>
      <c r="S16" s="65">
        <v>1</v>
      </c>
      <c r="T16" s="65"/>
      <c r="U16" s="27">
        <v>1</v>
      </c>
      <c r="V16" s="27">
        <v>2</v>
      </c>
      <c r="W16" s="5">
        <v>4</v>
      </c>
      <c r="X16" s="4"/>
      <c r="Y16" s="4"/>
      <c r="Z16" s="5">
        <f>SUM(N16:W16)</f>
        <v>16</v>
      </c>
      <c r="AM16" s="57"/>
    </row>
    <row r="17" spans="6:36">
      <c r="J17" s="3">
        <v>1</v>
      </c>
      <c r="K17" s="4" t="s">
        <v>182</v>
      </c>
      <c r="L17" s="4"/>
      <c r="M17" s="4"/>
      <c r="N17" s="5">
        <f t="shared" ref="N17:W17" si="0">SUM(N6:N14)</f>
        <v>40</v>
      </c>
      <c r="O17" s="27">
        <f t="shared" si="0"/>
        <v>20</v>
      </c>
      <c r="P17" s="27">
        <f t="shared" si="0"/>
        <v>10</v>
      </c>
      <c r="Q17" s="65">
        <f t="shared" si="0"/>
        <v>5</v>
      </c>
      <c r="R17" s="65">
        <f t="shared" si="0"/>
        <v>5</v>
      </c>
      <c r="S17" s="65">
        <f t="shared" si="0"/>
        <v>5</v>
      </c>
      <c r="T17" s="65">
        <f t="shared" si="0"/>
        <v>5</v>
      </c>
      <c r="U17" s="27">
        <f t="shared" si="0"/>
        <v>10</v>
      </c>
      <c r="V17" s="27">
        <f t="shared" si="0"/>
        <v>20</v>
      </c>
      <c r="W17" s="5">
        <f t="shared" si="0"/>
        <v>40</v>
      </c>
      <c r="X17" s="4"/>
      <c r="Y17" s="4"/>
      <c r="Z17" s="5">
        <f>+N17+W17</f>
        <v>80</v>
      </c>
      <c r="AA17" s="1">
        <f>+Z17*50000</f>
        <v>4000000</v>
      </c>
    </row>
    <row r="18" spans="6:36">
      <c r="J18" s="3"/>
      <c r="K18" s="3"/>
      <c r="N18" s="3"/>
      <c r="O18" s="3"/>
      <c r="P18" s="3"/>
      <c r="Q18" s="3"/>
      <c r="R18" s="3"/>
      <c r="S18" s="3"/>
      <c r="T18" s="3"/>
      <c r="U18" s="3"/>
      <c r="V18" s="3"/>
      <c r="W18" s="3"/>
      <c r="Z18" s="3"/>
    </row>
    <row r="19" spans="6:36">
      <c r="J19" s="3"/>
      <c r="K19" s="3"/>
      <c r="N19" s="3"/>
      <c r="O19" s="3"/>
      <c r="P19" s="3"/>
      <c r="Q19" s="3"/>
      <c r="R19" s="3"/>
      <c r="S19" s="3"/>
      <c r="T19" s="3"/>
      <c r="U19" s="3"/>
      <c r="V19" s="3"/>
      <c r="W19" s="3"/>
      <c r="Z19" s="3"/>
      <c r="AD19" s="68">
        <v>50000</v>
      </c>
      <c r="AE19" s="68">
        <f>+AD19*AE12</f>
        <v>60000</v>
      </c>
      <c r="AF19" s="68">
        <f>+AE19*AF12</f>
        <v>69000</v>
      </c>
      <c r="AG19" s="68">
        <f>+AF19*AG12</f>
        <v>79350</v>
      </c>
      <c r="AH19" s="68">
        <f>+AG19*AH12</f>
        <v>91252.5</v>
      </c>
    </row>
    <row r="20" spans="6:36">
      <c r="J20" s="3"/>
      <c r="K20" s="3"/>
      <c r="N20" s="3"/>
      <c r="O20" s="3"/>
      <c r="P20" s="3"/>
      <c r="Q20" s="3"/>
      <c r="R20" s="3"/>
      <c r="S20" s="3"/>
      <c r="T20" s="3"/>
      <c r="U20" s="3"/>
      <c r="V20" s="3"/>
      <c r="W20" s="3"/>
      <c r="AC20" s="3"/>
    </row>
    <row r="21" spans="6:36" ht="15.75" thickBot="1">
      <c r="K21" s="3" t="s">
        <v>267</v>
      </c>
      <c r="L21" s="3" t="s">
        <v>334</v>
      </c>
      <c r="N21" s="3"/>
      <c r="O21" s="3"/>
      <c r="P21" s="3"/>
      <c r="Q21" s="3"/>
      <c r="R21" s="3"/>
      <c r="S21" s="3"/>
      <c r="T21" s="3"/>
      <c r="U21" s="3"/>
      <c r="V21" s="3"/>
      <c r="W21" s="3"/>
      <c r="AD21" s="22" t="s">
        <v>335</v>
      </c>
      <c r="AF21" s="22" t="s">
        <v>336</v>
      </c>
      <c r="AH21" s="63" t="s">
        <v>337</v>
      </c>
      <c r="AI21" s="64"/>
      <c r="AJ21" s="4"/>
    </row>
    <row r="22" spans="6:36" ht="11.25" customHeight="1">
      <c r="F22">
        <v>20</v>
      </c>
      <c r="G22" s="501" t="s">
        <v>338</v>
      </c>
      <c r="H22" s="48" t="s">
        <v>339</v>
      </c>
      <c r="I22" s="49" t="s">
        <v>282</v>
      </c>
      <c r="J22" s="50" t="s">
        <v>340</v>
      </c>
      <c r="K22" s="51">
        <f>SUM(M22:V22)</f>
        <v>20</v>
      </c>
      <c r="L22" s="51">
        <f>SUM(N22:W22)</f>
        <v>20</v>
      </c>
      <c r="M22" s="36"/>
      <c r="N22" s="37">
        <f>SUM($N$6:$N$10)</f>
        <v>20</v>
      </c>
      <c r="O22" s="36"/>
      <c r="P22" s="36"/>
      <c r="Q22" s="36"/>
      <c r="R22" s="36"/>
      <c r="S22" s="36"/>
      <c r="T22" s="36"/>
      <c r="U22" s="36"/>
      <c r="V22" s="36"/>
      <c r="W22" s="38"/>
      <c r="AD22" s="58">
        <v>50000</v>
      </c>
      <c r="AE22" s="58">
        <f t="shared" ref="AE22:AE27" si="1">+AD22*K22</f>
        <v>1000000</v>
      </c>
      <c r="AF22" s="58">
        <v>10000</v>
      </c>
      <c r="AG22" s="58">
        <f t="shared" ref="AG22:AG29" si="2">+AF22*L22</f>
        <v>200000</v>
      </c>
      <c r="AH22" s="62">
        <v>0.5</v>
      </c>
      <c r="AI22" s="58">
        <v>10000</v>
      </c>
      <c r="AJ22" s="58">
        <f t="shared" ref="AJ22:AJ29" si="3">+(K22+L22)*AH22*AI22</f>
        <v>200000</v>
      </c>
    </row>
    <row r="23" spans="6:36" ht="11.25" customHeight="1">
      <c r="F23">
        <v>20</v>
      </c>
      <c r="G23" s="502"/>
      <c r="H23" s="28" t="s">
        <v>341</v>
      </c>
      <c r="I23" s="29" t="s">
        <v>283</v>
      </c>
      <c r="J23" s="30" t="s">
        <v>340</v>
      </c>
      <c r="K23" s="27">
        <f>SUM(M23:V23)</f>
        <v>20</v>
      </c>
      <c r="L23" s="27">
        <f>SUM(N23:W23)</f>
        <v>20</v>
      </c>
      <c r="N23" s="31">
        <f>SUM($N$11:$N$15)</f>
        <v>20</v>
      </c>
      <c r="W23" s="41"/>
      <c r="AD23" s="58">
        <v>50000</v>
      </c>
      <c r="AE23" s="58">
        <f t="shared" si="1"/>
        <v>1000000</v>
      </c>
      <c r="AF23" s="58">
        <v>10000</v>
      </c>
      <c r="AG23" s="58">
        <f t="shared" si="2"/>
        <v>200000</v>
      </c>
      <c r="AH23" s="62">
        <v>0.5</v>
      </c>
      <c r="AI23" s="58">
        <v>10000</v>
      </c>
      <c r="AJ23" s="58">
        <f t="shared" si="3"/>
        <v>200000</v>
      </c>
    </row>
    <row r="24" spans="6:36" ht="11.25" customHeight="1">
      <c r="F24">
        <v>20</v>
      </c>
      <c r="G24" s="502"/>
      <c r="H24" s="28" t="s">
        <v>342</v>
      </c>
      <c r="I24" s="29" t="s">
        <v>284</v>
      </c>
      <c r="J24" s="30" t="s">
        <v>340</v>
      </c>
      <c r="K24" s="27">
        <v>20</v>
      </c>
      <c r="L24" s="27">
        <f>SUM(N24:W24)</f>
        <v>20</v>
      </c>
      <c r="W24" s="61">
        <f>SUM($W$6:$W$10)</f>
        <v>20</v>
      </c>
      <c r="AD24" s="58">
        <v>50000</v>
      </c>
      <c r="AE24" s="58">
        <f t="shared" si="1"/>
        <v>1000000</v>
      </c>
      <c r="AF24" s="58">
        <v>10000</v>
      </c>
      <c r="AG24" s="58">
        <f t="shared" si="2"/>
        <v>200000</v>
      </c>
      <c r="AH24" s="62">
        <v>0.5</v>
      </c>
      <c r="AI24" s="58">
        <v>10000</v>
      </c>
      <c r="AJ24" s="58">
        <f t="shared" si="3"/>
        <v>200000</v>
      </c>
    </row>
    <row r="25" spans="6:36" ht="11.25" customHeight="1">
      <c r="F25">
        <v>20</v>
      </c>
      <c r="G25" s="502"/>
      <c r="H25" s="28" t="s">
        <v>343</v>
      </c>
      <c r="I25" s="29" t="s">
        <v>285</v>
      </c>
      <c r="J25" s="30" t="s">
        <v>340</v>
      </c>
      <c r="K25" s="27">
        <v>20</v>
      </c>
      <c r="L25" s="27">
        <f>SUM(N25:W25)</f>
        <v>20</v>
      </c>
      <c r="W25" s="61">
        <f>SUM($W$11:$W$15)</f>
        <v>20</v>
      </c>
      <c r="AD25" s="58">
        <v>50000</v>
      </c>
      <c r="AE25" s="58">
        <f t="shared" si="1"/>
        <v>1000000</v>
      </c>
      <c r="AF25" s="58">
        <v>10000</v>
      </c>
      <c r="AG25" s="58">
        <f t="shared" si="2"/>
        <v>200000</v>
      </c>
      <c r="AH25" s="62">
        <v>0.5</v>
      </c>
      <c r="AI25" s="58">
        <v>20000</v>
      </c>
      <c r="AJ25" s="58">
        <f t="shared" si="3"/>
        <v>400000</v>
      </c>
    </row>
    <row r="26" spans="6:36" ht="11.25" customHeight="1">
      <c r="F26">
        <v>20</v>
      </c>
      <c r="G26" s="502"/>
      <c r="H26" s="28" t="s">
        <v>344</v>
      </c>
      <c r="I26" s="29" t="s">
        <v>282</v>
      </c>
      <c r="J26" s="30" t="s">
        <v>345</v>
      </c>
      <c r="K26" s="27">
        <f>SUM(M26:V26)</f>
        <v>20</v>
      </c>
      <c r="L26" s="27">
        <f>SUM(N26:W26)</f>
        <v>20</v>
      </c>
      <c r="O26" s="31">
        <f>SUM($O$6:$O$15)</f>
        <v>20</v>
      </c>
      <c r="W26" s="41"/>
      <c r="AD26" s="58">
        <v>50000</v>
      </c>
      <c r="AE26" s="58">
        <f t="shared" si="1"/>
        <v>1000000</v>
      </c>
      <c r="AF26" s="58">
        <v>10000</v>
      </c>
      <c r="AG26" s="58">
        <f t="shared" si="2"/>
        <v>200000</v>
      </c>
      <c r="AH26" s="62">
        <v>0.5</v>
      </c>
      <c r="AI26" s="58">
        <v>10000</v>
      </c>
      <c r="AJ26" s="58">
        <f t="shared" si="3"/>
        <v>200000</v>
      </c>
    </row>
    <row r="27" spans="6:36" ht="11.25" customHeight="1">
      <c r="F27">
        <v>20</v>
      </c>
      <c r="G27" s="502"/>
      <c r="H27" s="28" t="s">
        <v>346</v>
      </c>
      <c r="I27" s="29" t="s">
        <v>283</v>
      </c>
      <c r="J27" s="30" t="s">
        <v>345</v>
      </c>
      <c r="K27" s="27">
        <f t="shared" ref="K27:L28" si="4">SUM(M27:V27)</f>
        <v>20</v>
      </c>
      <c r="L27" s="27">
        <f t="shared" si="4"/>
        <v>20</v>
      </c>
      <c r="V27" s="31">
        <f>SUM($V$6:$V$15)</f>
        <v>20</v>
      </c>
      <c r="W27" s="41"/>
      <c r="AD27" s="58">
        <v>50000</v>
      </c>
      <c r="AE27" s="58">
        <f t="shared" si="1"/>
        <v>1000000</v>
      </c>
      <c r="AF27" s="58">
        <v>10000</v>
      </c>
      <c r="AG27" s="58">
        <f t="shared" si="2"/>
        <v>200000</v>
      </c>
      <c r="AH27" s="62">
        <v>0.5</v>
      </c>
      <c r="AI27" s="58">
        <v>10000</v>
      </c>
      <c r="AJ27" s="58">
        <f t="shared" si="3"/>
        <v>200000</v>
      </c>
    </row>
    <row r="28" spans="6:36" ht="11.25" customHeight="1">
      <c r="F28">
        <v>20</v>
      </c>
      <c r="G28" s="502"/>
      <c r="H28" s="28" t="s">
        <v>347</v>
      </c>
      <c r="I28" s="29" t="s">
        <v>284</v>
      </c>
      <c r="J28" s="30" t="s">
        <v>345</v>
      </c>
      <c r="K28" s="27">
        <f t="shared" si="4"/>
        <v>20</v>
      </c>
      <c r="L28" s="27">
        <f t="shared" si="4"/>
        <v>20</v>
      </c>
      <c r="O28" s="3"/>
      <c r="P28" s="31">
        <f>SUM($P$6:$P$15)</f>
        <v>10</v>
      </c>
      <c r="U28" s="31">
        <f>SUM($U$6:$U$15)</f>
        <v>10</v>
      </c>
      <c r="W28" s="41"/>
      <c r="AD28" s="58">
        <v>0</v>
      </c>
      <c r="AE28" s="58"/>
      <c r="AF28" s="58">
        <v>10000</v>
      </c>
      <c r="AG28" s="58">
        <f t="shared" si="2"/>
        <v>200000</v>
      </c>
      <c r="AH28" s="62">
        <v>0.25</v>
      </c>
      <c r="AI28" s="58">
        <v>20000</v>
      </c>
      <c r="AJ28" s="58">
        <f t="shared" si="3"/>
        <v>200000</v>
      </c>
    </row>
    <row r="29" spans="6:36" ht="11.25" customHeight="1">
      <c r="G29" s="502"/>
      <c r="H29" s="70" t="s">
        <v>348</v>
      </c>
      <c r="I29" s="71"/>
      <c r="J29" s="72"/>
      <c r="K29" s="65"/>
      <c r="L29" s="65"/>
      <c r="W29" s="41"/>
      <c r="AD29" s="58">
        <v>0</v>
      </c>
      <c r="AF29" s="58">
        <v>0</v>
      </c>
      <c r="AG29" s="58">
        <f t="shared" si="2"/>
        <v>0</v>
      </c>
      <c r="AH29" s="62">
        <v>0</v>
      </c>
      <c r="AI29" s="58">
        <v>10000</v>
      </c>
      <c r="AJ29" s="58">
        <f t="shared" si="3"/>
        <v>0</v>
      </c>
    </row>
    <row r="30" spans="6:36" ht="11.25" customHeight="1">
      <c r="G30" s="502"/>
      <c r="K30" s="3"/>
      <c r="L30" s="3"/>
      <c r="W30" s="41"/>
      <c r="AD30" s="58"/>
      <c r="AE30" s="59"/>
      <c r="AG30" s="58"/>
      <c r="AH30" s="62"/>
      <c r="AI30" s="58"/>
      <c r="AJ30" s="58"/>
    </row>
    <row r="31" spans="6:36" ht="11.25" customHeight="1">
      <c r="F31">
        <v>30</v>
      </c>
      <c r="G31" s="502"/>
      <c r="H31" s="28" t="s">
        <v>349</v>
      </c>
      <c r="I31" s="29" t="s">
        <v>283</v>
      </c>
      <c r="J31" s="30" t="s">
        <v>350</v>
      </c>
      <c r="K31" s="27">
        <v>30</v>
      </c>
      <c r="L31" s="27">
        <f t="shared" ref="L31:L32" si="5">SUM(N31:W31)</f>
        <v>10</v>
      </c>
      <c r="Q31" s="31">
        <f>SUM($Q$6:$Q$14)</f>
        <v>5</v>
      </c>
      <c r="T31" s="31">
        <f>SUM($T$6:$T$14)</f>
        <v>5</v>
      </c>
      <c r="W31" s="41"/>
      <c r="AD31" s="58">
        <v>0</v>
      </c>
      <c r="AF31" s="58">
        <v>15000</v>
      </c>
      <c r="AG31" s="58">
        <f>+AF31*L31</f>
        <v>150000</v>
      </c>
      <c r="AH31" s="62">
        <v>1</v>
      </c>
      <c r="AI31" s="58">
        <v>20000</v>
      </c>
      <c r="AJ31" s="58">
        <f>+(K31+L31)*AH31*AI31</f>
        <v>800000</v>
      </c>
    </row>
    <row r="32" spans="6:36" ht="11.25" customHeight="1">
      <c r="G32" s="502"/>
      <c r="H32" s="28" t="s">
        <v>351</v>
      </c>
      <c r="I32" s="29" t="s">
        <v>284</v>
      </c>
      <c r="J32" s="30" t="s">
        <v>350</v>
      </c>
      <c r="K32" s="27"/>
      <c r="L32" s="27">
        <f t="shared" si="5"/>
        <v>10</v>
      </c>
      <c r="R32" s="31">
        <f>SUM($R$6:$R$14)</f>
        <v>5</v>
      </c>
      <c r="S32" s="31">
        <f>SUM($S$6:$S$14)</f>
        <v>5</v>
      </c>
      <c r="W32" s="41"/>
      <c r="AD32" s="58">
        <v>0</v>
      </c>
      <c r="AF32" s="58">
        <v>0</v>
      </c>
      <c r="AG32" s="58">
        <f>+AF32*L32</f>
        <v>0</v>
      </c>
      <c r="AH32" s="62">
        <v>0.5</v>
      </c>
      <c r="AI32" s="58">
        <v>10000</v>
      </c>
      <c r="AJ32" s="58">
        <f>+(K31)*AH32*AI32</f>
        <v>150000</v>
      </c>
    </row>
    <row r="33" spans="6:40" ht="11.25" customHeight="1" thickBot="1">
      <c r="G33" s="503"/>
      <c r="H33" s="52" t="s">
        <v>352</v>
      </c>
      <c r="I33" s="53" t="s">
        <v>285</v>
      </c>
      <c r="J33" s="54" t="s">
        <v>350</v>
      </c>
      <c r="K33" s="55">
        <f t="shared" ref="K33:L33" si="6">SUM(M33:V33)</f>
        <v>5</v>
      </c>
      <c r="L33" s="55">
        <f t="shared" si="6"/>
        <v>5</v>
      </c>
      <c r="M33" s="46"/>
      <c r="N33" s="46"/>
      <c r="O33" s="46"/>
      <c r="P33" s="46"/>
      <c r="Q33" s="46"/>
      <c r="R33" s="46"/>
      <c r="S33" s="47">
        <v>5</v>
      </c>
      <c r="T33" s="46"/>
      <c r="U33" s="46"/>
      <c r="V33" s="46"/>
      <c r="W33" s="56"/>
      <c r="AD33" s="58">
        <v>0</v>
      </c>
      <c r="AF33" s="58">
        <v>0</v>
      </c>
      <c r="AG33" s="58">
        <f>+AF33*L33</f>
        <v>0</v>
      </c>
      <c r="AH33" s="62">
        <v>0.5</v>
      </c>
      <c r="AI33" s="58">
        <v>10000</v>
      </c>
      <c r="AJ33" s="58">
        <f>+(K33)*AH33*AI33</f>
        <v>25000</v>
      </c>
    </row>
    <row r="34" spans="6:40">
      <c r="F34">
        <f>SUM(F22:F33)</f>
        <v>170</v>
      </c>
      <c r="AE34" s="59">
        <f>SUM(AE22:AE33)</f>
        <v>6000000</v>
      </c>
      <c r="AG34" s="59">
        <f>SUM(AG22:AG33)</f>
        <v>1550000</v>
      </c>
      <c r="AH34" s="59"/>
      <c r="AI34" s="58"/>
      <c r="AJ34" s="59">
        <f>SUM(AJ22:AJ33)</f>
        <v>2575000</v>
      </c>
    </row>
    <row r="35" spans="6:40">
      <c r="H35" s="1">
        <f>+F34*5000</f>
        <v>850000</v>
      </c>
      <c r="AE35" s="60">
        <v>0.8</v>
      </c>
      <c r="AG35" s="60">
        <v>0.5</v>
      </c>
      <c r="AH35" s="60"/>
      <c r="AI35" s="58"/>
      <c r="AJ35" s="60">
        <v>0.5</v>
      </c>
    </row>
    <row r="36" spans="6:40">
      <c r="AE36" s="59">
        <f>+AE34*AE35</f>
        <v>4800000</v>
      </c>
      <c r="AG36" s="59">
        <f>+AG34*AG35</f>
        <v>775000</v>
      </c>
      <c r="AH36" s="59"/>
      <c r="AI36" s="58"/>
      <c r="AJ36" s="59">
        <f>+AJ34*AJ35</f>
        <v>1287500</v>
      </c>
    </row>
    <row r="37" spans="6:40">
      <c r="AA37" t="s">
        <v>158</v>
      </c>
      <c r="AB37" s="59" t="s">
        <v>183</v>
      </c>
      <c r="AC37" s="3">
        <v>2</v>
      </c>
      <c r="AE37" s="59">
        <f>+AE36*AC37</f>
        <v>9600000</v>
      </c>
      <c r="AG37" s="59">
        <f>+AG36*AC37</f>
        <v>1550000</v>
      </c>
      <c r="AI37" s="58"/>
      <c r="AJ37" s="59">
        <f>+AJ36*AC37</f>
        <v>2575000</v>
      </c>
      <c r="AN37" s="67">
        <f>SUM(AD37:AM37)</f>
        <v>13725000</v>
      </c>
    </row>
    <row r="38" spans="6:40">
      <c r="AA38" t="s">
        <v>158</v>
      </c>
      <c r="AB38" s="59" t="s">
        <v>19</v>
      </c>
      <c r="AC38" s="3">
        <v>11</v>
      </c>
      <c r="AE38" s="59">
        <f>+AE37*AC38</f>
        <v>105600000</v>
      </c>
      <c r="AG38" s="59">
        <f>+AG37*AC38</f>
        <v>17050000</v>
      </c>
      <c r="AJ38" s="59">
        <f>+AJ37*AC38</f>
        <v>28325000</v>
      </c>
      <c r="AN38" s="67">
        <f>SUM(AD38:AM38)</f>
        <v>150975000</v>
      </c>
    </row>
    <row r="39" spans="6:40" ht="15.75" thickBot="1">
      <c r="AA39" t="s">
        <v>353</v>
      </c>
      <c r="AC39" s="3">
        <f>+AC37*AC38</f>
        <v>22</v>
      </c>
      <c r="AE39" s="59"/>
    </row>
    <row r="40" spans="6:40" ht="11.25" customHeight="1">
      <c r="G40" s="504" t="s">
        <v>354</v>
      </c>
      <c r="H40" s="32" t="s">
        <v>339</v>
      </c>
      <c r="I40" s="33" t="s">
        <v>282</v>
      </c>
      <c r="J40" s="34" t="s">
        <v>340</v>
      </c>
      <c r="K40" s="34"/>
      <c r="L40" s="35">
        <f>SUM(N40:W40)</f>
        <v>20</v>
      </c>
      <c r="M40" s="36"/>
      <c r="N40" s="37">
        <f>SUM($N$6:$N$10)</f>
        <v>20</v>
      </c>
      <c r="O40" s="36"/>
      <c r="P40" s="36"/>
      <c r="Q40" s="36"/>
      <c r="R40" s="36"/>
      <c r="S40" s="36"/>
      <c r="T40" s="36"/>
      <c r="U40" s="36"/>
      <c r="V40" s="36"/>
      <c r="W40" s="38"/>
      <c r="AF40" s="57"/>
      <c r="AG40" s="57"/>
    </row>
    <row r="41" spans="6:40" ht="11.25" customHeight="1">
      <c r="G41" s="505"/>
      <c r="H41" s="39" t="s">
        <v>341</v>
      </c>
      <c r="I41" s="40" t="s">
        <v>283</v>
      </c>
      <c r="J41" s="6" t="s">
        <v>340</v>
      </c>
      <c r="K41" s="6"/>
      <c r="L41" s="7">
        <f>SUM(N41:W41)</f>
        <v>20</v>
      </c>
      <c r="N41" s="31">
        <f>SUM($N$11:$N$15)</f>
        <v>20</v>
      </c>
      <c r="W41" s="41"/>
      <c r="AB41">
        <v>2023</v>
      </c>
      <c r="AC41" s="69">
        <v>1.2</v>
      </c>
      <c r="AD41" s="58">
        <f>+AD22*AC41</f>
        <v>60000</v>
      </c>
      <c r="AG41" s="58">
        <f>+AG36/SUM(L22:L33)</f>
        <v>4696.969696969697</v>
      </c>
    </row>
    <row r="42" spans="6:40" ht="11.25" customHeight="1">
      <c r="G42" s="505"/>
      <c r="H42" s="39" t="s">
        <v>342</v>
      </c>
      <c r="I42" s="40" t="s">
        <v>284</v>
      </c>
      <c r="J42" s="6" t="s">
        <v>340</v>
      </c>
      <c r="K42" s="6"/>
      <c r="L42" s="7">
        <f>SUM(N42:W42)</f>
        <v>20</v>
      </c>
      <c r="W42" s="61">
        <f>SUM($W$6:$W$10)</f>
        <v>20</v>
      </c>
      <c r="AB42">
        <v>2024</v>
      </c>
      <c r="AC42" s="69">
        <v>1.1499999999999999</v>
      </c>
      <c r="AD42" s="58">
        <f>+AD41*AC42</f>
        <v>69000</v>
      </c>
    </row>
    <row r="43" spans="6:40" ht="11.25" customHeight="1">
      <c r="G43" s="505"/>
      <c r="H43" s="39" t="s">
        <v>343</v>
      </c>
      <c r="I43" s="40" t="s">
        <v>285</v>
      </c>
      <c r="J43" s="6" t="s">
        <v>340</v>
      </c>
      <c r="K43" s="6"/>
      <c r="L43" s="7">
        <f>SUM(N43:W43)</f>
        <v>20</v>
      </c>
      <c r="W43" s="61">
        <f>SUM($W$11:$W$15)</f>
        <v>20</v>
      </c>
      <c r="AB43">
        <v>2025</v>
      </c>
      <c r="AC43" s="69">
        <v>1.1499999999999999</v>
      </c>
      <c r="AD43" s="58">
        <f t="shared" ref="AD43:AD44" si="7">+AD42*AC43</f>
        <v>79350</v>
      </c>
    </row>
    <row r="44" spans="6:40" ht="11.25" customHeight="1">
      <c r="G44" s="505"/>
      <c r="H44" s="39" t="s">
        <v>344</v>
      </c>
      <c r="I44" s="40" t="s">
        <v>282</v>
      </c>
      <c r="J44" s="6" t="s">
        <v>345</v>
      </c>
      <c r="K44" s="6"/>
      <c r="L44" s="7">
        <f>SUM(N44:W44)</f>
        <v>20</v>
      </c>
      <c r="O44" s="31">
        <f>SUM($O$6:$O$15)</f>
        <v>20</v>
      </c>
      <c r="W44" s="41"/>
      <c r="AB44">
        <v>2026</v>
      </c>
      <c r="AC44" s="69">
        <v>1.1499999999999999</v>
      </c>
      <c r="AD44" s="58">
        <f t="shared" si="7"/>
        <v>91252.5</v>
      </c>
    </row>
    <row r="45" spans="6:40" ht="11.25" customHeight="1">
      <c r="G45" s="505"/>
      <c r="H45" s="39" t="s">
        <v>346</v>
      </c>
      <c r="I45" s="40" t="s">
        <v>283</v>
      </c>
      <c r="J45" s="6" t="s">
        <v>345</v>
      </c>
      <c r="K45" s="6"/>
      <c r="L45" s="7">
        <f t="shared" ref="L45:L47" si="8">SUM(N45:W45)</f>
        <v>20</v>
      </c>
      <c r="V45" s="31">
        <f>SUM($V$6:$V$15)</f>
        <v>20</v>
      </c>
      <c r="W45" s="41"/>
    </row>
    <row r="46" spans="6:40" ht="11.25" customHeight="1">
      <c r="G46" s="505"/>
      <c r="H46" s="39" t="s">
        <v>347</v>
      </c>
      <c r="I46" s="40" t="s">
        <v>284</v>
      </c>
      <c r="J46" s="6" t="s">
        <v>345</v>
      </c>
      <c r="K46" s="6"/>
      <c r="L46" s="7">
        <f t="shared" si="8"/>
        <v>20</v>
      </c>
      <c r="O46" s="3"/>
      <c r="P46" s="31">
        <f>SUM($P$6:$P$15)</f>
        <v>10</v>
      </c>
      <c r="U46" s="31">
        <f>SUM($U$6:$U$15)</f>
        <v>10</v>
      </c>
      <c r="W46" s="41"/>
      <c r="AB46">
        <v>2023</v>
      </c>
      <c r="AC46" s="69">
        <v>1.2</v>
      </c>
      <c r="AE46" s="58">
        <f>+AE38*AC46</f>
        <v>126720000</v>
      </c>
    </row>
    <row r="47" spans="6:40" ht="11.25" customHeight="1">
      <c r="G47" s="505"/>
      <c r="H47" s="39" t="s">
        <v>348</v>
      </c>
      <c r="I47" s="40" t="s">
        <v>285</v>
      </c>
      <c r="J47" s="6" t="s">
        <v>345</v>
      </c>
      <c r="K47" s="6"/>
      <c r="L47" s="7">
        <f t="shared" si="8"/>
        <v>0</v>
      </c>
      <c r="W47" s="41"/>
      <c r="AB47">
        <v>2024</v>
      </c>
      <c r="AC47" s="69">
        <v>1.1499999999999999</v>
      </c>
      <c r="AE47" s="58">
        <f>+AE46*AC47</f>
        <v>145728000</v>
      </c>
    </row>
    <row r="48" spans="6:40" ht="11.25" customHeight="1">
      <c r="G48" s="505"/>
      <c r="L48" s="3">
        <f t="shared" ref="L48:L50" si="9">SUM(N48:W48)</f>
        <v>0</v>
      </c>
      <c r="W48" s="41"/>
      <c r="AB48">
        <v>2025</v>
      </c>
      <c r="AC48" s="69">
        <v>1.1499999999999999</v>
      </c>
      <c r="AE48" s="58">
        <f>+AE47*AC48</f>
        <v>167587200</v>
      </c>
    </row>
    <row r="49" spans="7:31" ht="11.25" customHeight="1">
      <c r="G49" s="505"/>
      <c r="H49" s="39" t="s">
        <v>349</v>
      </c>
      <c r="I49" s="40" t="s">
        <v>283</v>
      </c>
      <c r="J49" s="6" t="s">
        <v>350</v>
      </c>
      <c r="K49" s="6"/>
      <c r="L49" s="7">
        <f t="shared" si="9"/>
        <v>10</v>
      </c>
      <c r="Q49" s="31">
        <f>SUM($Q$6:$Q$14)</f>
        <v>5</v>
      </c>
      <c r="T49" s="31">
        <f>SUM($T$6:$T$14)</f>
        <v>5</v>
      </c>
      <c r="W49" s="41"/>
      <c r="AB49">
        <v>2026</v>
      </c>
      <c r="AC49" s="69">
        <v>1.5</v>
      </c>
      <c r="AE49" s="58">
        <f>+AE48*AC49</f>
        <v>251380800</v>
      </c>
    </row>
    <row r="50" spans="7:31" ht="11.25" customHeight="1">
      <c r="G50" s="505"/>
      <c r="H50" s="39" t="s">
        <v>351</v>
      </c>
      <c r="I50" s="40" t="s">
        <v>284</v>
      </c>
      <c r="J50" s="6" t="s">
        <v>350</v>
      </c>
      <c r="K50" s="6"/>
      <c r="L50" s="7">
        <f t="shared" si="9"/>
        <v>10</v>
      </c>
      <c r="R50" s="31">
        <f>SUM($R$6:$R$14)</f>
        <v>5</v>
      </c>
      <c r="S50" s="31">
        <f>SUM($S$6:$S$14)</f>
        <v>5</v>
      </c>
      <c r="W50" s="41"/>
    </row>
    <row r="51" spans="7:31" ht="11.25" customHeight="1" thickBot="1">
      <c r="G51" s="506"/>
      <c r="H51" s="42" t="s">
        <v>352</v>
      </c>
      <c r="I51" s="43" t="s">
        <v>285</v>
      </c>
      <c r="J51" s="44" t="s">
        <v>350</v>
      </c>
      <c r="K51" s="44"/>
      <c r="L51" s="45">
        <f t="shared" ref="L51" si="10">SUM(N51:W51)</f>
        <v>5</v>
      </c>
      <c r="M51" s="46"/>
      <c r="N51" s="46"/>
      <c r="O51" s="46"/>
      <c r="P51" s="46"/>
      <c r="Q51" s="46"/>
      <c r="R51" s="46"/>
      <c r="S51" s="47">
        <v>5</v>
      </c>
      <c r="T51" s="46"/>
      <c r="U51" s="46"/>
      <c r="V51" s="46"/>
      <c r="W51" s="56"/>
    </row>
  </sheetData>
  <mergeCells count="2">
    <mergeCell ref="G22:G33"/>
    <mergeCell ref="G40:G51"/>
  </mergeCells>
  <phoneticPr fontId="17" type="noConversion"/>
  <pageMargins left="0.7" right="0.7" top="0.75" bottom="0.75" header="0.3" footer="0.3"/>
  <pageSetup orientation="portrait" r:id="rId1"/>
  <headerFooter>
    <oddHeader>&amp;C&amp;"Arial"&amp;8&amp;K000000INTERNAL&amp;1#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9df2c6-054e-4caa-bbec-543129edf3d9" xsi:nil="true"/>
    <lcf76f155ced4ddcb4097134ff3c332f xmlns="380d98aa-e734-417d-81ad-3ac905303b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7D871BBCCF4134981C3825295B422C0" ma:contentTypeVersion="11" ma:contentTypeDescription="Crear nuevo documento." ma:contentTypeScope="" ma:versionID="922bf1c7cd76e13540a9d30c46a9c0d5">
  <xsd:schema xmlns:xsd="http://www.w3.org/2001/XMLSchema" xmlns:xs="http://www.w3.org/2001/XMLSchema" xmlns:p="http://schemas.microsoft.com/office/2006/metadata/properties" xmlns:ns2="380d98aa-e734-417d-81ad-3ac905303bf1" xmlns:ns3="199df2c6-054e-4caa-bbec-543129edf3d9" targetNamespace="http://schemas.microsoft.com/office/2006/metadata/properties" ma:root="true" ma:fieldsID="bca50fe46078911d9df64f16e5c93a40" ns2:_="" ns3:_="">
    <xsd:import namespace="380d98aa-e734-417d-81ad-3ac905303bf1"/>
    <xsd:import namespace="199df2c6-054e-4caa-bbec-543129edf3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d98aa-e734-417d-81ad-3ac905303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9df2c6-054e-4caa-bbec-543129edf3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025be67-c2ac-4ea8-b4c5-50e26ca00126}" ma:internalName="TaxCatchAll" ma:showField="CatchAllData" ma:web="199df2c6-054e-4caa-bbec-543129edf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F5B1D0-EA24-4A84-8AF0-BE19F0679072}">
  <ds:schemaRefs>
    <ds:schemaRef ds:uri="http://schemas.microsoft.com/sharepoint/v3/contenttype/forms"/>
  </ds:schemaRefs>
</ds:datastoreItem>
</file>

<file path=customXml/itemProps2.xml><?xml version="1.0" encoding="utf-8"?>
<ds:datastoreItem xmlns:ds="http://schemas.openxmlformats.org/officeDocument/2006/customXml" ds:itemID="{338A0896-166B-40D6-9870-2F64656092E3}">
  <ds:schemaRefs>
    <ds:schemaRef ds:uri="http://schemas.microsoft.com/office/2006/documentManagement/types"/>
    <ds:schemaRef ds:uri="http://purl.org/dc/elements/1.1/"/>
    <ds:schemaRef ds:uri="http://schemas.microsoft.com/office/infopath/2007/PartnerControls"/>
    <ds:schemaRef ds:uri="380d98aa-e734-417d-81ad-3ac905303bf1"/>
    <ds:schemaRef ds:uri="199df2c6-054e-4caa-bbec-543129edf3d9"/>
    <ds:schemaRef ds:uri="http://www.w3.org/XML/1998/namespace"/>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0AB7317-4961-44C1-9669-B9CE1D6E7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d98aa-e734-417d-81ad-3ac905303bf1"/>
    <ds:schemaRef ds:uri="199df2c6-054e-4caa-bbec-543129edf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Menú</vt:lpstr>
      <vt:lpstr>1. Ventas y Premisas</vt:lpstr>
      <vt:lpstr>2. Inversión y Gastos</vt:lpstr>
      <vt:lpstr>3 Financiación</vt:lpstr>
      <vt:lpstr>4. Resultados Financieros</vt:lpstr>
      <vt:lpstr>5. KPIs</vt:lpstr>
      <vt:lpstr>Proyecciones VF</vt:lpstr>
      <vt:lpstr>Vr2 Ing y Cost Esports</vt:lpstr>
      <vt:lpstr>Torneos</vt:lpstr>
      <vt:lpstr>Vr1 Ing y Cost Esports</vt:lpstr>
      <vt:lpstr>Estructura Organizativa</vt:lpstr>
      <vt:lpstr>Tablas</vt:lpstr>
      <vt:lpstr>Calendario Torneos VF</vt:lpstr>
      <vt:lpstr>Calendario Ligas VF</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Sanchez Hernandez, Oscar Enrique, Enel Colombia</cp:lastModifiedBy>
  <cp:revision/>
  <dcterms:created xsi:type="dcterms:W3CDTF">2013-07-30T17:19:59Z</dcterms:created>
  <dcterms:modified xsi:type="dcterms:W3CDTF">2024-08-18T16:49:28Z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7ad33d-ed35-43c0-b526-22bc83c17deb_Enabled">
    <vt:lpwstr>true</vt:lpwstr>
  </property>
  <property fmtid="{D5CDD505-2E9C-101B-9397-08002B2CF9AE}" pid="3" name="MSIP_Label_797ad33d-ed35-43c0-b526-22bc83c17deb_SetDate">
    <vt:lpwstr>2022-09-15T14:02:21Z</vt:lpwstr>
  </property>
  <property fmtid="{D5CDD505-2E9C-101B-9397-08002B2CF9AE}" pid="4" name="MSIP_Label_797ad33d-ed35-43c0-b526-22bc83c17deb_Method">
    <vt:lpwstr>Standard</vt:lpwstr>
  </property>
  <property fmtid="{D5CDD505-2E9C-101B-9397-08002B2CF9AE}" pid="5" name="MSIP_Label_797ad33d-ed35-43c0-b526-22bc83c17deb_Name">
    <vt:lpwstr>797ad33d-ed35-43c0-b526-22bc83c17deb</vt:lpwstr>
  </property>
  <property fmtid="{D5CDD505-2E9C-101B-9397-08002B2CF9AE}" pid="6" name="MSIP_Label_797ad33d-ed35-43c0-b526-22bc83c17deb_SiteId">
    <vt:lpwstr>d539d4bf-5610-471a-afc2-1c76685cfefa</vt:lpwstr>
  </property>
  <property fmtid="{D5CDD505-2E9C-101B-9397-08002B2CF9AE}" pid="7" name="MSIP_Label_797ad33d-ed35-43c0-b526-22bc83c17deb_ActionId">
    <vt:lpwstr>2887fc9c-d0b1-4c9a-b94d-c14700f1ba36</vt:lpwstr>
  </property>
  <property fmtid="{D5CDD505-2E9C-101B-9397-08002B2CF9AE}" pid="8" name="MSIP_Label_797ad33d-ed35-43c0-b526-22bc83c17deb_ContentBits">
    <vt:lpwstr>1</vt:lpwstr>
  </property>
  <property fmtid="{D5CDD505-2E9C-101B-9397-08002B2CF9AE}" pid="9" name="ContentTypeId">
    <vt:lpwstr>0x010100C7D871BBCCF4134981C3825295B422C0</vt:lpwstr>
  </property>
  <property fmtid="{D5CDD505-2E9C-101B-9397-08002B2CF9AE}" pid="10" name="MediaServiceImageTags">
    <vt:lpwstr/>
  </property>
</Properties>
</file>