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omments1.xml" ContentType="application/vnd.openxmlformats-officedocument.spreadsheetml.comments+xml"/>
  <Override PartName="/xl/drawings/drawing3.xml" ContentType="application/vnd.openxmlformats-officedocument.drawing+xml"/>
  <Override PartName="/xl/comments2.xml" ContentType="application/vnd.openxmlformats-officedocument.spreadsheetml.comments+xml"/>
  <Override PartName="/xl/drawings/drawing4.xml" ContentType="application/vnd.openxmlformats-officedocument.drawing+xml"/>
  <Override PartName="/xl/comments3.xml" ContentType="application/vnd.openxmlformats-officedocument.spreadsheetml.comments+xml"/>
  <Override PartName="/xl/drawings/drawing5.xml" ContentType="application/vnd.openxmlformats-officedocument.drawing+xml"/>
  <Override PartName="/xl/drawings/drawing6.xml" ContentType="application/vnd.openxmlformats-officedocument.drawing+xml"/>
  <Override PartName="/xl/comments4.xml" ContentType="application/vnd.openxmlformats-officedocument.spreadsheetml.comments+xml"/>
  <Override PartName="/xl/charts/chart1.xml" ContentType="application/vnd.openxmlformats-officedocument.drawingml.chart+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10916"/>
  <workbookPr codeName="ThisWorkbook" defaultThemeVersion="124226"/>
  <mc:AlternateContent xmlns:mc="http://schemas.openxmlformats.org/markup-compatibility/2006">
    <mc:Choice Requires="x15">
      <x15ac:absPath xmlns:x15ac="http://schemas.microsoft.com/office/spreadsheetml/2010/11/ac" url="/Users/julyhernandez/Documents/U. EAN/MBA/Semestre IV/Trabajo de Grado/"/>
    </mc:Choice>
  </mc:AlternateContent>
  <xr:revisionPtr revIDLastSave="0" documentId="13_ncr:1_{591CDF03-954C-0D45-AB79-B0D63DA8C48D}" xr6:coauthVersionLast="47" xr6:coauthVersionMax="47" xr10:uidLastSave="{00000000-0000-0000-0000-000000000000}"/>
  <bookViews>
    <workbookView xWindow="0" yWindow="500" windowWidth="28800" windowHeight="15980" tabRatio="703" activeTab="3" xr2:uid="{00000000-000D-0000-FFFF-FFFF00000000}"/>
  </bookViews>
  <sheets>
    <sheet name="Menú" sheetId="7" r:id="rId1"/>
    <sheet name="1" sheetId="1" r:id="rId2"/>
    <sheet name="2" sheetId="4" r:id="rId3"/>
    <sheet name="3" sheetId="3" r:id="rId4"/>
    <sheet name="4" sheetId="5" r:id="rId5"/>
    <sheet name="5" sheetId="6" r:id="rId6"/>
  </sheets>
  <definedNames>
    <definedName name="_xlnm.Print_Area" localSheetId="0">Menú!$B$2:$J$24</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F29" i="4" l="1"/>
  <c r="F28" i="4"/>
  <c r="C22" i="4" l="1"/>
  <c r="C20" i="4"/>
  <c r="C11" i="4"/>
  <c r="C18" i="4"/>
  <c r="F27" i="4"/>
  <c r="F26" i="4"/>
  <c r="F25" i="4"/>
  <c r="F24" i="4"/>
  <c r="F22" i="4"/>
  <c r="F21" i="4"/>
  <c r="F20" i="4"/>
  <c r="F19" i="4"/>
  <c r="F18" i="4"/>
  <c r="D23" i="1"/>
  <c r="D22" i="1"/>
  <c r="D21" i="1"/>
  <c r="H55" i="6" l="1"/>
  <c r="H54" i="6"/>
  <c r="B40" i="6" l="1"/>
  <c r="B41" i="6" s="1"/>
  <c r="B42" i="6" s="1"/>
  <c r="B43" i="6" s="1"/>
  <c r="B44" i="6" s="1"/>
  <c r="B45" i="6" s="1"/>
  <c r="B46" i="6" s="1"/>
  <c r="B47" i="6" s="1"/>
  <c r="B48" i="6" s="1"/>
  <c r="C40" i="6"/>
  <c r="C41" i="6"/>
  <c r="C42" i="6"/>
  <c r="C43" i="6"/>
  <c r="C44" i="6"/>
  <c r="C45" i="6"/>
  <c r="C46" i="6"/>
  <c r="C47" i="6"/>
  <c r="C48" i="6"/>
  <c r="C39" i="6"/>
  <c r="F11" i="5" l="1"/>
  <c r="G11" i="5"/>
  <c r="E11" i="5" l="1"/>
  <c r="D11" i="5"/>
  <c r="C11" i="5"/>
  <c r="J16" i="6" l="1"/>
  <c r="J17" i="6"/>
  <c r="J18" i="6"/>
  <c r="J19" i="6"/>
  <c r="J20" i="6"/>
  <c r="J21" i="6"/>
  <c r="J22" i="6"/>
  <c r="J23" i="6"/>
  <c r="J24" i="6"/>
  <c r="J15" i="6"/>
  <c r="H16" i="6"/>
  <c r="H17" i="6"/>
  <c r="H18" i="6"/>
  <c r="H19" i="6"/>
  <c r="H20" i="6"/>
  <c r="H21" i="6"/>
  <c r="H22" i="6"/>
  <c r="H23" i="6"/>
  <c r="H24" i="6"/>
  <c r="H15" i="6"/>
  <c r="D33" i="6"/>
  <c r="G16" i="6"/>
  <c r="G17" i="6" s="1"/>
  <c r="G18" i="6" s="1"/>
  <c r="G19" i="6" s="1"/>
  <c r="G20" i="6" s="1"/>
  <c r="G21" i="6" s="1"/>
  <c r="G22" i="6" s="1"/>
  <c r="G23" i="6" s="1"/>
  <c r="G24" i="6" s="1"/>
  <c r="G25" i="6" s="1"/>
  <c r="C16" i="6"/>
  <c r="C17" i="6"/>
  <c r="C18" i="6"/>
  <c r="C19" i="6"/>
  <c r="C20" i="6"/>
  <c r="C21" i="6"/>
  <c r="C22" i="6"/>
  <c r="C23" i="6"/>
  <c r="C24" i="6"/>
  <c r="C15" i="6"/>
  <c r="B16" i="6"/>
  <c r="B17" i="6"/>
  <c r="B18" i="6"/>
  <c r="B19" i="6"/>
  <c r="B20" i="6"/>
  <c r="B21" i="6"/>
  <c r="B22" i="6"/>
  <c r="B23" i="6"/>
  <c r="B24" i="6"/>
  <c r="B15" i="6"/>
  <c r="B14" i="6"/>
  <c r="C23" i="4" l="1"/>
  <c r="C9" i="5" s="1"/>
  <c r="B49" i="5"/>
  <c r="B45" i="5"/>
  <c r="B23" i="5"/>
  <c r="C23" i="5" s="1"/>
  <c r="G6" i="4"/>
  <c r="G7" i="4"/>
  <c r="G8" i="4"/>
  <c r="G9" i="4"/>
  <c r="G10" i="4"/>
  <c r="G11" i="4"/>
  <c r="G5" i="4"/>
  <c r="B34" i="5"/>
  <c r="C34" i="5" s="1"/>
  <c r="B30" i="5"/>
  <c r="G12" i="4" l="1"/>
  <c r="C12" i="5" s="1"/>
  <c r="D23" i="5"/>
  <c r="B36" i="5"/>
  <c r="D34" i="5"/>
  <c r="E23" i="5" l="1"/>
  <c r="F23" i="5" s="1"/>
  <c r="E34" i="5"/>
  <c r="G23" i="5" l="1"/>
  <c r="F34" i="5"/>
  <c r="G34" i="5" l="1"/>
  <c r="D10" i="3" l="1"/>
  <c r="D9" i="3"/>
  <c r="F17" i="4"/>
  <c r="F31" i="4"/>
  <c r="C10" i="5" s="1"/>
  <c r="D10" i="5" s="1"/>
  <c r="E10" i="5" s="1"/>
  <c r="F10" i="5" s="1"/>
  <c r="G10" i="5" s="1"/>
  <c r="C12" i="4"/>
  <c r="D11" i="3" l="1"/>
  <c r="C33" i="6"/>
  <c r="C4" i="3"/>
  <c r="B24" i="5"/>
  <c r="C25" i="5"/>
  <c r="C49" i="5" s="1"/>
  <c r="D12" i="5"/>
  <c r="D9" i="5"/>
  <c r="E9" i="5" s="1"/>
  <c r="F9" i="5" s="1"/>
  <c r="R16" i="1"/>
  <c r="S16" i="1"/>
  <c r="V16" i="1"/>
  <c r="W16" i="1"/>
  <c r="G2" i="1"/>
  <c r="B31" i="1"/>
  <c r="P18" i="1"/>
  <c r="P19" i="1"/>
  <c r="Q19" i="1" s="1"/>
  <c r="R19" i="1" s="1"/>
  <c r="P20" i="1"/>
  <c r="Q20" i="1" s="1"/>
  <c r="R20" i="1" s="1"/>
  <c r="S20" i="1" s="1"/>
  <c r="P21" i="1"/>
  <c r="Q21" i="1" s="1"/>
  <c r="R21" i="1" s="1"/>
  <c r="P22" i="1"/>
  <c r="P23" i="1"/>
  <c r="P24" i="1"/>
  <c r="P25" i="1"/>
  <c r="Q25" i="1" s="1"/>
  <c r="R25" i="1" s="1"/>
  <c r="P26" i="1"/>
  <c r="Q26" i="1" s="1"/>
  <c r="R26" i="1" s="1"/>
  <c r="S26" i="1" s="1"/>
  <c r="P17" i="1"/>
  <c r="P16" i="1"/>
  <c r="Q16" i="1"/>
  <c r="T16" i="1"/>
  <c r="U16" i="1"/>
  <c r="P4" i="1"/>
  <c r="Q4" i="1" s="1"/>
  <c r="R4" i="1" s="1"/>
  <c r="S4" i="1" s="1"/>
  <c r="P5" i="1"/>
  <c r="Q5" i="1" s="1"/>
  <c r="R5" i="1" s="1"/>
  <c r="S5" i="1" s="1"/>
  <c r="P6" i="1"/>
  <c r="Q6" i="1" s="1"/>
  <c r="R6" i="1" s="1"/>
  <c r="S6" i="1" s="1"/>
  <c r="P7" i="1"/>
  <c r="Q7" i="1" s="1"/>
  <c r="R7" i="1" s="1"/>
  <c r="S7" i="1" s="1"/>
  <c r="P8" i="1"/>
  <c r="Q8" i="1" s="1"/>
  <c r="R8" i="1" s="1"/>
  <c r="S8" i="1" s="1"/>
  <c r="P9" i="1"/>
  <c r="Q9" i="1" s="1"/>
  <c r="R9" i="1" s="1"/>
  <c r="S9" i="1" s="1"/>
  <c r="P10" i="1"/>
  <c r="Q10" i="1" s="1"/>
  <c r="R10" i="1" s="1"/>
  <c r="S10" i="1" s="1"/>
  <c r="P11" i="1"/>
  <c r="Q11" i="1" s="1"/>
  <c r="R11" i="1" s="1"/>
  <c r="S11" i="1" s="1"/>
  <c r="P12" i="1"/>
  <c r="Q12" i="1" s="1"/>
  <c r="R12" i="1" s="1"/>
  <c r="S12" i="1" s="1"/>
  <c r="P3" i="1"/>
  <c r="Q3" i="1" s="1"/>
  <c r="R3" i="1" s="1"/>
  <c r="S3" i="1" s="1"/>
  <c r="L4" i="1"/>
  <c r="L5" i="1"/>
  <c r="M5" i="1" s="1"/>
  <c r="N5" i="1" s="1"/>
  <c r="O5" i="1" s="1"/>
  <c r="L6" i="1"/>
  <c r="M6" i="1" s="1"/>
  <c r="N6" i="1" s="1"/>
  <c r="O6" i="1" s="1"/>
  <c r="L7" i="1"/>
  <c r="M7" i="1" s="1"/>
  <c r="N7" i="1" s="1"/>
  <c r="O7" i="1" s="1"/>
  <c r="L8" i="1"/>
  <c r="L9" i="1"/>
  <c r="L10" i="1"/>
  <c r="M10" i="1" s="1"/>
  <c r="N10" i="1" s="1"/>
  <c r="O10" i="1" s="1"/>
  <c r="L11" i="1"/>
  <c r="M11" i="1" s="1"/>
  <c r="N11" i="1" s="1"/>
  <c r="O11" i="1" s="1"/>
  <c r="L12" i="1"/>
  <c r="M12" i="1" s="1"/>
  <c r="N12" i="1" s="1"/>
  <c r="O12" i="1" s="1"/>
  <c r="L3" i="1"/>
  <c r="M3" i="1" s="1"/>
  <c r="N3" i="1" s="1"/>
  <c r="O3" i="1" s="1"/>
  <c r="D27" i="1"/>
  <c r="E4" i="1"/>
  <c r="E5" i="1"/>
  <c r="E6" i="1"/>
  <c r="E7" i="1"/>
  <c r="E8" i="1"/>
  <c r="E9" i="1"/>
  <c r="E10" i="1"/>
  <c r="E11" i="1"/>
  <c r="E12" i="1"/>
  <c r="E3" i="1"/>
  <c r="B18" i="1"/>
  <c r="B19" i="1"/>
  <c r="B20" i="1"/>
  <c r="B21" i="1"/>
  <c r="B22" i="1"/>
  <c r="B23" i="1"/>
  <c r="B24" i="1"/>
  <c r="B25" i="1"/>
  <c r="B26" i="1"/>
  <c r="B17" i="1"/>
  <c r="C18" i="1"/>
  <c r="E18" i="1" s="1"/>
  <c r="C19" i="1"/>
  <c r="E19" i="1" s="1"/>
  <c r="C20" i="1"/>
  <c r="E20" i="1" s="1"/>
  <c r="C21" i="1"/>
  <c r="L21" i="1" s="1"/>
  <c r="M21" i="1" s="1"/>
  <c r="N21" i="1" s="1"/>
  <c r="O21" i="1" s="1"/>
  <c r="C22" i="1"/>
  <c r="E22" i="1" s="1"/>
  <c r="C23" i="1"/>
  <c r="E23" i="1" s="1"/>
  <c r="C24" i="1"/>
  <c r="E24" i="1" s="1"/>
  <c r="C25" i="1"/>
  <c r="E25" i="1" s="1"/>
  <c r="C26" i="1"/>
  <c r="E26" i="1" s="1"/>
  <c r="C17" i="1"/>
  <c r="E17" i="1" s="1"/>
  <c r="A17" i="1"/>
  <c r="A4" i="1"/>
  <c r="A18" i="1" s="1"/>
  <c r="C5" i="5" l="1"/>
  <c r="C20" i="5" s="1"/>
  <c r="D7" i="6" s="1"/>
  <c r="E9" i="3"/>
  <c r="G9" i="5"/>
  <c r="H2" i="1"/>
  <c r="I2" i="1" s="1"/>
  <c r="B28" i="4"/>
  <c r="C34" i="6"/>
  <c r="C35" i="6" s="1"/>
  <c r="F33" i="6"/>
  <c r="W12" i="1"/>
  <c r="W11" i="1"/>
  <c r="W10" i="1"/>
  <c r="W7" i="1"/>
  <c r="W6" i="1"/>
  <c r="W5" i="1"/>
  <c r="W3" i="1"/>
  <c r="B26" i="5"/>
  <c r="B48" i="5" s="1"/>
  <c r="B50" i="5" s="1"/>
  <c r="C24" i="5"/>
  <c r="E12" i="5"/>
  <c r="F12" i="5" s="1"/>
  <c r="D25" i="5"/>
  <c r="D49" i="5" s="1"/>
  <c r="C31" i="1"/>
  <c r="L2" i="1"/>
  <c r="L16" i="1" s="1"/>
  <c r="S25" i="1"/>
  <c r="S21" i="1"/>
  <c r="W21" i="1" s="1"/>
  <c r="V21" i="1"/>
  <c r="S19" i="1"/>
  <c r="V12" i="1"/>
  <c r="V10" i="1"/>
  <c r="V6" i="1"/>
  <c r="V3" i="1"/>
  <c r="V11" i="1"/>
  <c r="V7" i="1"/>
  <c r="V5" i="1"/>
  <c r="Z3" i="1"/>
  <c r="AA3" i="1" s="1"/>
  <c r="AB3" i="1" s="1"/>
  <c r="AC3" i="1" s="1"/>
  <c r="L19" i="1"/>
  <c r="M19" i="1" s="1"/>
  <c r="L17" i="1"/>
  <c r="M17" i="1" s="1"/>
  <c r="N17" i="1" s="1"/>
  <c r="O17" i="1" s="1"/>
  <c r="L18" i="1"/>
  <c r="M18" i="1" s="1"/>
  <c r="N18" i="1" s="1"/>
  <c r="O18" i="1" s="1"/>
  <c r="L23" i="1"/>
  <c r="M23" i="1" s="1"/>
  <c r="N23" i="1" s="1"/>
  <c r="O23" i="1" s="1"/>
  <c r="Q23" i="1"/>
  <c r="R23" i="1" s="1"/>
  <c r="S23" i="1" s="1"/>
  <c r="L22" i="1"/>
  <c r="M22" i="1" s="1"/>
  <c r="N22" i="1" s="1"/>
  <c r="O22" i="1" s="1"/>
  <c r="A5" i="1"/>
  <c r="A6" i="1" s="1"/>
  <c r="A7" i="1" s="1"/>
  <c r="A8" i="1" s="1"/>
  <c r="A9" i="1" s="1"/>
  <c r="A10" i="1" s="1"/>
  <c r="A11" i="1" s="1"/>
  <c r="A12" i="1" s="1"/>
  <c r="A26" i="1" s="1"/>
  <c r="E21" i="1"/>
  <c r="E27" i="1" s="1"/>
  <c r="L25" i="1"/>
  <c r="M25" i="1" s="1"/>
  <c r="U21" i="1"/>
  <c r="Q17" i="1"/>
  <c r="R17" i="1" s="1"/>
  <c r="S17" i="1" s="1"/>
  <c r="L26" i="1"/>
  <c r="M26" i="1" s="1"/>
  <c r="U6" i="1"/>
  <c r="L24" i="1"/>
  <c r="M24" i="1" s="1"/>
  <c r="N24" i="1" s="1"/>
  <c r="O24" i="1" s="1"/>
  <c r="L20" i="1"/>
  <c r="M20" i="1" s="1"/>
  <c r="Q24" i="1"/>
  <c r="R24" i="1" s="1"/>
  <c r="Q22" i="1"/>
  <c r="R22" i="1" s="1"/>
  <c r="S22" i="1" s="1"/>
  <c r="Q18" i="1"/>
  <c r="R18" i="1" s="1"/>
  <c r="T21" i="1"/>
  <c r="T9" i="1"/>
  <c r="U5" i="1"/>
  <c r="U10" i="1"/>
  <c r="T3" i="1"/>
  <c r="T10" i="1"/>
  <c r="T6" i="1"/>
  <c r="U11" i="1"/>
  <c r="U7" i="1"/>
  <c r="U3" i="1"/>
  <c r="T5" i="1"/>
  <c r="U12" i="1"/>
  <c r="T12" i="1"/>
  <c r="T8" i="1"/>
  <c r="T4" i="1"/>
  <c r="T11" i="1"/>
  <c r="M9" i="1"/>
  <c r="M8" i="1"/>
  <c r="T7" i="1"/>
  <c r="M4" i="1"/>
  <c r="E13" i="1"/>
  <c r="D5" i="5" l="1"/>
  <c r="D20" i="5" s="1"/>
  <c r="E7" i="6" s="1"/>
  <c r="E10" i="3"/>
  <c r="C43" i="5"/>
  <c r="G12" i="5"/>
  <c r="F25" i="5"/>
  <c r="J2" i="1"/>
  <c r="B31" i="4" s="1"/>
  <c r="B30" i="4"/>
  <c r="M2" i="1"/>
  <c r="B29" i="4"/>
  <c r="A21" i="1"/>
  <c r="F24" i="1"/>
  <c r="F21" i="1"/>
  <c r="F25" i="1"/>
  <c r="F18" i="1"/>
  <c r="F22" i="1"/>
  <c r="F26" i="1"/>
  <c r="F19" i="1"/>
  <c r="F23" i="1"/>
  <c r="F17" i="1"/>
  <c r="F20" i="1"/>
  <c r="F4" i="1"/>
  <c r="D16" i="6" s="1"/>
  <c r="E16" i="6" s="1"/>
  <c r="F5" i="1"/>
  <c r="D17" i="6" s="1"/>
  <c r="E17" i="6" s="1"/>
  <c r="F9" i="1"/>
  <c r="D21" i="6" s="1"/>
  <c r="E21" i="6" s="1"/>
  <c r="F3" i="1"/>
  <c r="D15" i="6" s="1"/>
  <c r="E15" i="6" s="1"/>
  <c r="F6" i="1"/>
  <c r="D18" i="6" s="1"/>
  <c r="E18" i="6" s="1"/>
  <c r="F10" i="1"/>
  <c r="D22" i="6" s="1"/>
  <c r="E22" i="6" s="1"/>
  <c r="F7" i="1"/>
  <c r="D19" i="6" s="1"/>
  <c r="E19" i="6" s="1"/>
  <c r="F11" i="1"/>
  <c r="D23" i="6" s="1"/>
  <c r="E23" i="6" s="1"/>
  <c r="F8" i="1"/>
  <c r="D20" i="6" s="1"/>
  <c r="E20" i="6" s="1"/>
  <c r="F12" i="1"/>
  <c r="D24" i="6" s="1"/>
  <c r="E24" i="6" s="1"/>
  <c r="B33" i="1"/>
  <c r="B32" i="1"/>
  <c r="C6" i="5" s="1"/>
  <c r="W23" i="1"/>
  <c r="W22" i="1"/>
  <c r="U26" i="1"/>
  <c r="N26" i="1"/>
  <c r="U25" i="1"/>
  <c r="N25" i="1"/>
  <c r="U9" i="1"/>
  <c r="N9" i="1"/>
  <c r="U8" i="1"/>
  <c r="N8" i="1"/>
  <c r="U20" i="1"/>
  <c r="N20" i="1"/>
  <c r="U19" i="1"/>
  <c r="N19" i="1"/>
  <c r="U4" i="1"/>
  <c r="N4" i="1"/>
  <c r="W17" i="1"/>
  <c r="D24" i="5"/>
  <c r="C26" i="5"/>
  <c r="C48" i="5" s="1"/>
  <c r="C50" i="5" s="1"/>
  <c r="E25" i="5"/>
  <c r="E49" i="5" s="1"/>
  <c r="D31" i="1"/>
  <c r="V23" i="1"/>
  <c r="S18" i="1"/>
  <c r="W18" i="1" s="1"/>
  <c r="V18" i="1"/>
  <c r="V22" i="1"/>
  <c r="V17" i="1"/>
  <c r="S24" i="1"/>
  <c r="W24" i="1" s="1"/>
  <c r="V24" i="1"/>
  <c r="T18" i="1"/>
  <c r="A24" i="1"/>
  <c r="A19" i="1"/>
  <c r="U23" i="1"/>
  <c r="U18" i="1"/>
  <c r="T25" i="1"/>
  <c r="U22" i="1"/>
  <c r="T22" i="1"/>
  <c r="A25" i="1"/>
  <c r="A22" i="1"/>
  <c r="T23" i="1"/>
  <c r="A23" i="1"/>
  <c r="A20" i="1"/>
  <c r="U24" i="1"/>
  <c r="T20" i="1"/>
  <c r="U17" i="1"/>
  <c r="T17" i="1"/>
  <c r="T26" i="1"/>
  <c r="T24" i="1"/>
  <c r="T19" i="1"/>
  <c r="T13" i="1"/>
  <c r="C32" i="1" s="1"/>
  <c r="D6" i="5" s="1"/>
  <c r="D43" i="5" l="1"/>
  <c r="E5" i="5"/>
  <c r="E20" i="5" s="1"/>
  <c r="F7" i="6" s="1"/>
  <c r="E11" i="3"/>
  <c r="G25" i="5"/>
  <c r="D8" i="3"/>
  <c r="D12" i="3" s="1"/>
  <c r="D14" i="3" s="1"/>
  <c r="C8" i="6" s="1"/>
  <c r="M16" i="1"/>
  <c r="N2" i="1"/>
  <c r="E27" i="6"/>
  <c r="E28" i="6" s="1"/>
  <c r="C7" i="5"/>
  <c r="C8" i="5" s="1"/>
  <c r="U13" i="1"/>
  <c r="D32" i="1" s="1"/>
  <c r="E6" i="5" s="1"/>
  <c r="F27" i="1"/>
  <c r="F13" i="1"/>
  <c r="B34" i="1"/>
  <c r="O26" i="1"/>
  <c r="W26" i="1" s="1"/>
  <c r="V26" i="1"/>
  <c r="O25" i="1"/>
  <c r="W25" i="1" s="1"/>
  <c r="V25" i="1"/>
  <c r="O9" i="1"/>
  <c r="W9" i="1" s="1"/>
  <c r="V9" i="1"/>
  <c r="O8" i="1"/>
  <c r="W8" i="1" s="1"/>
  <c r="V8" i="1"/>
  <c r="O20" i="1"/>
  <c r="W20" i="1" s="1"/>
  <c r="V20" i="1"/>
  <c r="O19" i="1"/>
  <c r="W19" i="1" s="1"/>
  <c r="V19" i="1"/>
  <c r="O4" i="1"/>
  <c r="W4" i="1" s="1"/>
  <c r="V4" i="1"/>
  <c r="E24" i="5"/>
  <c r="F24" i="5" s="1"/>
  <c r="D26" i="5"/>
  <c r="D48" i="5" s="1"/>
  <c r="D50" i="5" s="1"/>
  <c r="F49" i="5"/>
  <c r="E31" i="1"/>
  <c r="U27" i="1"/>
  <c r="D33" i="1" s="1"/>
  <c r="T27" i="1"/>
  <c r="C33" i="1" s="1"/>
  <c r="E43" i="5" l="1"/>
  <c r="F5" i="5"/>
  <c r="F20" i="5" s="1"/>
  <c r="G7" i="6" s="1"/>
  <c r="E12" i="3"/>
  <c r="G24" i="5"/>
  <c r="G26" i="5" s="1"/>
  <c r="F26" i="5"/>
  <c r="D16" i="3"/>
  <c r="N16" i="1"/>
  <c r="O2" i="1"/>
  <c r="O16" i="1" s="1"/>
  <c r="C13" i="5"/>
  <c r="C55" i="5" s="1"/>
  <c r="C56" i="5" s="1"/>
  <c r="C57" i="5" s="1"/>
  <c r="F23" i="6"/>
  <c r="D47" i="6" s="1"/>
  <c r="E47" i="6" s="1"/>
  <c r="F24" i="6"/>
  <c r="D48" i="6" s="1"/>
  <c r="E48" i="6" s="1"/>
  <c r="F19" i="6"/>
  <c r="D43" i="6" s="1"/>
  <c r="E43" i="6" s="1"/>
  <c r="F20" i="6"/>
  <c r="D44" i="6" s="1"/>
  <c r="E44" i="6" s="1"/>
  <c r="F16" i="6"/>
  <c r="D40" i="6" s="1"/>
  <c r="E40" i="6" s="1"/>
  <c r="F18" i="6"/>
  <c r="D42" i="6" s="1"/>
  <c r="E42" i="6" s="1"/>
  <c r="F15" i="6"/>
  <c r="D39" i="6" s="1"/>
  <c r="E39" i="6" s="1"/>
  <c r="F17" i="6"/>
  <c r="D41" i="6" s="1"/>
  <c r="E41" i="6" s="1"/>
  <c r="F21" i="6"/>
  <c r="D45" i="6" s="1"/>
  <c r="E45" i="6" s="1"/>
  <c r="F22" i="6"/>
  <c r="D46" i="6" s="1"/>
  <c r="E46" i="6" s="1"/>
  <c r="V13" i="1"/>
  <c r="V27" i="1"/>
  <c r="E33" i="1" s="1"/>
  <c r="F7" i="5" s="1"/>
  <c r="W27" i="1"/>
  <c r="W13" i="1"/>
  <c r="E26" i="5"/>
  <c r="E48" i="5" s="1"/>
  <c r="E50" i="5" s="1"/>
  <c r="G49" i="5"/>
  <c r="C34" i="1"/>
  <c r="D7" i="5"/>
  <c r="D8" i="5" s="1"/>
  <c r="D34" i="1"/>
  <c r="E7" i="5"/>
  <c r="E8" i="5" s="1"/>
  <c r="F31" i="1"/>
  <c r="E13" i="3" s="1"/>
  <c r="E49" i="6" l="1"/>
  <c r="E29" i="6" s="1"/>
  <c r="F43" i="5"/>
  <c r="J8" i="3"/>
  <c r="B31" i="5" s="1"/>
  <c r="B32" i="5" s="1"/>
  <c r="F33" i="1"/>
  <c r="G7" i="5" s="1"/>
  <c r="F32" i="1"/>
  <c r="G6" i="5" s="1"/>
  <c r="E32" i="1"/>
  <c r="F6" i="5" s="1"/>
  <c r="F8" i="5" s="1"/>
  <c r="F13" i="5" s="1"/>
  <c r="D13" i="5"/>
  <c r="D55" i="5" s="1"/>
  <c r="D56" i="5" s="1"/>
  <c r="D57" i="5" s="1"/>
  <c r="E13" i="5"/>
  <c r="E55" i="5" s="1"/>
  <c r="E56" i="5" s="1"/>
  <c r="E57" i="5" s="1"/>
  <c r="E34" i="6"/>
  <c r="F34" i="6" s="1"/>
  <c r="D34" i="6"/>
  <c r="F25" i="6"/>
  <c r="B34" i="6" s="1"/>
  <c r="B35" i="6" s="1"/>
  <c r="G48" i="5"/>
  <c r="G50" i="5" s="1"/>
  <c r="F48" i="5"/>
  <c r="F50" i="5" s="1"/>
  <c r="G5" i="5"/>
  <c r="G20" i="5" s="1"/>
  <c r="H7" i="6" s="1"/>
  <c r="B38" i="5" l="1"/>
  <c r="B22" i="5" s="1"/>
  <c r="B44" i="5" s="1"/>
  <c r="B46" i="5" s="1"/>
  <c r="B52" i="5" s="1"/>
  <c r="F34" i="1"/>
  <c r="E34" i="1"/>
  <c r="G8" i="5"/>
  <c r="G13" i="5" s="1"/>
  <c r="G55" i="5" s="1"/>
  <c r="G56" i="5" s="1"/>
  <c r="G57" i="5" s="1"/>
  <c r="I9" i="3"/>
  <c r="F9" i="3"/>
  <c r="G9" i="3" s="1"/>
  <c r="C14" i="5" s="1"/>
  <c r="C15" i="5" s="1"/>
  <c r="C16" i="5" s="1"/>
  <c r="C29" i="5" s="1"/>
  <c r="F55" i="5"/>
  <c r="F56" i="5" s="1"/>
  <c r="F57" i="5" s="1"/>
  <c r="I16" i="6"/>
  <c r="I17" i="6"/>
  <c r="I22" i="6"/>
  <c r="I20" i="6"/>
  <c r="I21" i="6"/>
  <c r="I23" i="6"/>
  <c r="I24" i="6"/>
  <c r="I15" i="6"/>
  <c r="I19" i="6"/>
  <c r="I18" i="6"/>
  <c r="G43" i="5"/>
  <c r="B27" i="5" l="1"/>
  <c r="H52" i="6" s="1"/>
  <c r="C17" i="5"/>
  <c r="C35" i="5" s="1"/>
  <c r="C36" i="5" s="1"/>
  <c r="H9" i="3"/>
  <c r="J9" i="3" s="1"/>
  <c r="I10" i="3" s="1"/>
  <c r="E35" i="6"/>
  <c r="F35" i="6" s="1"/>
  <c r="D35" i="6"/>
  <c r="C30" i="5"/>
  <c r="C45" i="5"/>
  <c r="B39" i="5" l="1"/>
  <c r="H53" i="6"/>
  <c r="F10" i="3"/>
  <c r="G10" i="3" s="1"/>
  <c r="D14" i="5" s="1"/>
  <c r="D15" i="5" s="1"/>
  <c r="D16" i="5" s="1"/>
  <c r="D29" i="5" s="1"/>
  <c r="D45" i="5" s="1"/>
  <c r="C31" i="5"/>
  <c r="C32" i="5" s="1"/>
  <c r="C38" i="5" s="1"/>
  <c r="C22" i="5" s="1"/>
  <c r="H10" i="3" l="1"/>
  <c r="J10" i="3" s="1"/>
  <c r="D31" i="5" s="1"/>
  <c r="D30" i="5"/>
  <c r="D17" i="5"/>
  <c r="D35" i="5" s="1"/>
  <c r="D36" i="5" s="1"/>
  <c r="C27" i="5"/>
  <c r="C39" i="5" s="1"/>
  <c r="C44" i="5"/>
  <c r="C46" i="5" l="1"/>
  <c r="C52" i="5" s="1"/>
  <c r="C58" i="5" s="1"/>
  <c r="C59" i="5" s="1"/>
  <c r="D8" i="6" s="1"/>
  <c r="I11" i="3"/>
  <c r="F11" i="3"/>
  <c r="G11" i="3" s="1"/>
  <c r="E14" i="5" s="1"/>
  <c r="E15" i="5" s="1"/>
  <c r="E16" i="5" s="1"/>
  <c r="E29" i="5" s="1"/>
  <c r="E30" i="5" s="1"/>
  <c r="D32" i="5"/>
  <c r="D38" i="5" s="1"/>
  <c r="D22" i="5" s="1"/>
  <c r="D27" i="5" s="1"/>
  <c r="D39" i="5" s="1"/>
  <c r="H11" i="3" l="1"/>
  <c r="J11" i="3" s="1"/>
  <c r="I12" i="3" s="1"/>
  <c r="D44" i="5"/>
  <c r="E45" i="5"/>
  <c r="E17" i="5"/>
  <c r="E35" i="5" s="1"/>
  <c r="E36" i="5" s="1"/>
  <c r="F12" i="3" l="1"/>
  <c r="G12" i="3" s="1"/>
  <c r="F14" i="5" s="1"/>
  <c r="F15" i="5" s="1"/>
  <c r="F16" i="5" s="1"/>
  <c r="F17" i="5" s="1"/>
  <c r="F35" i="5" s="1"/>
  <c r="F36" i="5" s="1"/>
  <c r="E31" i="5"/>
  <c r="E32" i="5" s="1"/>
  <c r="E38" i="5" s="1"/>
  <c r="E22" i="5" s="1"/>
  <c r="E27" i="5" s="1"/>
  <c r="E39" i="5" s="1"/>
  <c r="D46" i="5"/>
  <c r="D52" i="5" s="1"/>
  <c r="D58" i="5" s="1"/>
  <c r="D59" i="5" s="1"/>
  <c r="E8" i="6" s="1"/>
  <c r="H12" i="3" l="1"/>
  <c r="J12" i="3" s="1"/>
  <c r="F13" i="3" s="1"/>
  <c r="G13" i="3" s="1"/>
  <c r="G14" i="5" s="1"/>
  <c r="G15" i="5" s="1"/>
  <c r="G16" i="5" s="1"/>
  <c r="G17" i="5" s="1"/>
  <c r="F29" i="5"/>
  <c r="F45" i="5" s="1"/>
  <c r="E44" i="5"/>
  <c r="F31" i="5" l="1"/>
  <c r="G29" i="5"/>
  <c r="G30" i="5" s="1"/>
  <c r="I13" i="3"/>
  <c r="H13" i="3" s="1"/>
  <c r="J13" i="3" s="1"/>
  <c r="G31" i="5" s="1"/>
  <c r="F30" i="5"/>
  <c r="E46" i="5"/>
  <c r="E52" i="5" s="1"/>
  <c r="E58" i="5" s="1"/>
  <c r="E59" i="5" s="1"/>
  <c r="F8" i="6" s="1"/>
  <c r="G35" i="5"/>
  <c r="G36" i="5" s="1"/>
  <c r="F32" i="5" l="1"/>
  <c r="F38" i="5" s="1"/>
  <c r="F22" i="5" s="1"/>
  <c r="F44" i="5" s="1"/>
  <c r="F46" i="5" s="1"/>
  <c r="F52" i="5" s="1"/>
  <c r="F58" i="5" s="1"/>
  <c r="F59" i="5" s="1"/>
  <c r="G8" i="6" s="1"/>
  <c r="G45" i="5"/>
  <c r="G32" i="5"/>
  <c r="G38" i="5" s="1"/>
  <c r="G22" i="5" s="1"/>
  <c r="F27" i="5" l="1"/>
  <c r="F39" i="5" s="1"/>
  <c r="G27" i="5"/>
  <c r="G39" i="5" s="1"/>
  <c r="G44" i="5"/>
  <c r="G46" i="5" l="1"/>
  <c r="G52" i="5" s="1"/>
  <c r="G58" i="5" s="1"/>
  <c r="G59" i="5" s="1"/>
  <c r="H8" i="6" s="1"/>
  <c r="D11" i="6" s="1"/>
  <c r="C9" i="6" l="1"/>
  <c r="E9" i="6"/>
  <c r="D9" i="6"/>
  <c r="F9" i="6"/>
  <c r="G9" i="6"/>
  <c r="H9" i="6"/>
  <c r="D10" i="6"/>
  <c r="H11" i="6" l="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DARIO MAURICIO REYES GIRALDO</author>
  </authors>
  <commentList>
    <comment ref="Z1" authorId="0" shapeId="0" xr:uid="{00000000-0006-0000-0100-000001000000}">
      <text>
        <r>
          <rPr>
            <b/>
            <sz val="9"/>
            <color rgb="FF000000"/>
            <rFont val="Tahoma"/>
            <family val="2"/>
          </rPr>
          <t>DARIO MAURICIO REYES GIRALDO:</t>
        </r>
        <r>
          <rPr>
            <sz val="9"/>
            <color rgb="FF000000"/>
            <rFont val="Tahoma"/>
            <family val="2"/>
          </rPr>
          <t xml:space="preserve">
</t>
        </r>
        <r>
          <rPr>
            <sz val="9"/>
            <color rgb="FF000000"/>
            <rFont val="Tahoma"/>
            <family val="2"/>
          </rPr>
          <t>Defina el año base o de inicio de la operación del negocio.</t>
        </r>
      </text>
    </comment>
    <comment ref="B3" authorId="0" shapeId="0" xr:uid="{00000000-0006-0000-0100-000002000000}">
      <text>
        <r>
          <rPr>
            <b/>
            <sz val="9"/>
            <color rgb="FF000000"/>
            <rFont val="Tahoma"/>
            <family val="2"/>
          </rPr>
          <t>DARIO MAURICIO REYES GIRALDO:</t>
        </r>
        <r>
          <rPr>
            <sz val="9"/>
            <color rgb="FF000000"/>
            <rFont val="Tahoma"/>
            <family val="2"/>
          </rPr>
          <t xml:space="preserve">
</t>
        </r>
        <r>
          <rPr>
            <sz val="9"/>
            <color rgb="FF000000"/>
            <rFont val="Tahoma"/>
            <family val="2"/>
          </rPr>
          <t>Digita el nombre de cada línea de producto o servicio a vender</t>
        </r>
      </text>
    </comment>
    <comment ref="C3" authorId="0" shapeId="0" xr:uid="{00000000-0006-0000-0100-000003000000}">
      <text>
        <r>
          <rPr>
            <b/>
            <sz val="9"/>
            <color rgb="FF000000"/>
            <rFont val="Tahoma"/>
            <family val="2"/>
          </rPr>
          <t>DARIO MAURICIO REYES GIRALDO:</t>
        </r>
        <r>
          <rPr>
            <sz val="9"/>
            <color rgb="FF000000"/>
            <rFont val="Tahoma"/>
            <family val="2"/>
          </rPr>
          <t xml:space="preserve">
</t>
        </r>
        <r>
          <rPr>
            <sz val="9"/>
            <color rgb="FF000000"/>
            <rFont val="Tahoma"/>
            <family val="2"/>
          </rPr>
          <t>Digita las cantidades a vender en el primer año de cada pdto/servicio.</t>
        </r>
      </text>
    </comment>
    <comment ref="D3" authorId="0" shapeId="0" xr:uid="{00000000-0006-0000-0100-000004000000}">
      <text>
        <r>
          <rPr>
            <b/>
            <sz val="9"/>
            <color rgb="FF000000"/>
            <rFont val="Tahoma"/>
            <family val="2"/>
          </rPr>
          <t>DARIO MAURICIO REYES GIRALDO:</t>
        </r>
        <r>
          <rPr>
            <sz val="9"/>
            <color rgb="FF000000"/>
            <rFont val="Tahoma"/>
            <family val="2"/>
          </rPr>
          <t xml:space="preserve">
</t>
        </r>
        <r>
          <rPr>
            <sz val="9"/>
            <color rgb="FF000000"/>
            <rFont val="Tahoma"/>
            <family val="2"/>
          </rPr>
          <t>Digita el precio UNITARIO, sin IVA, de cada pdto/servicio.</t>
        </r>
      </text>
    </comment>
    <comment ref="G3" authorId="0" shapeId="0" xr:uid="{00000000-0006-0000-0100-000005000000}">
      <text>
        <r>
          <rPr>
            <b/>
            <sz val="9"/>
            <color rgb="FF000000"/>
            <rFont val="Tahoma"/>
            <family val="2"/>
          </rPr>
          <t>DARIO MAURICIO REYES GIRALDO:</t>
        </r>
        <r>
          <rPr>
            <sz val="9"/>
            <color rgb="FF000000"/>
            <rFont val="Tahoma"/>
            <family val="2"/>
          </rPr>
          <t xml:space="preserve">
</t>
        </r>
        <r>
          <rPr>
            <sz val="9"/>
            <color rgb="FF000000"/>
            <rFont val="Tahoma"/>
            <family val="2"/>
          </rPr>
          <t>Ingrese en cada celda el crecimiento porcentual que se espera en las ventas para cada línea de producto o servicio, al pasar de un año a otro.</t>
        </r>
      </text>
    </comment>
    <comment ref="H3" authorId="0" shapeId="0" xr:uid="{00000000-0006-0000-0100-000006000000}">
      <text>
        <r>
          <rPr>
            <b/>
            <sz val="9"/>
            <color indexed="81"/>
            <rFont val="Tahoma"/>
            <family val="2"/>
          </rPr>
          <t>DARIO MAURICIO REYES GIRALDO:</t>
        </r>
        <r>
          <rPr>
            <sz val="9"/>
            <color indexed="81"/>
            <rFont val="Tahoma"/>
            <family val="2"/>
          </rPr>
          <t xml:space="preserve">
Ingrese en cada celda el crecimiento porcentual que se espera en las ventas para cada línea de producto o servicio, al pasar de un año a otro.</t>
        </r>
      </text>
    </comment>
    <comment ref="I3" authorId="0" shapeId="0" xr:uid="{00000000-0006-0000-0100-000007000000}">
      <text>
        <r>
          <rPr>
            <b/>
            <sz val="9"/>
            <color indexed="81"/>
            <rFont val="Tahoma"/>
            <family val="2"/>
          </rPr>
          <t>DARIO MAURICIO REYES GIRALDO:</t>
        </r>
        <r>
          <rPr>
            <sz val="9"/>
            <color indexed="81"/>
            <rFont val="Tahoma"/>
            <family val="2"/>
          </rPr>
          <t xml:space="preserve">
Ingrese en cada celda el crecimiento porcentual que se espera en las ventas para cada línea de producto o servicio, al pasar de un año a otro.</t>
        </r>
      </text>
    </comment>
    <comment ref="J3" authorId="0" shapeId="0" xr:uid="{00000000-0006-0000-0100-000008000000}">
      <text>
        <r>
          <rPr>
            <b/>
            <sz val="9"/>
            <color indexed="81"/>
            <rFont val="Tahoma"/>
            <family val="2"/>
          </rPr>
          <t>DARIO MAURICIO REYES GIRALDO:</t>
        </r>
        <r>
          <rPr>
            <sz val="9"/>
            <color indexed="81"/>
            <rFont val="Tahoma"/>
            <family val="2"/>
          </rPr>
          <t xml:space="preserve">
Ingrese en cada celda el crecimiento porcentual que se espera en las ventas para cada línea de producto o servicio, al pasar de un año a otro.</t>
        </r>
      </text>
    </comment>
    <comment ref="G4" authorId="0" shapeId="0" xr:uid="{FCFC92C8-D2F1-2A4E-BDED-216954730F6F}">
      <text>
        <r>
          <rPr>
            <b/>
            <sz val="9"/>
            <color rgb="FF000000"/>
            <rFont val="Tahoma"/>
            <family val="2"/>
          </rPr>
          <t>DARIO MAURICIO REYES GIRALDO:</t>
        </r>
        <r>
          <rPr>
            <sz val="9"/>
            <color rgb="FF000000"/>
            <rFont val="Tahoma"/>
            <family val="2"/>
          </rPr>
          <t xml:space="preserve">
</t>
        </r>
        <r>
          <rPr>
            <sz val="9"/>
            <color rgb="FF000000"/>
            <rFont val="Tahoma"/>
            <family val="2"/>
          </rPr>
          <t>Ingrese en cada celda el crecimiento porcentual que se espera en las ventas para cada línea de producto o servicio, al pasar de un año a otro.</t>
        </r>
      </text>
    </comment>
    <comment ref="H4" authorId="0" shapeId="0" xr:uid="{CDF4198F-2ED8-1145-8256-42EF62F78B2F}">
      <text>
        <r>
          <rPr>
            <b/>
            <sz val="9"/>
            <color indexed="81"/>
            <rFont val="Tahoma"/>
            <family val="2"/>
          </rPr>
          <t>DARIO MAURICIO REYES GIRALDO:</t>
        </r>
        <r>
          <rPr>
            <sz val="9"/>
            <color indexed="81"/>
            <rFont val="Tahoma"/>
            <family val="2"/>
          </rPr>
          <t xml:space="preserve">
Ingrese en cada celda el crecimiento porcentual que se espera en las ventas para cada línea de producto o servicio, al pasar de un año a otro.</t>
        </r>
      </text>
    </comment>
    <comment ref="I4" authorId="0" shapeId="0" xr:uid="{119983DF-F3D8-DA44-ADA2-3DF370978FD6}">
      <text>
        <r>
          <rPr>
            <b/>
            <sz val="9"/>
            <color indexed="81"/>
            <rFont val="Tahoma"/>
            <family val="2"/>
          </rPr>
          <t>DARIO MAURICIO REYES GIRALDO:</t>
        </r>
        <r>
          <rPr>
            <sz val="9"/>
            <color indexed="81"/>
            <rFont val="Tahoma"/>
            <family val="2"/>
          </rPr>
          <t xml:space="preserve">
Ingrese en cada celda el crecimiento porcentual que se espera en las ventas para cada línea de producto o servicio, al pasar de un año a otro.</t>
        </r>
      </text>
    </comment>
    <comment ref="J4" authorId="0" shapeId="0" xr:uid="{810AB353-CCE3-194E-9879-CA589940A597}">
      <text>
        <r>
          <rPr>
            <b/>
            <sz val="9"/>
            <color indexed="81"/>
            <rFont val="Tahoma"/>
            <family val="2"/>
          </rPr>
          <t>DARIO MAURICIO REYES GIRALDO:</t>
        </r>
        <r>
          <rPr>
            <sz val="9"/>
            <color indexed="81"/>
            <rFont val="Tahoma"/>
            <family val="2"/>
          </rPr>
          <t xml:space="preserve">
Ingrese en cada celda el crecimiento porcentual que se espera en las ventas para cada línea de producto o servicio, al pasar de un año a otro.</t>
        </r>
      </text>
    </comment>
    <comment ref="Y4" authorId="0" shapeId="0" xr:uid="{00000000-0006-0000-0100-000009000000}">
      <text>
        <r>
          <rPr>
            <b/>
            <sz val="9"/>
            <color rgb="FF000000"/>
            <rFont val="Tahoma"/>
            <family val="2"/>
          </rPr>
          <t>DARIO MAURICIO REYES GIRALDO:</t>
        </r>
        <r>
          <rPr>
            <sz val="9"/>
            <color rgb="FF000000"/>
            <rFont val="Tahoma"/>
            <family val="2"/>
          </rPr>
          <t xml:space="preserve">
</t>
        </r>
        <r>
          <rPr>
            <sz val="9"/>
            <color rgb="FF000000"/>
            <rFont val="Tahoma"/>
            <family val="2"/>
          </rPr>
          <t>Actualizar los datos según proyecciones macroeconómicas. Se pueden buscar en la página web del Banco de la República o del Banco de Colombia.</t>
        </r>
      </text>
    </comment>
    <comment ref="G5" authorId="0" shapeId="0" xr:uid="{CC319591-D974-8B4B-A4C7-0CB8E676D61B}">
      <text>
        <r>
          <rPr>
            <b/>
            <sz val="9"/>
            <color rgb="FF000000"/>
            <rFont val="Tahoma"/>
            <family val="2"/>
          </rPr>
          <t>DARIO MAURICIO REYES GIRALDO:</t>
        </r>
        <r>
          <rPr>
            <sz val="9"/>
            <color rgb="FF000000"/>
            <rFont val="Tahoma"/>
            <family val="2"/>
          </rPr>
          <t xml:space="preserve">
</t>
        </r>
        <r>
          <rPr>
            <sz val="9"/>
            <color rgb="FF000000"/>
            <rFont val="Tahoma"/>
            <family val="2"/>
          </rPr>
          <t>Ingrese en cada celda el crecimiento porcentual que se espera en las ventas para cada línea de producto o servicio, al pasar de un año a otro.</t>
        </r>
      </text>
    </comment>
    <comment ref="H5" authorId="0" shapeId="0" xr:uid="{B8E670FA-0847-544B-B308-27EB1A9395A1}">
      <text>
        <r>
          <rPr>
            <b/>
            <sz val="9"/>
            <color indexed="81"/>
            <rFont val="Tahoma"/>
            <family val="2"/>
          </rPr>
          <t>DARIO MAURICIO REYES GIRALDO:</t>
        </r>
        <r>
          <rPr>
            <sz val="9"/>
            <color indexed="81"/>
            <rFont val="Tahoma"/>
            <family val="2"/>
          </rPr>
          <t xml:space="preserve">
Ingrese en cada celda el crecimiento porcentual que se espera en las ventas para cada línea de producto o servicio, al pasar de un año a otro.</t>
        </r>
      </text>
    </comment>
    <comment ref="I5" authorId="0" shapeId="0" xr:uid="{69190CD8-A147-0440-B4F2-4508BE9FA0BD}">
      <text>
        <r>
          <rPr>
            <b/>
            <sz val="9"/>
            <color indexed="81"/>
            <rFont val="Tahoma"/>
            <family val="2"/>
          </rPr>
          <t>DARIO MAURICIO REYES GIRALDO:</t>
        </r>
        <r>
          <rPr>
            <sz val="9"/>
            <color indexed="81"/>
            <rFont val="Tahoma"/>
            <family val="2"/>
          </rPr>
          <t xml:space="preserve">
Ingrese en cada celda el crecimiento porcentual que se espera en las ventas para cada línea de producto o servicio, al pasar de un año a otro.</t>
        </r>
      </text>
    </comment>
    <comment ref="J5" authorId="0" shapeId="0" xr:uid="{570DE089-C916-544D-8235-7CC82DAB718F}">
      <text>
        <r>
          <rPr>
            <b/>
            <sz val="9"/>
            <color indexed="81"/>
            <rFont val="Tahoma"/>
            <family val="2"/>
          </rPr>
          <t>DARIO MAURICIO REYES GIRALDO:</t>
        </r>
        <r>
          <rPr>
            <sz val="9"/>
            <color indexed="81"/>
            <rFont val="Tahoma"/>
            <family val="2"/>
          </rPr>
          <t xml:space="preserve">
Ingrese en cada celda el crecimiento porcentual que se espera en las ventas para cada línea de producto o servicio, al pasar de un año a otro.</t>
        </r>
      </text>
    </comment>
    <comment ref="Y5" authorId="0" shapeId="0" xr:uid="{00000000-0006-0000-0100-00000A000000}">
      <text>
        <r>
          <rPr>
            <b/>
            <sz val="9"/>
            <color rgb="FF000000"/>
            <rFont val="Tahoma"/>
            <family val="2"/>
          </rPr>
          <t>DARIO MAURICIO REYES GIRALDO:</t>
        </r>
        <r>
          <rPr>
            <sz val="9"/>
            <color rgb="FF000000"/>
            <rFont val="Tahoma"/>
            <family val="2"/>
          </rPr>
          <t xml:space="preserve">
</t>
        </r>
        <r>
          <rPr>
            <sz val="9"/>
            <color rgb="FF000000"/>
            <rFont val="Tahoma"/>
            <family val="2"/>
          </rPr>
          <t>Actualizar los datos según proyecciones macroeconómicas. Se pueden buscar en la página web del Banco de la República o del Banco de Colombia.</t>
        </r>
      </text>
    </comment>
    <comment ref="G6" authorId="0" shapeId="0" xr:uid="{F9410D36-6B7A-2F49-A38E-3E1A60E0D648}">
      <text>
        <r>
          <rPr>
            <b/>
            <sz val="9"/>
            <color rgb="FF000000"/>
            <rFont val="Tahoma"/>
            <family val="2"/>
          </rPr>
          <t>DARIO MAURICIO REYES GIRALDO:</t>
        </r>
        <r>
          <rPr>
            <sz val="9"/>
            <color rgb="FF000000"/>
            <rFont val="Tahoma"/>
            <family val="2"/>
          </rPr>
          <t xml:space="preserve">
</t>
        </r>
        <r>
          <rPr>
            <sz val="9"/>
            <color rgb="FF000000"/>
            <rFont val="Tahoma"/>
            <family val="2"/>
          </rPr>
          <t>Ingrese en cada celda el crecimiento porcentual que se espera en las ventas para cada línea de producto o servicio, al pasar de un año a otro.</t>
        </r>
      </text>
    </comment>
    <comment ref="H6" authorId="0" shapeId="0" xr:uid="{FE145059-6506-554A-B7EB-28D82CF7D2F4}">
      <text>
        <r>
          <rPr>
            <b/>
            <sz val="9"/>
            <color indexed="81"/>
            <rFont val="Tahoma"/>
            <family val="2"/>
          </rPr>
          <t>DARIO MAURICIO REYES GIRALDO:</t>
        </r>
        <r>
          <rPr>
            <sz val="9"/>
            <color indexed="81"/>
            <rFont val="Tahoma"/>
            <family val="2"/>
          </rPr>
          <t xml:space="preserve">
Ingrese en cada celda el crecimiento porcentual que se espera en las ventas para cada línea de producto o servicio, al pasar de un año a otro.</t>
        </r>
      </text>
    </comment>
    <comment ref="I6" authorId="0" shapeId="0" xr:uid="{D54642B2-AB16-2543-8492-66529DAFED07}">
      <text>
        <r>
          <rPr>
            <b/>
            <sz val="9"/>
            <color indexed="81"/>
            <rFont val="Tahoma"/>
            <family val="2"/>
          </rPr>
          <t>DARIO MAURICIO REYES GIRALDO:</t>
        </r>
        <r>
          <rPr>
            <sz val="9"/>
            <color indexed="81"/>
            <rFont val="Tahoma"/>
            <family val="2"/>
          </rPr>
          <t xml:space="preserve">
Ingrese en cada celda el crecimiento porcentual que se espera en las ventas para cada línea de producto o servicio, al pasar de un año a otro.</t>
        </r>
      </text>
    </comment>
    <comment ref="J6" authorId="0" shapeId="0" xr:uid="{0E5DEA7E-E80C-1B4B-86B2-1AA7E196B8E0}">
      <text>
        <r>
          <rPr>
            <b/>
            <sz val="9"/>
            <color indexed="81"/>
            <rFont val="Tahoma"/>
            <family val="2"/>
          </rPr>
          <t>DARIO MAURICIO REYES GIRALDO:</t>
        </r>
        <r>
          <rPr>
            <sz val="9"/>
            <color indexed="81"/>
            <rFont val="Tahoma"/>
            <family val="2"/>
          </rPr>
          <t xml:space="preserve">
Ingrese en cada celda el crecimiento porcentual que se espera en las ventas para cada línea de producto o servicio, al pasar de un año a otro.</t>
        </r>
      </text>
    </comment>
    <comment ref="G7" authorId="0" shapeId="0" xr:uid="{52350099-8E30-3547-A60C-1C3119DDA5CF}">
      <text>
        <r>
          <rPr>
            <b/>
            <sz val="9"/>
            <color rgb="FF000000"/>
            <rFont val="Tahoma"/>
            <family val="2"/>
          </rPr>
          <t>DARIO MAURICIO REYES GIRALDO:</t>
        </r>
        <r>
          <rPr>
            <sz val="9"/>
            <color rgb="FF000000"/>
            <rFont val="Tahoma"/>
            <family val="2"/>
          </rPr>
          <t xml:space="preserve">
</t>
        </r>
        <r>
          <rPr>
            <sz val="9"/>
            <color rgb="FF000000"/>
            <rFont val="Tahoma"/>
            <family val="2"/>
          </rPr>
          <t>Ingrese en cada celda el crecimiento porcentual que se espera en las ventas para cada línea de producto o servicio, al pasar de un año a otro.</t>
        </r>
      </text>
    </comment>
    <comment ref="H7" authorId="0" shapeId="0" xr:uid="{7B9A89A6-6E2F-0E40-BE8E-31CB21ABFD09}">
      <text>
        <r>
          <rPr>
            <b/>
            <sz val="9"/>
            <color indexed="81"/>
            <rFont val="Tahoma"/>
            <family val="2"/>
          </rPr>
          <t>DARIO MAURICIO REYES GIRALDO:</t>
        </r>
        <r>
          <rPr>
            <sz val="9"/>
            <color indexed="81"/>
            <rFont val="Tahoma"/>
            <family val="2"/>
          </rPr>
          <t xml:space="preserve">
Ingrese en cada celda el crecimiento porcentual que se espera en las ventas para cada línea de producto o servicio, al pasar de un año a otro.</t>
        </r>
      </text>
    </comment>
    <comment ref="I7" authorId="0" shapeId="0" xr:uid="{7AF7A451-5A8A-C446-B9D9-DD017ED02684}">
      <text>
        <r>
          <rPr>
            <b/>
            <sz val="9"/>
            <color indexed="81"/>
            <rFont val="Tahoma"/>
            <family val="2"/>
          </rPr>
          <t>DARIO MAURICIO REYES GIRALDO:</t>
        </r>
        <r>
          <rPr>
            <sz val="9"/>
            <color indexed="81"/>
            <rFont val="Tahoma"/>
            <family val="2"/>
          </rPr>
          <t xml:space="preserve">
Ingrese en cada celda el crecimiento porcentual que se espera en las ventas para cada línea de producto o servicio, al pasar de un año a otro.</t>
        </r>
      </text>
    </comment>
    <comment ref="J7" authorId="0" shapeId="0" xr:uid="{0C7C3E55-235D-B648-B7E2-462B0B2E03C6}">
      <text>
        <r>
          <rPr>
            <b/>
            <sz val="9"/>
            <color indexed="81"/>
            <rFont val="Tahoma"/>
            <family val="2"/>
          </rPr>
          <t>DARIO MAURICIO REYES GIRALDO:</t>
        </r>
        <r>
          <rPr>
            <sz val="9"/>
            <color indexed="81"/>
            <rFont val="Tahoma"/>
            <family val="2"/>
          </rPr>
          <t xml:space="preserve">
Ingrese en cada celda el crecimiento porcentual que se espera en las ventas para cada línea de producto o servicio, al pasar de un año a otro.</t>
        </r>
      </text>
    </comment>
    <comment ref="AB7" authorId="0" shapeId="0" xr:uid="{00000000-0006-0000-0100-00000B000000}">
      <text>
        <r>
          <rPr>
            <b/>
            <sz val="9"/>
            <color indexed="81"/>
            <rFont val="Tahoma"/>
            <family val="2"/>
          </rPr>
          <t>DARIO MAURICIO REYES GIRALDO:</t>
        </r>
        <r>
          <rPr>
            <sz val="9"/>
            <color indexed="81"/>
            <rFont val="Tahoma"/>
            <family val="2"/>
          </rPr>
          <t xml:space="preserve">
incluya la tasa de impuesto de Renta vigente.</t>
        </r>
      </text>
    </comment>
    <comment ref="G8" authorId="0" shapeId="0" xr:uid="{D4A27D03-887A-AC4C-9792-0F32C393DD43}">
      <text>
        <r>
          <rPr>
            <b/>
            <sz val="9"/>
            <color rgb="FF000000"/>
            <rFont val="Tahoma"/>
            <family val="2"/>
          </rPr>
          <t>DARIO MAURICIO REYES GIRALDO:</t>
        </r>
        <r>
          <rPr>
            <sz val="9"/>
            <color rgb="FF000000"/>
            <rFont val="Tahoma"/>
            <family val="2"/>
          </rPr>
          <t xml:space="preserve">
</t>
        </r>
        <r>
          <rPr>
            <sz val="9"/>
            <color rgb="FF000000"/>
            <rFont val="Tahoma"/>
            <family val="2"/>
          </rPr>
          <t>Ingrese en cada celda el crecimiento porcentual que se espera en las ventas para cada línea de producto o servicio, al pasar de un año a otro.</t>
        </r>
      </text>
    </comment>
    <comment ref="H8" authorId="0" shapeId="0" xr:uid="{7E80D7A7-4B5B-CE45-B15D-5BBDF95DA62D}">
      <text>
        <r>
          <rPr>
            <b/>
            <sz val="9"/>
            <color indexed="81"/>
            <rFont val="Tahoma"/>
            <family val="2"/>
          </rPr>
          <t>DARIO MAURICIO REYES GIRALDO:</t>
        </r>
        <r>
          <rPr>
            <sz val="9"/>
            <color indexed="81"/>
            <rFont val="Tahoma"/>
            <family val="2"/>
          </rPr>
          <t xml:space="preserve">
Ingrese en cada celda el crecimiento porcentual que se espera en las ventas para cada línea de producto o servicio, al pasar de un año a otro.</t>
        </r>
      </text>
    </comment>
    <comment ref="I8" authorId="0" shapeId="0" xr:uid="{FF521464-2849-7244-9BD1-3843C2D3A4FC}">
      <text>
        <r>
          <rPr>
            <b/>
            <sz val="9"/>
            <color indexed="81"/>
            <rFont val="Tahoma"/>
            <family val="2"/>
          </rPr>
          <t>DARIO MAURICIO REYES GIRALDO:</t>
        </r>
        <r>
          <rPr>
            <sz val="9"/>
            <color indexed="81"/>
            <rFont val="Tahoma"/>
            <family val="2"/>
          </rPr>
          <t xml:space="preserve">
Ingrese en cada celda el crecimiento porcentual que se espera en las ventas para cada línea de producto o servicio, al pasar de un año a otro.</t>
        </r>
      </text>
    </comment>
    <comment ref="J8" authorId="0" shapeId="0" xr:uid="{AC84318B-C7C2-E347-A008-F51BA4CF4719}">
      <text>
        <r>
          <rPr>
            <b/>
            <sz val="9"/>
            <color indexed="81"/>
            <rFont val="Tahoma"/>
            <family val="2"/>
          </rPr>
          <t>DARIO MAURICIO REYES GIRALDO:</t>
        </r>
        <r>
          <rPr>
            <sz val="9"/>
            <color indexed="81"/>
            <rFont val="Tahoma"/>
            <family val="2"/>
          </rPr>
          <t xml:space="preserve">
Ingrese en cada celda el crecimiento porcentual que se espera en las ventas para cada línea de producto o servicio, al pasar de un año a otro.</t>
        </r>
      </text>
    </comment>
    <comment ref="G9" authorId="0" shapeId="0" xr:uid="{01698F24-AFE3-3B4D-BE92-C2F12A4F48F9}">
      <text>
        <r>
          <rPr>
            <b/>
            <sz val="9"/>
            <color rgb="FF000000"/>
            <rFont val="Tahoma"/>
            <family val="2"/>
          </rPr>
          <t>DARIO MAURICIO REYES GIRALDO:</t>
        </r>
        <r>
          <rPr>
            <sz val="9"/>
            <color rgb="FF000000"/>
            <rFont val="Tahoma"/>
            <family val="2"/>
          </rPr>
          <t xml:space="preserve">
</t>
        </r>
        <r>
          <rPr>
            <sz val="9"/>
            <color rgb="FF000000"/>
            <rFont val="Tahoma"/>
            <family val="2"/>
          </rPr>
          <t>Ingrese en cada celda el crecimiento porcentual que se espera en las ventas para cada línea de producto o servicio, al pasar de un año a otro.</t>
        </r>
      </text>
    </comment>
    <comment ref="H9" authorId="0" shapeId="0" xr:uid="{1081CD17-FED6-E541-BD80-301DA77B467C}">
      <text>
        <r>
          <rPr>
            <b/>
            <sz val="9"/>
            <color rgb="FF000000"/>
            <rFont val="Tahoma"/>
            <family val="2"/>
          </rPr>
          <t>DARIO MAURICIO REYES GIRALDO:</t>
        </r>
        <r>
          <rPr>
            <sz val="9"/>
            <color rgb="FF000000"/>
            <rFont val="Tahoma"/>
            <family val="2"/>
          </rPr>
          <t xml:space="preserve">
</t>
        </r>
        <r>
          <rPr>
            <sz val="9"/>
            <color rgb="FF000000"/>
            <rFont val="Tahoma"/>
            <family val="2"/>
          </rPr>
          <t>Ingrese en cada celda el crecimiento porcentual que se espera en las ventas para cada línea de producto o servicio, al pasar de un año a otro.</t>
        </r>
      </text>
    </comment>
    <comment ref="I9" authorId="0" shapeId="0" xr:uid="{0929F391-4DD0-8549-A715-54F5A0E85F18}">
      <text>
        <r>
          <rPr>
            <b/>
            <sz val="9"/>
            <color indexed="81"/>
            <rFont val="Tahoma"/>
            <family val="2"/>
          </rPr>
          <t>DARIO MAURICIO REYES GIRALDO:</t>
        </r>
        <r>
          <rPr>
            <sz val="9"/>
            <color indexed="81"/>
            <rFont val="Tahoma"/>
            <family val="2"/>
          </rPr>
          <t xml:space="preserve">
Ingrese en cada celda el crecimiento porcentual que se espera en las ventas para cada línea de producto o servicio, al pasar de un año a otro.</t>
        </r>
      </text>
    </comment>
    <comment ref="J9" authorId="0" shapeId="0" xr:uid="{38F3D9D1-4746-6E4E-B3C7-E4CFD97A45A3}">
      <text>
        <r>
          <rPr>
            <b/>
            <sz val="9"/>
            <color rgb="FF000000"/>
            <rFont val="Tahoma"/>
            <family val="2"/>
          </rPr>
          <t>DARIO MAURICIO REYES GIRALDO:</t>
        </r>
        <r>
          <rPr>
            <sz val="9"/>
            <color rgb="FF000000"/>
            <rFont val="Tahoma"/>
            <family val="2"/>
          </rPr>
          <t xml:space="preserve">
</t>
        </r>
        <r>
          <rPr>
            <sz val="9"/>
            <color rgb="FF000000"/>
            <rFont val="Tahoma"/>
            <family val="2"/>
          </rPr>
          <t>Ingrese en cada celda el crecimiento porcentual que se espera en las ventas para cada línea de producto o servicio, al pasar de un año a otro.</t>
        </r>
      </text>
    </comment>
    <comment ref="G10" authorId="0" shapeId="0" xr:uid="{C00C8C4B-11AE-E148-AE87-D297DD92E0AF}">
      <text>
        <r>
          <rPr>
            <b/>
            <sz val="9"/>
            <color rgb="FF000000"/>
            <rFont val="Tahoma"/>
            <family val="2"/>
          </rPr>
          <t>DARIO MAURICIO REYES GIRALDO:</t>
        </r>
        <r>
          <rPr>
            <sz val="9"/>
            <color rgb="FF000000"/>
            <rFont val="Tahoma"/>
            <family val="2"/>
          </rPr>
          <t xml:space="preserve">
</t>
        </r>
        <r>
          <rPr>
            <sz val="9"/>
            <color rgb="FF000000"/>
            <rFont val="Tahoma"/>
            <family val="2"/>
          </rPr>
          <t>Ingrese en cada celda el crecimiento porcentual que se espera en las ventas para cada línea de producto o servicio, al pasar de un año a otro.</t>
        </r>
      </text>
    </comment>
    <comment ref="H10" authorId="0" shapeId="0" xr:uid="{DE0FF6BE-AD1C-F04F-A9AC-2ECF1E7C149D}">
      <text>
        <r>
          <rPr>
            <b/>
            <sz val="9"/>
            <color indexed="81"/>
            <rFont val="Tahoma"/>
            <family val="2"/>
          </rPr>
          <t>DARIO MAURICIO REYES GIRALDO:</t>
        </r>
        <r>
          <rPr>
            <sz val="9"/>
            <color indexed="81"/>
            <rFont val="Tahoma"/>
            <family val="2"/>
          </rPr>
          <t xml:space="preserve">
Ingrese en cada celda el crecimiento porcentual que se espera en las ventas para cada línea de producto o servicio, al pasar de un año a otro.</t>
        </r>
      </text>
    </comment>
    <comment ref="I10" authorId="0" shapeId="0" xr:uid="{F4D9DEDF-9B21-D040-8E74-AE43A131BBE6}">
      <text>
        <r>
          <rPr>
            <b/>
            <sz val="9"/>
            <color indexed="81"/>
            <rFont val="Tahoma"/>
            <family val="2"/>
          </rPr>
          <t>DARIO MAURICIO REYES GIRALDO:</t>
        </r>
        <r>
          <rPr>
            <sz val="9"/>
            <color indexed="81"/>
            <rFont val="Tahoma"/>
            <family val="2"/>
          </rPr>
          <t xml:space="preserve">
Ingrese en cada celda el crecimiento porcentual que se espera en las ventas para cada línea de producto o servicio, al pasar de un año a otro.</t>
        </r>
      </text>
    </comment>
    <comment ref="J10" authorId="0" shapeId="0" xr:uid="{F5409C81-AF03-8A4D-80C4-3B9C7E1DAFDA}">
      <text>
        <r>
          <rPr>
            <b/>
            <sz val="9"/>
            <color indexed="81"/>
            <rFont val="Tahoma"/>
            <family val="2"/>
          </rPr>
          <t>DARIO MAURICIO REYES GIRALDO:</t>
        </r>
        <r>
          <rPr>
            <sz val="9"/>
            <color indexed="81"/>
            <rFont val="Tahoma"/>
            <family val="2"/>
          </rPr>
          <t xml:space="preserve">
Ingrese en cada celda el crecimiento porcentual que se espera en las ventas para cada línea de producto o servicio, al pasar de un año a otro.</t>
        </r>
      </text>
    </comment>
    <comment ref="D17" authorId="0" shapeId="0" xr:uid="{00000000-0006-0000-0100-00000C000000}">
      <text>
        <r>
          <rPr>
            <b/>
            <sz val="9"/>
            <color rgb="FF000000"/>
            <rFont val="Tahoma"/>
            <family val="2"/>
          </rPr>
          <t>DARIO MAURICIO REYES GIRALDO:</t>
        </r>
        <r>
          <rPr>
            <sz val="9"/>
            <color rgb="FF000000"/>
            <rFont val="Tahoma"/>
            <family val="2"/>
          </rPr>
          <t xml:space="preserve">
</t>
        </r>
        <r>
          <rPr>
            <sz val="9"/>
            <color rgb="FF000000"/>
            <rFont val="Tahoma"/>
            <family val="2"/>
          </rPr>
          <t xml:space="preserve">INCLUIR  SOLO LOS COSTOS VARIABLES UNITARIOS DE PRODUCCIÓN, COMERCIALIZACIÓN O DE PRESTACIÓN DEL SERVICIO. </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DARIO MAURICIO REYES GIRALDO</author>
  </authors>
  <commentList>
    <comment ref="C4" authorId="0" shapeId="0" xr:uid="{00000000-0006-0000-0200-000001000000}">
      <text>
        <r>
          <rPr>
            <b/>
            <sz val="9"/>
            <color rgb="FF000000"/>
            <rFont val="Tahoma"/>
            <family val="2"/>
          </rPr>
          <t>DARIO MAURICIO REYES GIRALDO:</t>
        </r>
        <r>
          <rPr>
            <sz val="9"/>
            <color rgb="FF000000"/>
            <rFont val="Tahoma"/>
            <family val="2"/>
          </rPr>
          <t xml:space="preserve">
</t>
        </r>
        <r>
          <rPr>
            <sz val="9"/>
            <color rgb="FF000000"/>
            <rFont val="Tahoma"/>
            <family val="2"/>
          </rPr>
          <t>Todos los valores deben se anuales.</t>
        </r>
      </text>
    </comment>
    <comment ref="C18" authorId="0" shapeId="0" xr:uid="{00000000-0006-0000-0200-000002000000}">
      <text>
        <r>
          <rPr>
            <b/>
            <sz val="9"/>
            <color rgb="FF000000"/>
            <rFont val="Tahoma"/>
            <family val="2"/>
          </rPr>
          <t>DARIO MAURICIO REYES GIRALDO:</t>
        </r>
        <r>
          <rPr>
            <sz val="9"/>
            <color rgb="FF000000"/>
            <rFont val="Tahoma"/>
            <family val="2"/>
          </rPr>
          <t xml:space="preserve">
</t>
        </r>
        <r>
          <rPr>
            <sz val="9"/>
            <color rgb="FF000000"/>
            <rFont val="Tahoma"/>
            <family val="2"/>
          </rPr>
          <t xml:space="preserve">Tengan en cuenta el valor de la nómina que deberá asumir como un pago fijo durante el año, indiferentemente del nivel de ventas o de producción. 
</t>
        </r>
        <r>
          <rPr>
            <sz val="9"/>
            <color rgb="FF000000"/>
            <rFont val="Tahoma"/>
            <family val="2"/>
          </rPr>
          <t xml:space="preserve">
</t>
        </r>
        <r>
          <rPr>
            <sz val="9"/>
            <color rgb="FF000000"/>
            <rFont val="Tahoma"/>
            <family val="2"/>
          </rPr>
          <t>Calcule este valor  de forma apróximada teniendo en cuenta el factor prestacional actual, sí hay contratos directos con la empresa, de lo contrario calcule el valor como si fueran contratos de prestación de servicios o una mezcla de ambos si su modelo de negocio así lo ha definido.</t>
        </r>
      </text>
    </comment>
    <comment ref="F18" authorId="0" shapeId="0" xr:uid="{00000000-0006-0000-0200-000003000000}">
      <text>
        <r>
          <rPr>
            <b/>
            <sz val="9"/>
            <color rgb="FF000000"/>
            <rFont val="Tahoma"/>
            <family val="2"/>
          </rPr>
          <t>DARIO MAURICIO REYES GIRALDO:</t>
        </r>
        <r>
          <rPr>
            <sz val="9"/>
            <color rgb="FF000000"/>
            <rFont val="Tahoma"/>
            <family val="2"/>
          </rPr>
          <t xml:space="preserve">
</t>
        </r>
        <r>
          <rPr>
            <sz val="9"/>
            <color rgb="FF000000"/>
            <rFont val="Tahoma"/>
            <family val="2"/>
          </rPr>
          <t>Todos los valores deben se anuales.</t>
        </r>
      </text>
    </comment>
    <comment ref="C20" authorId="0" shapeId="0" xr:uid="{E79D073E-651D-1C4A-A157-B50E72127B72}">
      <text>
        <r>
          <rPr>
            <b/>
            <sz val="9"/>
            <color rgb="FF000000"/>
            <rFont val="Tahoma"/>
            <family val="2"/>
          </rPr>
          <t>DARIO MAURICIO REYES GIRALDO:</t>
        </r>
        <r>
          <rPr>
            <sz val="9"/>
            <color rgb="FF000000"/>
            <rFont val="Tahoma"/>
            <family val="2"/>
          </rPr>
          <t xml:space="preserve">
</t>
        </r>
        <r>
          <rPr>
            <sz val="9"/>
            <color rgb="FF000000"/>
            <rFont val="Tahoma"/>
            <family val="2"/>
          </rPr>
          <t xml:space="preserve">Tengan en cuenta el valor de la nómina que deberá asumir como un pago fijo durante el año, indiferentemente del nivel de ventas o de producción. 
</t>
        </r>
        <r>
          <rPr>
            <sz val="9"/>
            <color rgb="FF000000"/>
            <rFont val="Tahoma"/>
            <family val="2"/>
          </rPr>
          <t xml:space="preserve">
</t>
        </r>
        <r>
          <rPr>
            <sz val="9"/>
            <color rgb="FF000000"/>
            <rFont val="Tahoma"/>
            <family val="2"/>
          </rPr>
          <t>Calcule este valor  de forma apróximada teniendo en cuenta el factor prestacional actual, sí hay contratos directos con la empresa, de lo contrario calcule el valor como si fueran contratos de prestación de servicios o una mezcla de ambos si su modelo de negocio así lo ha definido.</t>
        </r>
      </text>
    </comment>
    <comment ref="C22" authorId="0" shapeId="0" xr:uid="{B2701721-0132-AF4E-BC56-885E54DA0375}">
      <text>
        <r>
          <rPr>
            <b/>
            <sz val="9"/>
            <color rgb="FF000000"/>
            <rFont val="Tahoma"/>
            <family val="2"/>
          </rPr>
          <t>DARIO MAURICIO REYES GIRALDO:</t>
        </r>
        <r>
          <rPr>
            <sz val="9"/>
            <color rgb="FF000000"/>
            <rFont val="Tahoma"/>
            <family val="2"/>
          </rPr>
          <t xml:space="preserve">
</t>
        </r>
        <r>
          <rPr>
            <sz val="9"/>
            <color rgb="FF000000"/>
            <rFont val="Tahoma"/>
            <family val="2"/>
          </rPr>
          <t xml:space="preserve">Tengan en cuenta el valor de la nómina que deberá asumir como un pago fijo durante el año, indiferentemente del nivel de ventas o de producción. 
</t>
        </r>
        <r>
          <rPr>
            <sz val="9"/>
            <color rgb="FF000000"/>
            <rFont val="Tahoma"/>
            <family val="2"/>
          </rPr>
          <t xml:space="preserve">
</t>
        </r>
        <r>
          <rPr>
            <sz val="9"/>
            <color rgb="FF000000"/>
            <rFont val="Tahoma"/>
            <family val="2"/>
          </rPr>
          <t>Calcule este valor  de forma apróximada teniendo en cuenta el factor prestacional actual, sí hay contratos directos con la empresa, de lo contrario calcule el valor como si fueran contratos de prestación de servicios o una mezcla de ambos si su modelo de negocio así lo ha definido.</t>
        </r>
      </text>
    </comment>
    <comment ref="C25" authorId="0" shapeId="0" xr:uid="{00000000-0006-0000-0200-000006000000}">
      <text>
        <r>
          <rPr>
            <b/>
            <sz val="9"/>
            <color rgb="FF000000"/>
            <rFont val="Tahoma"/>
            <family val="2"/>
          </rPr>
          <t>DARIO MAURICIO REYES GIRALDO:</t>
        </r>
        <r>
          <rPr>
            <sz val="9"/>
            <color rgb="FF000000"/>
            <rFont val="Tahoma"/>
            <family val="2"/>
          </rPr>
          <t xml:space="preserve">
</t>
        </r>
        <r>
          <rPr>
            <sz val="9"/>
            <color rgb="FF000000"/>
            <rFont val="Tahoma"/>
            <family val="2"/>
          </rPr>
          <t xml:space="preserve">Incluya el valor anual del presupuesto para el desarrollo de las estrategias de:
</t>
        </r>
        <r>
          <rPr>
            <sz val="9"/>
            <color rgb="FF000000"/>
            <rFont val="Tahoma"/>
            <family val="2"/>
          </rPr>
          <t xml:space="preserve">1. Producto (diseño, empaque, imagen)
</t>
        </r>
        <r>
          <rPr>
            <sz val="9"/>
            <color rgb="FF000000"/>
            <rFont val="Tahoma"/>
            <family val="2"/>
          </rPr>
          <t xml:space="preserve">2. Promoción.
</t>
        </r>
        <r>
          <rPr>
            <sz val="9"/>
            <color rgb="FF000000"/>
            <rFont val="Tahoma"/>
            <family val="2"/>
          </rPr>
          <t xml:space="preserve">3. Comunicación.
</t>
        </r>
        <r>
          <rPr>
            <sz val="9"/>
            <color rgb="FF000000"/>
            <rFont val="Tahoma"/>
            <family val="2"/>
          </rPr>
          <t xml:space="preserve">4. Servicio.
</t>
        </r>
        <r>
          <rPr>
            <sz val="9"/>
            <color rgb="FF000000"/>
            <rFont val="Tahoma"/>
            <family val="2"/>
          </rPr>
          <t>5. Precio (si hay presupuestos asociados para este proceso).</t>
        </r>
      </text>
    </comment>
    <comment ref="E25" authorId="0" shapeId="0" xr:uid="{CD5F5652-87A2-FF4E-80AE-614DB99056C0}">
      <text>
        <r>
          <rPr>
            <b/>
            <sz val="9"/>
            <color rgb="FF000000"/>
            <rFont val="Tahoma"/>
            <family val="2"/>
          </rPr>
          <t>DARIO MAURICIO REYES GIRALDO:</t>
        </r>
        <r>
          <rPr>
            <sz val="9"/>
            <color rgb="FF000000"/>
            <rFont val="Tahoma"/>
            <family val="2"/>
          </rPr>
          <t xml:space="preserve">
</t>
        </r>
        <r>
          <rPr>
            <sz val="9"/>
            <color rgb="FF000000"/>
            <rFont val="Tahoma"/>
            <family val="2"/>
          </rPr>
          <t>Digite el nombre de los rubros adicionales.</t>
        </r>
      </text>
    </comment>
    <comment ref="E26" authorId="0" shapeId="0" xr:uid="{B676F8EE-52EB-A840-BC25-891B351BD4DE}">
      <text>
        <r>
          <rPr>
            <b/>
            <sz val="9"/>
            <color rgb="FF000000"/>
            <rFont val="Tahoma"/>
            <family val="2"/>
          </rPr>
          <t>DARIO MAURICIO REYES GIRALDO:</t>
        </r>
        <r>
          <rPr>
            <sz val="9"/>
            <color rgb="FF000000"/>
            <rFont val="Tahoma"/>
            <family val="2"/>
          </rPr>
          <t xml:space="preserve">
</t>
        </r>
        <r>
          <rPr>
            <sz val="9"/>
            <color rgb="FF000000"/>
            <rFont val="Tahoma"/>
            <family val="2"/>
          </rPr>
          <t>Digite el nombre de los rubros adicionales.</t>
        </r>
      </text>
    </comment>
    <comment ref="E27" authorId="0" shapeId="0" xr:uid="{0C793946-CA0E-F44C-AEAE-9913278264F8}">
      <text>
        <r>
          <rPr>
            <b/>
            <sz val="9"/>
            <color rgb="FF000000"/>
            <rFont val="Tahoma"/>
            <family val="2"/>
          </rPr>
          <t>DARIO MAURICIO REYES GIRALDO:</t>
        </r>
        <r>
          <rPr>
            <sz val="9"/>
            <color rgb="FF000000"/>
            <rFont val="Tahoma"/>
            <family val="2"/>
          </rPr>
          <t xml:space="preserve">
</t>
        </r>
        <r>
          <rPr>
            <sz val="9"/>
            <color rgb="FF000000"/>
            <rFont val="Tahoma"/>
            <family val="2"/>
          </rPr>
          <t>Digite el nombre de los rubros adicionales.</t>
        </r>
      </text>
    </comment>
    <comment ref="E28" authorId="0" shapeId="0" xr:uid="{CB05CFFD-ECFC-2D4E-B927-D4084553C92A}">
      <text>
        <r>
          <rPr>
            <b/>
            <sz val="9"/>
            <color rgb="FF000000"/>
            <rFont val="Tahoma"/>
            <family val="2"/>
          </rPr>
          <t>DARIO MAURICIO REYES GIRALDO:</t>
        </r>
        <r>
          <rPr>
            <sz val="9"/>
            <color rgb="FF000000"/>
            <rFont val="Tahoma"/>
            <family val="2"/>
          </rPr>
          <t xml:space="preserve">
</t>
        </r>
        <r>
          <rPr>
            <sz val="9"/>
            <color rgb="FF000000"/>
            <rFont val="Tahoma"/>
            <family val="2"/>
          </rPr>
          <t>Digite el nombre de los rubros adicionales.</t>
        </r>
      </text>
    </comment>
    <comment ref="E29" authorId="0" shapeId="0" xr:uid="{B33A4976-26D1-CD47-BC2B-BC3C60C70060}">
      <text>
        <r>
          <rPr>
            <b/>
            <sz val="9"/>
            <color rgb="FF000000"/>
            <rFont val="Tahoma"/>
            <family val="2"/>
          </rPr>
          <t>DARIO MAURICIO REYES GIRALDO:</t>
        </r>
        <r>
          <rPr>
            <sz val="9"/>
            <color rgb="FF000000"/>
            <rFont val="Tahoma"/>
            <family val="2"/>
          </rPr>
          <t xml:space="preserve">
</t>
        </r>
        <r>
          <rPr>
            <sz val="9"/>
            <color rgb="FF000000"/>
            <rFont val="Tahoma"/>
            <family val="2"/>
          </rPr>
          <t>Digite el nombre de los rubros adicionales.</t>
        </r>
      </text>
    </comment>
    <comment ref="E30" authorId="0" shapeId="0" xr:uid="{00000000-0006-0000-0200-00000C000000}">
      <text>
        <r>
          <rPr>
            <b/>
            <sz val="9"/>
            <color rgb="FF000000"/>
            <rFont val="Tahoma"/>
            <family val="2"/>
          </rPr>
          <t>DARIO MAURICIO REYES GIRALDO:</t>
        </r>
        <r>
          <rPr>
            <sz val="9"/>
            <color rgb="FF000000"/>
            <rFont val="Tahoma"/>
            <family val="2"/>
          </rPr>
          <t xml:space="preserve">
</t>
        </r>
        <r>
          <rPr>
            <sz val="9"/>
            <color rgb="FF000000"/>
            <rFont val="Tahoma"/>
            <family val="2"/>
          </rPr>
          <t>Digite el nombre de los rubros adicionales.</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DARIO MAURICIO REYES GIRALDO</author>
  </authors>
  <commentList>
    <comment ref="F4" authorId="0" shapeId="0" xr:uid="{00000000-0006-0000-0300-000001000000}">
      <text>
        <r>
          <rPr>
            <b/>
            <sz val="9"/>
            <color rgb="FF000000"/>
            <rFont val="Tahoma"/>
            <family val="2"/>
          </rPr>
          <t>DARIO MAURICIO REYES GIRALDO:</t>
        </r>
        <r>
          <rPr>
            <sz val="9"/>
            <color rgb="FF000000"/>
            <rFont val="Tahoma"/>
            <family val="2"/>
          </rPr>
          <t xml:space="preserve">
</t>
        </r>
        <r>
          <rPr>
            <sz val="9"/>
            <color rgb="FF000000"/>
            <rFont val="Tahoma"/>
            <family val="2"/>
          </rPr>
          <t>Digite la tasa de interés anual a la que un banco les podría prestar esete dinero.</t>
        </r>
      </text>
    </comment>
    <comment ref="J4" authorId="0" shapeId="0" xr:uid="{00000000-0006-0000-0300-000002000000}">
      <text>
        <r>
          <rPr>
            <b/>
            <sz val="9"/>
            <color rgb="FF000000"/>
            <rFont val="Tahoma"/>
            <family val="2"/>
          </rPr>
          <t>DARIO MAURICIO REYES GIRALDO:</t>
        </r>
        <r>
          <rPr>
            <sz val="9"/>
            <color rgb="FF000000"/>
            <rFont val="Tahoma"/>
            <family val="2"/>
          </rPr>
          <t xml:space="preserve">
</t>
        </r>
        <r>
          <rPr>
            <sz val="9"/>
            <color rgb="FF000000"/>
            <rFont val="Tahoma"/>
            <family val="2"/>
          </rPr>
          <t>Escoja un valor entre 1 y 5.</t>
        </r>
      </text>
    </comment>
    <comment ref="C7" authorId="0" shapeId="0" xr:uid="{00000000-0006-0000-0300-000003000000}">
      <text>
        <r>
          <rPr>
            <b/>
            <sz val="9"/>
            <color indexed="81"/>
            <rFont val="Tahoma"/>
            <family val="2"/>
          </rPr>
          <t>DARIO MAURICIO REYES GIRALDO:</t>
        </r>
        <r>
          <rPr>
            <sz val="9"/>
            <color indexed="81"/>
            <rFont val="Tahoma"/>
            <family val="2"/>
          </rPr>
          <t xml:space="preserve">
Este valor debe ser el resultado de la política de Capital de Trabajo, es decir, deben calcular cuantos meses de efectivo  requieren para cubrir estas necesidades, hasta que se recuperen las primeras ventas. Luego el negocio debe ser autosuficiente por si mismo.</t>
        </r>
      </text>
    </comment>
    <comment ref="D15" authorId="0" shapeId="0" xr:uid="{00000000-0006-0000-0300-000004000000}">
      <text>
        <r>
          <rPr>
            <b/>
            <sz val="9"/>
            <color rgb="FF000000"/>
            <rFont val="Tahoma"/>
            <family val="2"/>
          </rPr>
          <t>DARIO MAURICIO REYES GIRALDO:</t>
        </r>
        <r>
          <rPr>
            <sz val="9"/>
            <color rgb="FF000000"/>
            <rFont val="Tahoma"/>
            <family val="2"/>
          </rPr>
          <t xml:space="preserve">
</t>
        </r>
        <r>
          <rPr>
            <sz val="9"/>
            <color rgb="FF000000"/>
            <rFont val="Tahoma"/>
            <family val="2"/>
          </rPr>
          <t>Digitar el valor del aporte realizado por los emprendedores.</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DARIO MAURICIO REYES GIRALDO</author>
  </authors>
  <commentList>
    <comment ref="E3" authorId="0" shapeId="0" xr:uid="{00000000-0006-0000-0500-000001000000}">
      <text>
        <r>
          <rPr>
            <b/>
            <sz val="9"/>
            <color rgb="FF000000"/>
            <rFont val="Tahoma"/>
            <family val="2"/>
          </rPr>
          <t>DARIO MAURICIO REYES GIRALDO:</t>
        </r>
        <r>
          <rPr>
            <sz val="9"/>
            <color rgb="FF000000"/>
            <rFont val="Tahoma"/>
            <family val="2"/>
          </rPr>
          <t xml:space="preserve">
</t>
        </r>
        <r>
          <rPr>
            <sz val="9"/>
            <color rgb="FF000000"/>
            <rFont val="Tahoma"/>
            <family val="2"/>
          </rPr>
          <t xml:space="preserve">Esta es la tasa mínima que usted como emprendedor espera obtener al invertir en este plan de negocio.
</t>
        </r>
        <r>
          <rPr>
            <sz val="9"/>
            <color rgb="FF000000"/>
            <rFont val="Tahoma"/>
            <family val="2"/>
          </rPr>
          <t xml:space="preserve">
</t>
        </r>
        <r>
          <rPr>
            <sz val="9"/>
            <color rgb="FF000000"/>
            <rFont val="Tahoma"/>
            <family val="2"/>
          </rPr>
          <t xml:space="preserve">Sea justo y realista en su determinación, revise la rentabilidad promedio de las empresas del sector, también tenga en cuenta que usted debe aspirar como mínimo a ganar rentabilidades por encima de las que ofrezcan las inversiones de bajo o cero riesgo, en nuestro caso puede tomar como punto de partida las tasas de los CDT.  A esta tasa le puede sumar la tasa de inflación promedio para los próximos 5 años, estos indicadores los puede consultar en la Página del Banco de la República o En la de estudios económicos de Bancolombia, por último puede sumar un porcentaje adicional debido al riesgo implícito en el tipo de actividad económica que usted como emprendedor piensa desarrollar, para ello consulte la rentabilidad promedio de la Industria. </t>
        </r>
      </text>
    </comment>
    <comment ref="H11" authorId="0" shapeId="0" xr:uid="{00000000-0006-0000-0500-000002000000}">
      <text>
        <r>
          <rPr>
            <b/>
            <sz val="9"/>
            <color indexed="81"/>
            <rFont val="Tahoma"/>
            <family val="2"/>
          </rPr>
          <t>DARIO MAURICIO REYES GIRALDO:</t>
        </r>
        <r>
          <rPr>
            <sz val="9"/>
            <color indexed="81"/>
            <rFont val="Tahoma"/>
            <family val="2"/>
          </rPr>
          <t xml:space="preserve">
Si el resultado es negativo, no es valido!</t>
        </r>
      </text>
    </comment>
  </commentList>
</comments>
</file>

<file path=xl/sharedStrings.xml><?xml version="1.0" encoding="utf-8"?>
<sst xmlns="http://schemas.openxmlformats.org/spreadsheetml/2006/main" count="180" uniqueCount="171">
  <si>
    <t>CANTIDADES</t>
  </si>
  <si>
    <t>INGRESOS TOTALES</t>
  </si>
  <si>
    <t>COSTOS TOTALES</t>
  </si>
  <si>
    <t>NOMBRE DEL PRODUCTO SERVICIO</t>
  </si>
  <si>
    <t>NOMBRE DEL PRODUCTO O SERVICIO</t>
  </si>
  <si>
    <t>INGRESOS/VENTAS DEL PRIMER AÑO</t>
  </si>
  <si>
    <t>COSTOS DE CADA PRODUCTO O SERVICIO</t>
  </si>
  <si>
    <t>PRECIO DE VENTA UNITARIO SIN IVA</t>
  </si>
  <si>
    <t>TOTAL</t>
  </si>
  <si>
    <t>AÑO BASE</t>
  </si>
  <si>
    <t>AÑO</t>
  </si>
  <si>
    <t>AÑO 3</t>
  </si>
  <si>
    <t>CRECIMIENTO PORCENTUAL  EN VTAS (CANTIDADES)</t>
  </si>
  <si>
    <t>AÑO 2</t>
  </si>
  <si>
    <t>INFLACIÓN</t>
  </si>
  <si>
    <t>IPP</t>
  </si>
  <si>
    <t>INCREMENTO EN PRECIO</t>
  </si>
  <si>
    <t>año 2</t>
  </si>
  <si>
    <t>año 3</t>
  </si>
  <si>
    <t>PROYECCIONES</t>
  </si>
  <si>
    <t>VENTAS ANUALES</t>
  </si>
  <si>
    <t>COSTOS ANUALES</t>
  </si>
  <si>
    <t>MARGEN OPERATIVO</t>
  </si>
  <si>
    <t>AÑO 4</t>
  </si>
  <si>
    <t>AÑO 5</t>
  </si>
  <si>
    <t>año 4</t>
  </si>
  <si>
    <t>año 5</t>
  </si>
  <si>
    <t>AÑO:</t>
  </si>
  <si>
    <t>NÓMINAS:</t>
  </si>
  <si>
    <t>ADMINISTRATIVA:</t>
  </si>
  <si>
    <t>VALOR AÑO 1</t>
  </si>
  <si>
    <t>VENTAS</t>
  </si>
  <si>
    <t>VENTAS:</t>
  </si>
  <si>
    <t>GASTOS FIJOS</t>
  </si>
  <si>
    <t>GASTOS FIJOS:</t>
  </si>
  <si>
    <t>SERVICIOS PÚBLICOS:</t>
  </si>
  <si>
    <t>TELEFONÍA CELULAR:</t>
  </si>
  <si>
    <t>INTERNET:</t>
  </si>
  <si>
    <t>PAPELERÍA:</t>
  </si>
  <si>
    <t>SERVICIOS DE SEGURIDAD:</t>
  </si>
  <si>
    <t>SERVICIOS DE ASEO:</t>
  </si>
  <si>
    <t>TOTAL GASTOS FIJOS</t>
  </si>
  <si>
    <t>INCLUYA EN CADA CATEGORÍA LOS COSTOS Y GASTOS FIJOS DEL PRIMER AÑO, EN LOS QUE DEBERÁN INCURRRIR PARA LA OPERACIÓN DEL NEGOCIO</t>
  </si>
  <si>
    <t>TERRENOS</t>
  </si>
  <si>
    <t>MUEBLES Y ENSERES</t>
  </si>
  <si>
    <t>EQUIPO DE OFICINA</t>
  </si>
  <si>
    <t>PROPIEDAD PLANTA Y EQUIPO</t>
  </si>
  <si>
    <t>EQUIPO DE TRANSPORTE</t>
  </si>
  <si>
    <t>FRANQUICIAS</t>
  </si>
  <si>
    <t>GASTOS DE PUESTA EN MARCHA</t>
  </si>
  <si>
    <t>TOTAL INVERSIONES</t>
  </si>
  <si>
    <t>INVERSIÓN INICIAL</t>
  </si>
  <si>
    <t>CALCULO DEL CAPITAL DE TRABAJO INICIAL</t>
  </si>
  <si>
    <t>COSTOS OPERATIVOS</t>
  </si>
  <si>
    <t>MESES</t>
  </si>
  <si>
    <t>VALOR</t>
  </si>
  <si>
    <t>TOTAL NÓMINAS</t>
  </si>
  <si>
    <t>NÓMINAS</t>
  </si>
  <si>
    <t>MARKETING MIX</t>
  </si>
  <si>
    <t>TOTAL INVERSIÓN</t>
  </si>
  <si>
    <t>APORTE DE LOS EMPRENDEDORES</t>
  </si>
  <si>
    <t>PRÉSTAMO A SOLICITAR</t>
  </si>
  <si>
    <t>TASA DE INT ANUAL CRÉDITO</t>
  </si>
  <si>
    <t>AÑOS</t>
  </si>
  <si>
    <t>BALANCE</t>
  </si>
  <si>
    <t xml:space="preserve">ACTIVO </t>
  </si>
  <si>
    <t>COSTO VENTAS</t>
  </si>
  <si>
    <t>UTILIDAD BRUTA</t>
  </si>
  <si>
    <t>GASTOS ADTIVOS Y VTAS</t>
  </si>
  <si>
    <t>OTROS GASTOS</t>
  </si>
  <si>
    <t>UTILIDAD OPERATIVA</t>
  </si>
  <si>
    <t>GASTOS FINACIEROS</t>
  </si>
  <si>
    <t>UTILIDAD ANTES DE IMPTOS</t>
  </si>
  <si>
    <t>IMPUESTOS</t>
  </si>
  <si>
    <t>UTILIDAD NETA</t>
  </si>
  <si>
    <t>PASIVO</t>
  </si>
  <si>
    <t>Impuestos X Pagar</t>
  </si>
  <si>
    <t>TOTAL PASIVO CORRIENTE</t>
  </si>
  <si>
    <t>Obligaciones Financieras</t>
  </si>
  <si>
    <t>PATRIMONIO</t>
  </si>
  <si>
    <t>Capital Social</t>
  </si>
  <si>
    <t>Utilidades del Ejercicio</t>
  </si>
  <si>
    <t>TOTAL PATRIMONIO</t>
  </si>
  <si>
    <t>TOTAL PAS + PAT</t>
  </si>
  <si>
    <t>AÑO 0</t>
  </si>
  <si>
    <t>TOTAL ACTIVO</t>
  </si>
  <si>
    <t>DEPRECIACIÓN</t>
  </si>
  <si>
    <t>DEPRECIACIÓN ACUMULADA</t>
  </si>
  <si>
    <t>ACTIVO FIJO NETO</t>
  </si>
  <si>
    <t>ESTADO DE RESULTADOS</t>
  </si>
  <si>
    <t>CUADRE (ACT = PAS+PAT)</t>
  </si>
  <si>
    <t>TASA IMPTO RENTA</t>
  </si>
  <si>
    <t>DEP</t>
  </si>
  <si>
    <t>FIJO NO DEPRECIABLE</t>
  </si>
  <si>
    <t>FIJO DEPRECIABLE</t>
  </si>
  <si>
    <t>CAJA/BANCOS</t>
  </si>
  <si>
    <t>FLUJO DE CAJA DEL PROYECTO:</t>
  </si>
  <si>
    <t>CAPITAL INVERTIDO</t>
  </si>
  <si>
    <t>Activos Corrientes</t>
  </si>
  <si>
    <t>Pasivos Corrientes</t>
  </si>
  <si>
    <t>KTNO</t>
  </si>
  <si>
    <t>Activo Fijo Neto</t>
  </si>
  <si>
    <t>Depreciación Acumulada</t>
  </si>
  <si>
    <t>Activo Fijo Bruto</t>
  </si>
  <si>
    <t>Total Capital Operativo Neto</t>
  </si>
  <si>
    <t>CALCULO DEL FLUJO DE CAJA LIBRE</t>
  </si>
  <si>
    <t>EBIT</t>
  </si>
  <si>
    <t>Impuestos</t>
  </si>
  <si>
    <t>NOPLAT</t>
  </si>
  <si>
    <t>Inversión Neta</t>
  </si>
  <si>
    <t>Flujo de Caja Libre del periódo</t>
  </si>
  <si>
    <t>FLUJO DE CAJA DE PROYECTO</t>
  </si>
  <si>
    <t>INVERSIÓN AÑO 0</t>
  </si>
  <si>
    <t>VALOR PRESENTE NETO DEL PROYECTO =</t>
  </si>
  <si>
    <t>TASA INTERNA DE RETORNO =</t>
  </si>
  <si>
    <t>INVERSIÓN TOTAL Y NECESIDADES DE FINANCIACIÓN</t>
  </si>
  <si>
    <t xml:space="preserve">CALCULO DEL PRÉSTAMO </t>
  </si>
  <si>
    <t>ESTADOS FINANCIEROS BÁSICOS PROYECTADOS</t>
  </si>
  <si>
    <t>PUNTO DE EQULIBRIO</t>
  </si>
  <si>
    <t>MARGEN DE CONTRIBUCIÓN UNITARIO</t>
  </si>
  <si>
    <t>PARTICIPACIÓN % EN VENTAS TOTALES</t>
  </si>
  <si>
    <t>MARGEN DE CONTRIBUCIÓN PONDERADO</t>
  </si>
  <si>
    <t>UNIDADES</t>
  </si>
  <si>
    <t>PTO EQUILIBRIO POR REFERENCIA DE PDTO O SERVICIO</t>
  </si>
  <si>
    <t>COSTOS FIJO</t>
  </si>
  <si>
    <t>INGRESOS</t>
  </si>
  <si>
    <t>COSTO TOTAL</t>
  </si>
  <si>
    <t>COSTO</t>
  </si>
  <si>
    <t>COSTO VAR</t>
  </si>
  <si>
    <t>PUNTO DE EQULIBRIO = COSTOS Y GTOS FIJO/MCPP    =</t>
  </si>
  <si>
    <t>TOTAL MARGEN DE CONTRIBUCIÓN PROMEDIO PONDERADO  =</t>
  </si>
  <si>
    <t>EVALUACIÓN FINANCIERA Y PUNTO DE EQULIBRIO</t>
  </si>
  <si>
    <t>Todos los datos de los Estados financieros se generan de forma automática.</t>
  </si>
  <si>
    <t>DEFINA LA INVERISIÓN INICIAL QUE REALIZARÁN PARA LA PUESTA EN MARCHA DEL NEGOCIO:</t>
  </si>
  <si>
    <t>GASTOS FIJOS DEL PERIODO</t>
  </si>
  <si>
    <t>TUTORIAL</t>
  </si>
  <si>
    <t>PERIODO DE RECUPERACIÓN:</t>
  </si>
  <si>
    <r>
      <t xml:space="preserve">COSTO UNITARIO DEL PDTO O </t>
    </r>
    <r>
      <rPr>
        <b/>
        <u/>
        <sz val="8"/>
        <color theme="1"/>
        <rFont val="Antique Olive"/>
      </rPr>
      <t>SERVICIO</t>
    </r>
  </si>
  <si>
    <t>PRODUCCIÓN/SERVICIO:</t>
  </si>
  <si>
    <t>ARRIENDO:</t>
  </si>
  <si>
    <t>PATENTES /INV en INTANGIBLES</t>
  </si>
  <si>
    <t>PRESUPUESTO DEL MARKETING MIX año de INICIO.</t>
  </si>
  <si>
    <t>GASTO PUBLICITARIO AÑOS SIGUIENTES</t>
  </si>
  <si>
    <t>inicial</t>
  </si>
  <si>
    <t>interés</t>
  </si>
  <si>
    <t>amort</t>
  </si>
  <si>
    <t>cuota</t>
  </si>
  <si>
    <t>final</t>
  </si>
  <si>
    <t>AÑOS DE CRÉDITO</t>
  </si>
  <si>
    <t xml:space="preserve">PRECIOS </t>
  </si>
  <si>
    <t>TOTAL VENTAS</t>
  </si>
  <si>
    <t>PUNTO DE EQULIBRIO EN PESOS (VALOR VENTAS MÍNIMAS EN TOTAL SIN IVA)</t>
  </si>
  <si>
    <t>PASIVO /ACTIVOS</t>
  </si>
  <si>
    <t>PATRIMONIO/ACTIVOS</t>
  </si>
  <si>
    <t>IMPTO</t>
  </si>
  <si>
    <t>COSTO DEUDA</t>
  </si>
  <si>
    <t>TASA M R EMPRENDEDORES</t>
  </si>
  <si>
    <t>TASA DE EVALUACIÓN DEL PROYECTO</t>
  </si>
  <si>
    <t>Emprendedor</t>
  </si>
  <si>
    <t>Empresarial 1</t>
  </si>
  <si>
    <t>Empresarial 2</t>
  </si>
  <si>
    <t>Renta Persona Jurídica (PJ)</t>
  </si>
  <si>
    <t>Exógena Nacional (PJ)</t>
  </si>
  <si>
    <t>Renta Persona Natural (PN)</t>
  </si>
  <si>
    <t>Exógena Distrital (PJ)</t>
  </si>
  <si>
    <t>Apoyo Implementación ERP Odoo</t>
  </si>
  <si>
    <t>ASESOR JURÍDICO</t>
  </si>
  <si>
    <t>PÓLIZA DE SEGURO</t>
  </si>
  <si>
    <t>LICENCIA SOFTWARE ERP Odoo</t>
  </si>
  <si>
    <t>DOMINIO WEB Y HOSTING</t>
  </si>
  <si>
    <t>Desarrollador ERP</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</si>
</sst>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8">
    <numFmt numFmtId="8" formatCode="&quot;$&quot;#,##0.00;[Red]\-&quot;$&quot;#,##0.00"/>
    <numFmt numFmtId="164" formatCode="&quot;$&quot;\ #,##0.00_);[Red]\(&quot;$&quot;\ #,##0.00\)"/>
    <numFmt numFmtId="165" formatCode="_(&quot;$&quot;\ * #,##0.00_);_(&quot;$&quot;\ * \(#,##0.00\);_(&quot;$&quot;\ * &quot;-&quot;??_);_(@_)"/>
    <numFmt numFmtId="166" formatCode="_(* #,##0.00_);_(* \(#,##0.00\);_(* &quot;-&quot;??_);_(@_)"/>
    <numFmt numFmtId="167" formatCode="_(&quot;$&quot;\ * #,##0.0_);_(&quot;$&quot;\ * \(#,##0.0\);_(&quot;$&quot;\ * &quot;-&quot;??_);_(@_)"/>
    <numFmt numFmtId="168" formatCode="_(&quot;$&quot;\ * #,##0_);_(&quot;$&quot;\ * \(#,##0\);_(&quot;$&quot;\ * &quot;-&quot;??_);_(@_)"/>
    <numFmt numFmtId="169" formatCode="0.0%"/>
    <numFmt numFmtId="170" formatCode="_([$$-240A]\ * #,##0.00_);_([$$-240A]\ * \(#,##0.00\);_([$$-240A]\ * &quot;-&quot;??_);_(@_)"/>
    <numFmt numFmtId="171" formatCode="_(&quot;$&quot;\ * #,##0.00000_);_(&quot;$&quot;\ * \(#,##0.00000\);_(&quot;$&quot;\ * &quot;-&quot;??_);_(@_)"/>
    <numFmt numFmtId="172" formatCode="_ &quot;$&quot;\ * #,##0_ ;_ &quot;$&quot;\ * \-#,##0_ ;_ &quot;$&quot;\ * &quot;-&quot;??_ ;_ @_ "/>
    <numFmt numFmtId="173" formatCode="_(&quot;$&quot;\ * #,##0.0_);_(&quot;$&quot;\ * \(#,##0.0\);_(&quot;$&quot;\ * &quot;-&quot;?_);_(@_)"/>
    <numFmt numFmtId="174" formatCode="_(* #,##0_);_(* \(#,##0\);_(* &quot;-&quot;??_);_(@_)"/>
    <numFmt numFmtId="175" formatCode="_ &quot;$&quot;\ * #,##0.0_ ;_ &quot;$&quot;\ * \-#,##0.0_ ;_ &quot;$&quot;\ * &quot;-&quot;??_ ;_ @_ "/>
    <numFmt numFmtId="176" formatCode="_(* #,##0.0_);_(* \(#,##0.0\);_(* &quot;-&quot;??_);_(@_)"/>
    <numFmt numFmtId="177" formatCode="_ * #,##0.00_ ;_ * \-#,##0.00_ ;_ * &quot;-&quot;??_ ;_ @_ "/>
    <numFmt numFmtId="178" formatCode="&quot;$&quot;#,##0.00"/>
    <numFmt numFmtId="179" formatCode="_-&quot;$&quot;* #,##0.0_-;\-&quot;$&quot;* #,##0.0_-;_-&quot;$&quot;* &quot;-&quot;??_-;_-@_-"/>
    <numFmt numFmtId="180" formatCode="_-&quot;$&quot;* #,##0_-;\-&quot;$&quot;* #,##0_-;_-&quot;$&quot;* &quot;-&quot;??_-;_-@_-"/>
  </numFmts>
  <fonts count="56">
    <font>
      <sz val="11"/>
      <color theme="1"/>
      <name val="Calibri"/>
      <family val="2"/>
      <scheme val="minor"/>
    </font>
    <font>
      <sz val="11"/>
      <color theme="1"/>
      <name val="Calibri"/>
      <family val="2"/>
      <scheme val="minor"/>
    </font>
    <font>
      <b/>
      <sz val="11"/>
      <color theme="1"/>
      <name val="Calibri"/>
      <family val="2"/>
      <scheme val="minor"/>
    </font>
    <font>
      <b/>
      <sz val="11"/>
      <color theme="1"/>
      <name val="Aharoni"/>
      <charset val="177"/>
    </font>
    <font>
      <sz val="11"/>
      <color theme="1"/>
      <name val="Aharoni"/>
      <charset val="177"/>
    </font>
    <font>
      <b/>
      <sz val="8"/>
      <color theme="1"/>
      <name val="Antique Olive"/>
      <family val="2"/>
    </font>
    <font>
      <sz val="11"/>
      <color theme="1"/>
      <name val="Arial"/>
      <family val="2"/>
    </font>
    <font>
      <b/>
      <sz val="11"/>
      <color theme="1"/>
      <name val="Arial"/>
      <family val="2"/>
    </font>
    <font>
      <sz val="18"/>
      <color theme="1"/>
      <name val="Aharoni"/>
      <charset val="177"/>
    </font>
    <font>
      <sz val="20"/>
      <color theme="1"/>
      <name val="Aharoni"/>
      <charset val="177"/>
    </font>
    <font>
      <b/>
      <sz val="10"/>
      <color theme="1"/>
      <name val="Aharoni"/>
      <charset val="177"/>
    </font>
    <font>
      <b/>
      <sz val="12"/>
      <color theme="1"/>
      <name val="Aharoni"/>
      <charset val="177"/>
    </font>
    <font>
      <b/>
      <sz val="14"/>
      <color theme="1"/>
      <name val="Aharoni"/>
      <charset val="177"/>
    </font>
    <font>
      <b/>
      <sz val="18"/>
      <color theme="1"/>
      <name val="Aharoni"/>
      <charset val="177"/>
    </font>
    <font>
      <sz val="9"/>
      <color indexed="81"/>
      <name val="Tahoma"/>
      <family val="2"/>
    </font>
    <font>
      <b/>
      <sz val="9"/>
      <color indexed="81"/>
      <name val="Tahoma"/>
      <family val="2"/>
    </font>
    <font>
      <sz val="10"/>
      <color theme="1"/>
      <name val="Aharoni"/>
      <charset val="177"/>
    </font>
    <font>
      <sz val="11"/>
      <color theme="0"/>
      <name val="Calibri"/>
      <family val="2"/>
      <scheme val="minor"/>
    </font>
    <font>
      <b/>
      <sz val="9"/>
      <color theme="1"/>
      <name val="Aharoni"/>
      <charset val="177"/>
    </font>
    <font>
      <sz val="10"/>
      <name val="Arial"/>
      <family val="2"/>
    </font>
    <font>
      <b/>
      <sz val="12"/>
      <color theme="1"/>
      <name val="Calibri"/>
      <family val="2"/>
      <scheme val="minor"/>
    </font>
    <font>
      <b/>
      <sz val="14"/>
      <color theme="1"/>
      <name val="Calibri"/>
      <family val="2"/>
      <scheme val="minor"/>
    </font>
    <font>
      <sz val="14"/>
      <color theme="1"/>
      <name val="Aharoni"/>
      <charset val="177"/>
    </font>
    <font>
      <b/>
      <sz val="10"/>
      <name val="Arial"/>
      <family val="2"/>
    </font>
    <font>
      <sz val="11"/>
      <name val="Arial"/>
      <family val="2"/>
    </font>
    <font>
      <b/>
      <sz val="11"/>
      <name val="Arial"/>
      <family val="2"/>
    </font>
    <font>
      <sz val="10"/>
      <color theme="1"/>
      <name val="Arial"/>
      <family val="2"/>
    </font>
    <font>
      <b/>
      <sz val="9"/>
      <name val="Arial"/>
      <family val="2"/>
    </font>
    <font>
      <sz val="11"/>
      <color theme="0"/>
      <name val="Arial"/>
      <family val="2"/>
    </font>
    <font>
      <sz val="18"/>
      <color theme="0"/>
      <name val="Aharoni"/>
      <charset val="177"/>
    </font>
    <font>
      <sz val="12"/>
      <color theme="0"/>
      <name val="Aharoni"/>
      <charset val="177"/>
    </font>
    <font>
      <sz val="12"/>
      <color theme="1"/>
      <name val="Aharoni"/>
      <charset val="177"/>
    </font>
    <font>
      <b/>
      <sz val="12"/>
      <color rgb="FFFF0000"/>
      <name val="Calibri"/>
      <family val="2"/>
      <scheme val="minor"/>
    </font>
    <font>
      <sz val="9"/>
      <color theme="1"/>
      <name val="Aharoni"/>
      <charset val="177"/>
    </font>
    <font>
      <b/>
      <sz val="20"/>
      <color theme="1"/>
      <name val="Aharoni"/>
      <charset val="177"/>
    </font>
    <font>
      <u/>
      <sz val="11"/>
      <color theme="10"/>
      <name val="Calibri"/>
      <family val="2"/>
      <scheme val="minor"/>
    </font>
    <font>
      <u/>
      <sz val="16"/>
      <color rgb="FF0070C0"/>
      <name val="Arial"/>
      <family val="2"/>
    </font>
    <font>
      <b/>
      <sz val="16"/>
      <color theme="1"/>
      <name val="Calibri"/>
      <family val="2"/>
      <scheme val="minor"/>
    </font>
    <font>
      <b/>
      <sz val="18"/>
      <color theme="1"/>
      <name val="Calibri"/>
      <family val="2"/>
      <scheme val="minor"/>
    </font>
    <font>
      <sz val="22"/>
      <color theme="1"/>
      <name val="Aharoni"/>
      <charset val="177"/>
    </font>
    <font>
      <b/>
      <sz val="12"/>
      <color theme="1"/>
      <name val="Aharoni"/>
      <charset val="177"/>
    </font>
    <font>
      <sz val="14"/>
      <color theme="1"/>
      <name val="Calibri"/>
      <family val="2"/>
      <scheme val="minor"/>
    </font>
    <font>
      <b/>
      <sz val="16"/>
      <color theme="0"/>
      <name val="Arial"/>
      <family val="2"/>
    </font>
    <font>
      <b/>
      <u/>
      <sz val="8"/>
      <color theme="1"/>
      <name val="Antique Olive"/>
    </font>
    <font>
      <b/>
      <sz val="8"/>
      <color theme="1"/>
      <name val="Antique Olive"/>
    </font>
    <font>
      <b/>
      <sz val="11"/>
      <color theme="1"/>
      <name val="Aharoni"/>
      <charset val="177"/>
    </font>
    <font>
      <b/>
      <sz val="9"/>
      <color theme="1"/>
      <name val="Aharoni"/>
      <charset val="177"/>
    </font>
    <font>
      <sz val="10"/>
      <color theme="1"/>
      <name val="Aharoni"/>
      <charset val="177"/>
    </font>
    <font>
      <b/>
      <sz val="16"/>
      <color theme="1"/>
      <name val="Arial"/>
      <family val="2"/>
    </font>
    <font>
      <b/>
      <sz val="8"/>
      <color theme="1"/>
      <name val="Aharoni"/>
      <charset val="177"/>
    </font>
    <font>
      <sz val="11"/>
      <color rgb="FFFF0000"/>
      <name val="Calibri"/>
      <family val="2"/>
      <scheme val="minor"/>
    </font>
    <font>
      <b/>
      <sz val="11"/>
      <color theme="0"/>
      <name val="Calibri"/>
      <family val="2"/>
      <scheme val="minor"/>
    </font>
    <font>
      <b/>
      <sz val="11"/>
      <color theme="0"/>
      <name val="Aharoni"/>
      <charset val="177"/>
    </font>
    <font>
      <sz val="12"/>
      <color theme="1"/>
      <name val="Arial"/>
      <family val="2"/>
    </font>
    <font>
      <b/>
      <sz val="9"/>
      <color rgb="FF000000"/>
      <name val="Tahoma"/>
      <family val="2"/>
    </font>
    <font>
      <sz val="9"/>
      <color rgb="FF000000"/>
      <name val="Tahoma"/>
      <family val="2"/>
    </font>
  </fonts>
  <fills count="8">
    <fill>
      <patternFill patternType="none"/>
    </fill>
    <fill>
      <patternFill patternType="gray125"/>
    </fill>
    <fill>
      <patternFill patternType="solid">
        <fgColor rgb="FF92D050"/>
        <bgColor indexed="64"/>
      </patternFill>
    </fill>
    <fill>
      <patternFill patternType="solid">
        <fgColor theme="6" tint="0.59999389629810485"/>
        <bgColor indexed="64"/>
      </patternFill>
    </fill>
    <fill>
      <patternFill patternType="solid">
        <fgColor rgb="FF002060"/>
        <bgColor indexed="64"/>
      </patternFill>
    </fill>
    <fill>
      <patternFill patternType="solid">
        <fgColor theme="0" tint="-4.9989318521683403E-2"/>
        <bgColor indexed="64"/>
      </patternFill>
    </fill>
    <fill>
      <patternFill patternType="solid">
        <fgColor theme="3"/>
        <bgColor indexed="64"/>
      </patternFill>
    </fill>
    <fill>
      <patternFill patternType="solid">
        <fgColor rgb="FFFFFF00"/>
        <bgColor indexed="64"/>
      </patternFill>
    </fill>
  </fills>
  <borders count="17">
    <border>
      <left/>
      <right/>
      <top/>
      <bottom/>
      <diagonal/>
    </border>
    <border>
      <left/>
      <right/>
      <top style="thin">
        <color indexed="64"/>
      </top>
      <bottom style="double">
        <color indexed="64"/>
      </bottom>
      <diagonal/>
    </border>
    <border>
      <left/>
      <right/>
      <top style="thin">
        <color indexed="64"/>
      </top>
      <bottom style="medium">
        <color indexed="64"/>
      </bottom>
      <diagonal/>
    </border>
    <border>
      <left/>
      <right/>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right/>
      <top/>
      <bottom style="double">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style="medium">
        <color indexed="64"/>
      </bottom>
      <diagonal/>
    </border>
    <border>
      <left/>
      <right style="medium">
        <color indexed="64"/>
      </right>
      <top/>
      <bottom style="medium">
        <color indexed="64"/>
      </bottom>
      <diagonal/>
    </border>
    <border>
      <left style="medium">
        <color indexed="64"/>
      </left>
      <right/>
      <top/>
      <bottom/>
      <diagonal/>
    </border>
    <border>
      <left/>
      <right style="medium">
        <color indexed="64"/>
      </right>
      <top/>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s>
  <cellStyleXfs count="7">
    <xf numFmtId="0" fontId="0" fillId="0" borderId="0"/>
    <xf numFmtId="165" fontId="1" fillId="0" borderId="0" applyFont="0" applyFill="0" applyBorder="0" applyAlignment="0" applyProtection="0"/>
    <xf numFmtId="9" fontId="1" fillId="0" borderId="0" applyFont="0" applyFill="0" applyBorder="0" applyAlignment="0" applyProtection="0"/>
    <xf numFmtId="166" fontId="19" fillId="0" borderId="0" applyFont="0" applyFill="0" applyBorder="0" applyAlignment="0" applyProtection="0"/>
    <xf numFmtId="166" fontId="1" fillId="0" borderId="0" applyFont="0" applyFill="0" applyBorder="0" applyAlignment="0" applyProtection="0"/>
    <xf numFmtId="0" fontId="35" fillId="0" borderId="0" applyNumberFormat="0" applyFill="0" applyBorder="0" applyAlignment="0" applyProtection="0"/>
    <xf numFmtId="0" fontId="19" fillId="0" borderId="0"/>
  </cellStyleXfs>
  <cellXfs count="170">
    <xf numFmtId="0" fontId="0" fillId="0" borderId="0" xfId="0"/>
    <xf numFmtId="0" fontId="24" fillId="0" borderId="0" xfId="0" applyFont="1" applyProtection="1">
      <protection hidden="1"/>
    </xf>
    <xf numFmtId="172" fontId="0" fillId="0" borderId="0" xfId="1" applyNumberFormat="1" applyFont="1" applyFill="1" applyProtection="1">
      <protection hidden="1"/>
    </xf>
    <xf numFmtId="172" fontId="0" fillId="0" borderId="7" xfId="1" applyNumberFormat="1" applyFont="1" applyFill="1" applyBorder="1" applyProtection="1">
      <protection hidden="1"/>
    </xf>
    <xf numFmtId="0" fontId="25" fillId="0" borderId="0" xfId="0" applyFont="1" applyProtection="1">
      <protection hidden="1"/>
    </xf>
    <xf numFmtId="172" fontId="23" fillId="0" borderId="0" xfId="1" applyNumberFormat="1" applyFont="1" applyFill="1" applyProtection="1">
      <protection hidden="1"/>
    </xf>
    <xf numFmtId="172" fontId="23" fillId="0" borderId="1" xfId="1" applyNumberFormat="1" applyFont="1" applyFill="1" applyBorder="1" applyProtection="1">
      <protection hidden="1"/>
    </xf>
    <xf numFmtId="174" fontId="19" fillId="0" borderId="0" xfId="3" applyNumberFormat="1" applyFont="1" applyFill="1" applyProtection="1">
      <protection hidden="1"/>
    </xf>
    <xf numFmtId="0" fontId="0" fillId="0" borderId="0" xfId="0" applyProtection="1">
      <protection hidden="1"/>
    </xf>
    <xf numFmtId="175" fontId="0" fillId="0" borderId="0" xfId="1" applyNumberFormat="1" applyFont="1" applyFill="1" applyProtection="1">
      <protection hidden="1"/>
    </xf>
    <xf numFmtId="175" fontId="0" fillId="0" borderId="7" xfId="1" applyNumberFormat="1" applyFont="1" applyFill="1" applyBorder="1" applyProtection="1">
      <protection hidden="1"/>
    </xf>
    <xf numFmtId="174" fontId="26" fillId="0" borderId="0" xfId="3" applyNumberFormat="1" applyFont="1" applyFill="1" applyBorder="1" applyProtection="1">
      <protection hidden="1"/>
    </xf>
    <xf numFmtId="0" fontId="27" fillId="0" borderId="0" xfId="0" applyFont="1" applyProtection="1">
      <protection hidden="1"/>
    </xf>
    <xf numFmtId="0" fontId="28" fillId="4" borderId="0" xfId="0" applyFont="1" applyFill="1" applyProtection="1">
      <protection locked="0"/>
    </xf>
    <xf numFmtId="165" fontId="28" fillId="4" borderId="0" xfId="1" applyFont="1" applyFill="1" applyProtection="1">
      <protection locked="0"/>
    </xf>
    <xf numFmtId="0" fontId="30" fillId="6" borderId="0" xfId="0" applyFont="1" applyFill="1" applyProtection="1">
      <protection hidden="1"/>
    </xf>
    <xf numFmtId="0" fontId="4" fillId="0" borderId="0" xfId="0" applyFont="1" applyProtection="1">
      <protection hidden="1"/>
    </xf>
    <xf numFmtId="0" fontId="5" fillId="0" borderId="0" xfId="0" applyFont="1" applyAlignment="1" applyProtection="1">
      <alignment wrapText="1"/>
      <protection hidden="1"/>
    </xf>
    <xf numFmtId="0" fontId="5" fillId="0" borderId="0" xfId="0" applyFont="1" applyAlignment="1" applyProtection="1">
      <alignment vertical="center" wrapText="1"/>
      <protection hidden="1"/>
    </xf>
    <xf numFmtId="0" fontId="12" fillId="0" borderId="0" xfId="0" applyFont="1" applyAlignment="1" applyProtection="1">
      <alignment horizontal="right"/>
      <protection hidden="1"/>
    </xf>
    <xf numFmtId="0" fontId="13" fillId="3" borderId="0" xfId="0" applyFont="1" applyFill="1" applyAlignment="1" applyProtection="1">
      <alignment wrapText="1"/>
      <protection hidden="1"/>
    </xf>
    <xf numFmtId="0" fontId="7" fillId="0" borderId="0" xfId="0" applyFont="1" applyAlignment="1" applyProtection="1">
      <alignment horizontal="center"/>
      <protection hidden="1"/>
    </xf>
    <xf numFmtId="168" fontId="6" fillId="0" borderId="0" xfId="1" applyNumberFormat="1" applyFont="1" applyProtection="1">
      <protection hidden="1"/>
    </xf>
    <xf numFmtId="9" fontId="0" fillId="0" borderId="0" xfId="2" applyFont="1" applyAlignment="1" applyProtection="1">
      <alignment horizontal="center"/>
      <protection hidden="1"/>
    </xf>
    <xf numFmtId="168" fontId="0" fillId="0" borderId="0" xfId="1" applyNumberFormat="1" applyFont="1" applyProtection="1">
      <protection hidden="1"/>
    </xf>
    <xf numFmtId="165" fontId="0" fillId="0" borderId="0" xfId="1" applyFont="1" applyProtection="1">
      <protection hidden="1"/>
    </xf>
    <xf numFmtId="165" fontId="0" fillId="0" borderId="0" xfId="0" applyNumberFormat="1" applyProtection="1">
      <protection hidden="1"/>
    </xf>
    <xf numFmtId="0" fontId="12" fillId="0" borderId="4" xfId="0" applyFont="1" applyBorder="1" applyProtection="1">
      <protection hidden="1"/>
    </xf>
    <xf numFmtId="0" fontId="13" fillId="0" borderId="5" xfId="0" applyFont="1" applyBorder="1" applyAlignment="1" applyProtection="1">
      <alignment horizontal="center"/>
      <protection hidden="1"/>
    </xf>
    <xf numFmtId="0" fontId="13" fillId="0" borderId="6" xfId="0" applyFont="1" applyBorder="1" applyAlignment="1" applyProtection="1">
      <alignment horizontal="center"/>
      <protection hidden="1"/>
    </xf>
    <xf numFmtId="0" fontId="3" fillId="0" borderId="4" xfId="0" applyFont="1" applyBorder="1" applyProtection="1">
      <protection hidden="1"/>
    </xf>
    <xf numFmtId="0" fontId="0" fillId="0" borderId="5" xfId="0" applyBorder="1" applyProtection="1">
      <protection hidden="1"/>
    </xf>
    <xf numFmtId="0" fontId="0" fillId="0" borderId="6" xfId="0" applyBorder="1" applyProtection="1">
      <protection hidden="1"/>
    </xf>
    <xf numFmtId="168" fontId="7" fillId="5" borderId="0" xfId="0" applyNumberFormat="1" applyFont="1" applyFill="1" applyProtection="1">
      <protection hidden="1"/>
    </xf>
    <xf numFmtId="9" fontId="7" fillId="5" borderId="0" xfId="2" applyFont="1" applyFill="1" applyAlignment="1" applyProtection="1">
      <alignment horizontal="center"/>
      <protection hidden="1"/>
    </xf>
    <xf numFmtId="165" fontId="2" fillId="0" borderId="0" xfId="0" applyNumberFormat="1" applyFont="1" applyProtection="1">
      <protection hidden="1"/>
    </xf>
    <xf numFmtId="168" fontId="0" fillId="0" borderId="0" xfId="0" applyNumberFormat="1" applyProtection="1">
      <protection hidden="1"/>
    </xf>
    <xf numFmtId="0" fontId="5" fillId="0" borderId="0" xfId="0" applyFont="1" applyAlignment="1" applyProtection="1">
      <alignment vertical="center"/>
      <protection hidden="1"/>
    </xf>
    <xf numFmtId="0" fontId="6" fillId="0" borderId="0" xfId="0" applyFont="1" applyProtection="1">
      <protection hidden="1"/>
    </xf>
    <xf numFmtId="0" fontId="6" fillId="0" borderId="0" xfId="0" applyFont="1" applyAlignment="1" applyProtection="1">
      <alignment horizontal="center"/>
      <protection hidden="1"/>
    </xf>
    <xf numFmtId="170" fontId="0" fillId="0" borderId="0" xfId="0" applyNumberFormat="1" applyProtection="1">
      <protection hidden="1"/>
    </xf>
    <xf numFmtId="49" fontId="6" fillId="0" borderId="0" xfId="0" applyNumberFormat="1" applyFont="1" applyProtection="1">
      <protection hidden="1"/>
    </xf>
    <xf numFmtId="0" fontId="11" fillId="0" borderId="0" xfId="0" applyFont="1" applyProtection="1">
      <protection hidden="1"/>
    </xf>
    <xf numFmtId="0" fontId="9" fillId="0" borderId="0" xfId="0" applyFont="1" applyAlignment="1" applyProtection="1">
      <alignment horizontal="center"/>
      <protection hidden="1"/>
    </xf>
    <xf numFmtId="0" fontId="9" fillId="0" borderId="0" xfId="0" applyFont="1" applyProtection="1">
      <protection hidden="1"/>
    </xf>
    <xf numFmtId="0" fontId="16" fillId="0" borderId="0" xfId="0" applyFont="1" applyProtection="1">
      <protection hidden="1"/>
    </xf>
    <xf numFmtId="9" fontId="28" fillId="4" borderId="0" xfId="2" applyFont="1" applyFill="1" applyProtection="1">
      <protection locked="0"/>
    </xf>
    <xf numFmtId="0" fontId="29" fillId="6" borderId="0" xfId="0" applyFont="1" applyFill="1" applyProtection="1">
      <protection locked="0"/>
    </xf>
    <xf numFmtId="169" fontId="29" fillId="6" borderId="0" xfId="2" applyNumberFormat="1" applyFont="1" applyFill="1" applyBorder="1" applyProtection="1">
      <protection locked="0"/>
    </xf>
    <xf numFmtId="169" fontId="29" fillId="6" borderId="14" xfId="2" applyNumberFormat="1" applyFont="1" applyFill="1" applyBorder="1" applyProtection="1">
      <protection locked="0"/>
    </xf>
    <xf numFmtId="169" fontId="29" fillId="6" borderId="3" xfId="2" applyNumberFormat="1" applyFont="1" applyFill="1" applyBorder="1" applyProtection="1">
      <protection locked="0"/>
    </xf>
    <xf numFmtId="169" fontId="29" fillId="6" borderId="12" xfId="2" applyNumberFormat="1" applyFont="1" applyFill="1" applyBorder="1" applyProtection="1">
      <protection locked="0"/>
    </xf>
    <xf numFmtId="169" fontId="29" fillId="6" borderId="5" xfId="2" applyNumberFormat="1" applyFont="1" applyFill="1" applyBorder="1" applyProtection="1">
      <protection locked="0"/>
    </xf>
    <xf numFmtId="166" fontId="28" fillId="4" borderId="0" xfId="4" applyFont="1" applyFill="1" applyProtection="1">
      <protection locked="0"/>
    </xf>
    <xf numFmtId="176" fontId="28" fillId="4" borderId="0" xfId="4" applyNumberFormat="1" applyFont="1" applyFill="1" applyAlignment="1" applyProtection="1">
      <alignment horizontal="center"/>
      <protection locked="0"/>
    </xf>
    <xf numFmtId="165" fontId="28" fillId="4" borderId="0" xfId="1" applyFont="1" applyFill="1" applyAlignment="1" applyProtection="1">
      <alignment horizontal="center"/>
      <protection locked="0"/>
    </xf>
    <xf numFmtId="0" fontId="13" fillId="0" borderId="0" xfId="0" applyFont="1" applyAlignment="1" applyProtection="1">
      <alignment horizontal="center" vertical="center"/>
      <protection hidden="1"/>
    </xf>
    <xf numFmtId="0" fontId="25" fillId="5" borderId="0" xfId="0" applyFont="1" applyFill="1" applyProtection="1">
      <protection hidden="1"/>
    </xf>
    <xf numFmtId="0" fontId="0" fillId="5" borderId="0" xfId="0" applyFill="1" applyProtection="1">
      <protection hidden="1"/>
    </xf>
    <xf numFmtId="172" fontId="23" fillId="5" borderId="1" xfId="1" applyNumberFormat="1" applyFont="1" applyFill="1" applyBorder="1" applyProtection="1">
      <protection hidden="1"/>
    </xf>
    <xf numFmtId="0" fontId="8" fillId="0" borderId="0" xfId="0" applyFont="1" applyAlignment="1" applyProtection="1">
      <alignment horizontal="center" vertical="center"/>
      <protection hidden="1"/>
    </xf>
    <xf numFmtId="167" fontId="0" fillId="0" borderId="0" xfId="1" applyNumberFormat="1" applyFont="1" applyProtection="1">
      <protection hidden="1"/>
    </xf>
    <xf numFmtId="0" fontId="2" fillId="0" borderId="1" xfId="0" applyFont="1" applyBorder="1" applyProtection="1">
      <protection hidden="1"/>
    </xf>
    <xf numFmtId="167" fontId="0" fillId="0" borderId="1" xfId="0" applyNumberFormat="1" applyBorder="1" applyProtection="1">
      <protection hidden="1"/>
    </xf>
    <xf numFmtId="173" fontId="0" fillId="0" borderId="1" xfId="0" applyNumberFormat="1" applyBorder="1" applyProtection="1">
      <protection hidden="1"/>
    </xf>
    <xf numFmtId="173" fontId="0" fillId="0" borderId="0" xfId="0" applyNumberFormat="1" applyProtection="1">
      <protection hidden="1"/>
    </xf>
    <xf numFmtId="0" fontId="2" fillId="0" borderId="2" xfId="0" applyFont="1" applyBorder="1" applyProtection="1">
      <protection hidden="1"/>
    </xf>
    <xf numFmtId="173" fontId="2" fillId="0" borderId="2" xfId="0" applyNumberFormat="1" applyFont="1" applyBorder="1" applyProtection="1">
      <protection hidden="1"/>
    </xf>
    <xf numFmtId="0" fontId="22" fillId="0" borderId="0" xfId="0" applyFont="1" applyAlignment="1" applyProtection="1">
      <alignment horizontal="center" vertical="center"/>
      <protection hidden="1"/>
    </xf>
    <xf numFmtId="165" fontId="2" fillId="0" borderId="1" xfId="0" applyNumberFormat="1" applyFont="1" applyBorder="1" applyProtection="1">
      <protection hidden="1"/>
    </xf>
    <xf numFmtId="165" fontId="0" fillId="5" borderId="0" xfId="0" applyNumberFormat="1" applyFill="1" applyProtection="1">
      <protection hidden="1"/>
    </xf>
    <xf numFmtId="0" fontId="17" fillId="0" borderId="0" xfId="0" applyFont="1" applyProtection="1">
      <protection hidden="1"/>
    </xf>
    <xf numFmtId="165" fontId="17" fillId="0" borderId="0" xfId="0" applyNumberFormat="1" applyFont="1" applyProtection="1">
      <protection hidden="1"/>
    </xf>
    <xf numFmtId="0" fontId="7" fillId="0" borderId="0" xfId="0" applyFont="1" applyProtection="1">
      <protection hidden="1"/>
    </xf>
    <xf numFmtId="165" fontId="20" fillId="0" borderId="0" xfId="0" applyNumberFormat="1" applyFont="1" applyProtection="1">
      <protection hidden="1"/>
    </xf>
    <xf numFmtId="0" fontId="3" fillId="0" borderId="0" xfId="0" applyFont="1" applyAlignment="1" applyProtection="1">
      <alignment horizontal="left" wrapText="1"/>
      <protection hidden="1"/>
    </xf>
    <xf numFmtId="0" fontId="3" fillId="0" borderId="0" xfId="0" applyFont="1" applyProtection="1">
      <protection hidden="1"/>
    </xf>
    <xf numFmtId="0" fontId="18" fillId="0" borderId="0" xfId="0" applyFont="1" applyAlignment="1" applyProtection="1">
      <alignment wrapText="1"/>
      <protection hidden="1"/>
    </xf>
    <xf numFmtId="171" fontId="0" fillId="0" borderId="0" xfId="1" applyNumberFormat="1" applyFont="1" applyProtection="1">
      <protection hidden="1"/>
    </xf>
    <xf numFmtId="0" fontId="16" fillId="0" borderId="0" xfId="0" applyFont="1" applyAlignment="1" applyProtection="1">
      <alignment horizontal="center"/>
      <protection hidden="1"/>
    </xf>
    <xf numFmtId="0" fontId="31" fillId="5" borderId="0" xfId="0" applyFont="1" applyFill="1" applyProtection="1">
      <protection hidden="1"/>
    </xf>
    <xf numFmtId="165" fontId="20" fillId="5" borderId="0" xfId="0" applyNumberFormat="1" applyFont="1" applyFill="1" applyProtection="1">
      <protection hidden="1"/>
    </xf>
    <xf numFmtId="165" fontId="32" fillId="0" borderId="0" xfId="0" applyNumberFormat="1" applyFont="1" applyProtection="1">
      <protection hidden="1"/>
    </xf>
    <xf numFmtId="0" fontId="22" fillId="0" borderId="9" xfId="0" applyFont="1" applyBorder="1" applyAlignment="1" applyProtection="1">
      <alignment horizontal="center" vertical="center"/>
      <protection hidden="1"/>
    </xf>
    <xf numFmtId="0" fontId="8" fillId="0" borderId="9" xfId="0" applyFont="1" applyBorder="1" applyAlignment="1" applyProtection="1">
      <alignment horizontal="center" vertical="center"/>
      <protection hidden="1"/>
    </xf>
    <xf numFmtId="0" fontId="8" fillId="0" borderId="10" xfId="0" applyFont="1" applyBorder="1" applyAlignment="1" applyProtection="1">
      <alignment horizontal="center" vertical="center"/>
      <protection hidden="1"/>
    </xf>
    <xf numFmtId="0" fontId="0" fillId="0" borderId="11" xfId="0" applyBorder="1" applyProtection="1">
      <protection hidden="1"/>
    </xf>
    <xf numFmtId="0" fontId="33" fillId="0" borderId="0" xfId="0" applyFont="1" applyAlignment="1" applyProtection="1">
      <alignment wrapText="1"/>
      <protection hidden="1"/>
    </xf>
    <xf numFmtId="165" fontId="6" fillId="0" borderId="0" xfId="0" applyNumberFormat="1" applyFont="1" applyProtection="1">
      <protection hidden="1"/>
    </xf>
    <xf numFmtId="9" fontId="6" fillId="0" borderId="0" xfId="0" applyNumberFormat="1" applyFont="1" applyProtection="1">
      <protection hidden="1"/>
    </xf>
    <xf numFmtId="166" fontId="6" fillId="0" borderId="0" xfId="0" applyNumberFormat="1" applyFont="1" applyProtection="1">
      <protection hidden="1"/>
    </xf>
    <xf numFmtId="166" fontId="17" fillId="0" borderId="0" xfId="0" applyNumberFormat="1" applyFont="1" applyProtection="1">
      <protection hidden="1"/>
    </xf>
    <xf numFmtId="0" fontId="6" fillId="0" borderId="0" xfId="0" applyFont="1" applyAlignment="1" applyProtection="1">
      <alignment horizontal="left"/>
      <protection hidden="1"/>
    </xf>
    <xf numFmtId="9" fontId="0" fillId="0" borderId="0" xfId="0" applyNumberFormat="1" applyProtection="1">
      <protection hidden="1"/>
    </xf>
    <xf numFmtId="166" fontId="34" fillId="0" borderId="0" xfId="4" applyFont="1" applyProtection="1">
      <protection hidden="1"/>
    </xf>
    <xf numFmtId="165" fontId="34" fillId="0" borderId="0" xfId="1" applyFont="1" applyProtection="1">
      <protection hidden="1"/>
    </xf>
    <xf numFmtId="0" fontId="2" fillId="0" borderId="0" xfId="0" applyFont="1" applyProtection="1">
      <protection hidden="1"/>
    </xf>
    <xf numFmtId="166" fontId="2" fillId="0" borderId="0" xfId="4" applyFont="1" applyProtection="1">
      <protection hidden="1"/>
    </xf>
    <xf numFmtId="0" fontId="18" fillId="0" borderId="0" xfId="0" applyFont="1" applyAlignment="1" applyProtection="1">
      <alignment wrapText="1"/>
      <protection locked="0"/>
    </xf>
    <xf numFmtId="0" fontId="20" fillId="0" borderId="8" xfId="0" applyFont="1" applyBorder="1" applyProtection="1">
      <protection hidden="1"/>
    </xf>
    <xf numFmtId="8" fontId="0" fillId="0" borderId="0" xfId="0" applyNumberFormat="1" applyProtection="1">
      <protection hidden="1"/>
    </xf>
    <xf numFmtId="0" fontId="19" fillId="0" borderId="0" xfId="6"/>
    <xf numFmtId="177" fontId="19" fillId="0" borderId="0" xfId="6" applyNumberFormat="1"/>
    <xf numFmtId="8" fontId="19" fillId="0" borderId="0" xfId="6" applyNumberFormat="1"/>
    <xf numFmtId="0" fontId="21" fillId="0" borderId="4" xfId="0" applyFont="1" applyBorder="1" applyProtection="1">
      <protection hidden="1"/>
    </xf>
    <xf numFmtId="2" fontId="38" fillId="7" borderId="5" xfId="0" applyNumberFormat="1" applyFont="1" applyFill="1" applyBorder="1" applyProtection="1">
      <protection hidden="1"/>
    </xf>
    <xf numFmtId="0" fontId="37" fillId="0" borderId="6" xfId="0" applyFont="1" applyBorder="1" applyProtection="1">
      <protection hidden="1"/>
    </xf>
    <xf numFmtId="0" fontId="40" fillId="0" borderId="4" xfId="0" applyFont="1" applyBorder="1" applyProtection="1">
      <protection hidden="1"/>
    </xf>
    <xf numFmtId="178" fontId="41" fillId="0" borderId="3" xfId="0" applyNumberFormat="1" applyFont="1" applyBorder="1" applyProtection="1">
      <protection hidden="1"/>
    </xf>
    <xf numFmtId="178" fontId="41" fillId="0" borderId="12" xfId="0" applyNumberFormat="1" applyFont="1" applyBorder="1" applyProtection="1">
      <protection hidden="1"/>
    </xf>
    <xf numFmtId="164" fontId="38" fillId="5" borderId="6" xfId="0" applyNumberFormat="1" applyFont="1" applyFill="1" applyBorder="1" applyProtection="1">
      <protection hidden="1"/>
    </xf>
    <xf numFmtId="10" fontId="39" fillId="0" borderId="6" xfId="2" applyNumberFormat="1" applyFont="1" applyBorder="1" applyAlignment="1" applyProtection="1">
      <alignment horizontal="center" vertical="center"/>
      <protection hidden="1"/>
    </xf>
    <xf numFmtId="0" fontId="44" fillId="0" borderId="0" xfId="0" applyFont="1" applyAlignment="1" applyProtection="1">
      <alignment wrapText="1"/>
      <protection hidden="1"/>
    </xf>
    <xf numFmtId="0" fontId="45" fillId="0" borderId="0" xfId="0" applyFont="1" applyProtection="1">
      <protection hidden="1"/>
    </xf>
    <xf numFmtId="0" fontId="46" fillId="0" borderId="0" xfId="0" applyFont="1" applyAlignment="1" applyProtection="1">
      <alignment wrapText="1"/>
      <protection hidden="1"/>
    </xf>
    <xf numFmtId="0" fontId="2" fillId="0" borderId="0" xfId="0" applyFont="1" applyAlignment="1" applyProtection="1">
      <alignment horizontal="center"/>
      <protection hidden="1"/>
    </xf>
    <xf numFmtId="0" fontId="47" fillId="0" borderId="0" xfId="0" applyFont="1" applyProtection="1">
      <protection hidden="1"/>
    </xf>
    <xf numFmtId="169" fontId="28" fillId="4" borderId="0" xfId="2" applyNumberFormat="1" applyFont="1" applyFill="1" applyProtection="1">
      <protection locked="0"/>
    </xf>
    <xf numFmtId="167" fontId="48" fillId="7" borderId="1" xfId="1" applyNumberFormat="1" applyFont="1" applyFill="1" applyBorder="1" applyProtection="1">
      <protection hidden="1"/>
    </xf>
    <xf numFmtId="0" fontId="49" fillId="0" borderId="13" xfId="0" applyFont="1" applyBorder="1" applyAlignment="1" applyProtection="1">
      <alignment wrapText="1"/>
      <protection hidden="1"/>
    </xf>
    <xf numFmtId="0" fontId="49" fillId="0" borderId="11" xfId="0" applyFont="1" applyBorder="1" applyProtection="1">
      <protection hidden="1"/>
    </xf>
    <xf numFmtId="0" fontId="0" fillId="0" borderId="8" xfId="0" applyBorder="1" applyProtection="1">
      <protection hidden="1"/>
    </xf>
    <xf numFmtId="0" fontId="25" fillId="0" borderId="15" xfId="0" applyFont="1" applyBorder="1" applyAlignment="1">
      <alignment horizontal="center"/>
    </xf>
    <xf numFmtId="0" fontId="25" fillId="0" borderId="16" xfId="0" applyFont="1" applyBorder="1" applyAlignment="1">
      <alignment horizontal="center"/>
    </xf>
    <xf numFmtId="0" fontId="2" fillId="0" borderId="13" xfId="0" applyFont="1" applyBorder="1" applyAlignment="1" applyProtection="1">
      <alignment horizontal="center"/>
      <protection hidden="1"/>
    </xf>
    <xf numFmtId="179" fontId="6" fillId="0" borderId="0" xfId="0" applyNumberFormat="1" applyFont="1"/>
    <xf numFmtId="179" fontId="6" fillId="0" borderId="14" xfId="0" applyNumberFormat="1" applyFont="1" applyBorder="1"/>
    <xf numFmtId="0" fontId="2" fillId="0" borderId="11" xfId="0" applyFont="1" applyBorder="1" applyAlignment="1" applyProtection="1">
      <alignment horizontal="center"/>
      <protection hidden="1"/>
    </xf>
    <xf numFmtId="179" fontId="6" fillId="0" borderId="0" xfId="0" applyNumberFormat="1" applyFont="1" applyProtection="1">
      <protection hidden="1"/>
    </xf>
    <xf numFmtId="179" fontId="6" fillId="0" borderId="14" xfId="0" applyNumberFormat="1" applyFont="1" applyBorder="1" applyProtection="1">
      <protection hidden="1"/>
    </xf>
    <xf numFmtId="179" fontId="6" fillId="0" borderId="3" xfId="0" applyNumberFormat="1" applyFont="1" applyBorder="1" applyProtection="1">
      <protection hidden="1"/>
    </xf>
    <xf numFmtId="179" fontId="6" fillId="0" borderId="12" xfId="0" applyNumberFormat="1" applyFont="1" applyBorder="1" applyProtection="1">
      <protection hidden="1"/>
    </xf>
    <xf numFmtId="0" fontId="17" fillId="4" borderId="0" xfId="0" applyFont="1" applyFill="1" applyProtection="1">
      <protection locked="0" hidden="1"/>
    </xf>
    <xf numFmtId="0" fontId="50" fillId="0" borderId="0" xfId="0" applyFont="1" applyProtection="1">
      <protection hidden="1"/>
    </xf>
    <xf numFmtId="165" fontId="17" fillId="0" borderId="0" xfId="1" applyFont="1" applyProtection="1">
      <protection hidden="1"/>
    </xf>
    <xf numFmtId="0" fontId="17" fillId="0" borderId="0" xfId="0" applyFont="1" applyAlignment="1" applyProtection="1">
      <alignment horizontal="center"/>
      <protection hidden="1"/>
    </xf>
    <xf numFmtId="165" fontId="51" fillId="0" borderId="0" xfId="1" applyFont="1" applyProtection="1">
      <protection hidden="1"/>
    </xf>
    <xf numFmtId="9" fontId="17" fillId="0" borderId="0" xfId="2" applyFont="1" applyProtection="1">
      <protection hidden="1"/>
    </xf>
    <xf numFmtId="10" fontId="42" fillId="0" borderId="0" xfId="2" applyNumberFormat="1" applyFont="1" applyFill="1" applyAlignment="1" applyProtection="1">
      <alignment horizontal="center" vertical="center"/>
      <protection locked="0"/>
    </xf>
    <xf numFmtId="0" fontId="53" fillId="0" borderId="0" xfId="0" applyFont="1" applyProtection="1">
      <protection hidden="1"/>
    </xf>
    <xf numFmtId="167" fontId="53" fillId="0" borderId="0" xfId="1" applyNumberFormat="1" applyFont="1" applyProtection="1">
      <protection hidden="1"/>
    </xf>
    <xf numFmtId="167" fontId="53" fillId="0" borderId="0" xfId="0" applyNumberFormat="1" applyFont="1" applyProtection="1">
      <protection hidden="1"/>
    </xf>
    <xf numFmtId="167" fontId="0" fillId="0" borderId="0" xfId="1" applyNumberFormat="1" applyFont="1" applyFill="1" applyProtection="1">
      <protection hidden="1"/>
    </xf>
    <xf numFmtId="0" fontId="28" fillId="4" borderId="0" xfId="0" applyFont="1" applyFill="1" applyAlignment="1" applyProtection="1">
      <alignment vertical="center" wrapText="1"/>
      <protection locked="0"/>
    </xf>
    <xf numFmtId="0" fontId="28" fillId="4" borderId="0" xfId="0" applyFont="1" applyFill="1" applyAlignment="1" applyProtection="1">
      <alignment wrapText="1"/>
      <protection locked="0"/>
    </xf>
    <xf numFmtId="180" fontId="28" fillId="4" borderId="0" xfId="1" applyNumberFormat="1" applyFont="1" applyFill="1" applyProtection="1">
      <protection locked="0"/>
    </xf>
    <xf numFmtId="0" fontId="36" fillId="7" borderId="0" xfId="5" applyFont="1" applyFill="1" applyAlignment="1">
      <alignment horizontal="center"/>
    </xf>
    <xf numFmtId="0" fontId="4" fillId="0" borderId="0" xfId="0" applyFont="1" applyAlignment="1" applyProtection="1">
      <alignment horizontal="center"/>
      <protection hidden="1"/>
    </xf>
    <xf numFmtId="0" fontId="12" fillId="0" borderId="0" xfId="0" applyFont="1" applyAlignment="1" applyProtection="1">
      <alignment horizontal="center" vertical="center"/>
      <protection hidden="1"/>
    </xf>
    <xf numFmtId="0" fontId="10" fillId="0" borderId="0" xfId="0" applyFont="1" applyAlignment="1" applyProtection="1">
      <alignment horizontal="center" wrapText="1"/>
      <protection hidden="1"/>
    </xf>
    <xf numFmtId="0" fontId="12" fillId="0" borderId="0" xfId="0" applyFont="1" applyAlignment="1" applyProtection="1">
      <alignment horizontal="left" wrapText="1"/>
      <protection hidden="1"/>
    </xf>
    <xf numFmtId="0" fontId="3" fillId="2" borderId="8" xfId="0" applyFont="1" applyFill="1" applyBorder="1" applyAlignment="1" applyProtection="1">
      <alignment horizontal="left" wrapText="1"/>
      <protection hidden="1"/>
    </xf>
    <xf numFmtId="0" fontId="3" fillId="2" borderId="9" xfId="0" applyFont="1" applyFill="1" applyBorder="1" applyAlignment="1" applyProtection="1">
      <alignment horizontal="left" wrapText="1"/>
      <protection hidden="1"/>
    </xf>
    <xf numFmtId="0" fontId="3" fillId="2" borderId="10" xfId="0" applyFont="1" applyFill="1" applyBorder="1" applyAlignment="1" applyProtection="1">
      <alignment horizontal="left" wrapText="1"/>
      <protection hidden="1"/>
    </xf>
    <xf numFmtId="0" fontId="3" fillId="2" borderId="11" xfId="0" applyFont="1" applyFill="1" applyBorder="1" applyAlignment="1" applyProtection="1">
      <alignment horizontal="left" wrapText="1"/>
      <protection hidden="1"/>
    </xf>
    <xf numFmtId="0" fontId="3" fillId="2" borderId="3" xfId="0" applyFont="1" applyFill="1" applyBorder="1" applyAlignment="1" applyProtection="1">
      <alignment horizontal="left" wrapText="1"/>
      <protection hidden="1"/>
    </xf>
    <xf numFmtId="0" fontId="3" fillId="2" borderId="12" xfId="0" applyFont="1" applyFill="1" applyBorder="1" applyAlignment="1" applyProtection="1">
      <alignment horizontal="left" wrapText="1"/>
      <protection hidden="1"/>
    </xf>
    <xf numFmtId="0" fontId="0" fillId="0" borderId="0" xfId="0" applyAlignment="1" applyProtection="1">
      <alignment horizontal="center"/>
      <protection hidden="1"/>
    </xf>
    <xf numFmtId="10" fontId="28" fillId="4" borderId="0" xfId="2" applyNumberFormat="1" applyFont="1" applyFill="1" applyAlignment="1" applyProtection="1">
      <alignment horizontal="center"/>
      <protection locked="0"/>
    </xf>
    <xf numFmtId="0" fontId="3" fillId="0" borderId="0" xfId="0" applyFont="1" applyAlignment="1" applyProtection="1">
      <alignment horizontal="center"/>
      <protection hidden="1"/>
    </xf>
    <xf numFmtId="0" fontId="2" fillId="0" borderId="0" xfId="0" applyFont="1" applyAlignment="1" applyProtection="1">
      <alignment horizontal="center"/>
      <protection hidden="1"/>
    </xf>
    <xf numFmtId="0" fontId="11" fillId="0" borderId="0" xfId="0" applyFont="1" applyAlignment="1" applyProtection="1">
      <alignment horizontal="center"/>
      <protection hidden="1"/>
    </xf>
    <xf numFmtId="0" fontId="13" fillId="0" borderId="0" xfId="0" applyFont="1" applyAlignment="1" applyProtection="1">
      <alignment horizontal="center" vertical="center"/>
      <protection hidden="1"/>
    </xf>
    <xf numFmtId="0" fontId="13" fillId="5" borderId="0" xfId="0" applyFont="1" applyFill="1" applyAlignment="1" applyProtection="1">
      <alignment horizontal="center" vertical="center"/>
      <protection hidden="1"/>
    </xf>
    <xf numFmtId="0" fontId="52" fillId="0" borderId="0" xfId="0" applyFont="1" applyAlignment="1" applyProtection="1">
      <alignment horizontal="left"/>
      <protection hidden="1"/>
    </xf>
    <xf numFmtId="0" fontId="11" fillId="0" borderId="0" xfId="0" applyFont="1" applyAlignment="1" applyProtection="1">
      <alignment horizontal="left" wrapText="1"/>
      <protection hidden="1"/>
    </xf>
    <xf numFmtId="0" fontId="3" fillId="0" borderId="0" xfId="0" applyFont="1" applyAlignment="1" applyProtection="1">
      <alignment horizontal="left"/>
      <protection hidden="1"/>
    </xf>
    <xf numFmtId="0" fontId="11" fillId="0" borderId="0" xfId="0" applyFont="1" applyAlignment="1" applyProtection="1">
      <alignment wrapText="1"/>
      <protection hidden="1"/>
    </xf>
    <xf numFmtId="10" fontId="42" fillId="4" borderId="0" xfId="2" applyNumberFormat="1" applyFont="1" applyFill="1" applyAlignment="1" applyProtection="1">
      <alignment horizontal="center" vertical="center"/>
      <protection locked="0"/>
    </xf>
    <xf numFmtId="0" fontId="12" fillId="5" borderId="0" xfId="0" applyFont="1" applyFill="1" applyAlignment="1" applyProtection="1">
      <alignment horizontal="center"/>
      <protection hidden="1"/>
    </xf>
  </cellXfs>
  <cellStyles count="7">
    <cellStyle name="Hipervínculo" xfId="5" builtinId="8"/>
    <cellStyle name="Millares" xfId="4" builtinId="3"/>
    <cellStyle name="Millares_Modelo Financiero ACME Final 2" xfId="3" xr:uid="{00000000-0005-0000-0000-000002000000}"/>
    <cellStyle name="Moneda" xfId="1" builtinId="4"/>
    <cellStyle name="Normal" xfId="0" builtinId="0"/>
    <cellStyle name="Normal 2" xfId="6" xr:uid="{00000000-0005-0000-0000-000005000000}"/>
    <cellStyle name="Porcentaje" xfId="2" builtinId="5"/>
  </cellStyles>
  <dxfs count="11">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theme="1" tint="4.9989318521683403E-2"/>
      </font>
      <fill>
        <patternFill>
          <bgColor rgb="FF00B050"/>
        </patternFill>
      </fill>
    </dxf>
    <dxf>
      <font>
        <color rgb="FF9C6500"/>
      </font>
      <fill>
        <patternFill>
          <bgColor rgb="FFFFEB9C"/>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dxf>
    <dxf>
      <font>
        <color rgb="FFFF0000"/>
      </font>
      <fill>
        <patternFill>
          <bgColor rgb="FFFFFF00"/>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13" Type="http://schemas.openxmlformats.org/officeDocument/2006/relationships/customXml" Target="../customXml/item3.xml"/><Relationship Id="rId3" Type="http://schemas.openxmlformats.org/officeDocument/2006/relationships/worksheet" Target="worksheets/sheet3.xml"/><Relationship Id="rId7" Type="http://schemas.openxmlformats.org/officeDocument/2006/relationships/theme" Target="theme/theme1.xml"/><Relationship Id="rId12"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ustomXml" Target="../customXml/item1.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MX"/>
  <c:roundedCorners val="0"/>
  <mc:AlternateContent xmlns:mc="http://schemas.openxmlformats.org/markup-compatibility/2006">
    <mc:Choice xmlns:c14="http://schemas.microsoft.com/office/drawing/2007/8/2/chart" Requires="c14">
      <c14:style val="142"/>
    </mc:Choice>
    <mc:Fallback>
      <c:style val="42"/>
    </mc:Fallback>
  </mc:AlternateContent>
  <c:chart>
    <c:autoTitleDeleted val="0"/>
    <c:plotArea>
      <c:layout>
        <c:manualLayout>
          <c:layoutTarget val="inner"/>
          <c:xMode val="edge"/>
          <c:yMode val="edge"/>
          <c:x val="0.20978299507161174"/>
          <c:y val="4.2355815040486779E-2"/>
          <c:w val="0.70800194207522693"/>
          <c:h val="0.80141434497983866"/>
        </c:manualLayout>
      </c:layout>
      <c:lineChart>
        <c:grouping val="standard"/>
        <c:varyColors val="0"/>
        <c:ser>
          <c:idx val="0"/>
          <c:order val="0"/>
          <c:tx>
            <c:strRef>
              <c:f>'5'!$C$32</c:f>
              <c:strCache>
                <c:ptCount val="1"/>
                <c:pt idx="0">
                  <c:v>COSTOS FIJO</c:v>
                </c:pt>
              </c:strCache>
            </c:strRef>
          </c:tx>
          <c:marker>
            <c:symbol val="none"/>
          </c:marker>
          <c:cat>
            <c:numRef>
              <c:f>'5'!$B$33:$B$35</c:f>
              <c:numCache>
                <c:formatCode>_(* #,##0.00_);_(* \(#,##0.00\);_(* "-"??_);_(@_)</c:formatCode>
                <c:ptCount val="3"/>
                <c:pt idx="0" formatCode="General">
                  <c:v>0</c:v>
                </c:pt>
                <c:pt idx="1">
                  <c:v>188.82631441199615</c:v>
                </c:pt>
                <c:pt idx="2">
                  <c:v>377.6526288239923</c:v>
                </c:pt>
              </c:numCache>
            </c:numRef>
          </c:cat>
          <c:val>
            <c:numRef>
              <c:f>'5'!$C$33:$C$35</c:f>
              <c:numCache>
                <c:formatCode>_("$"\ * #,##0.00_);_("$"\ * \(#,##0.00\);_("$"\ * "-"??_);_(@_)</c:formatCode>
                <c:ptCount val="3"/>
                <c:pt idx="0">
                  <c:v>250920675</c:v>
                </c:pt>
                <c:pt idx="1">
                  <c:v>250920675</c:v>
                </c:pt>
                <c:pt idx="2">
                  <c:v>250920675</c:v>
                </c:pt>
              </c:numCache>
            </c:numRef>
          </c:val>
          <c:smooth val="0"/>
          <c:extLst>
            <c:ext xmlns:c16="http://schemas.microsoft.com/office/drawing/2014/chart" uri="{C3380CC4-5D6E-409C-BE32-E72D297353CC}">
              <c16:uniqueId val="{00000000-8A79-4BFE-9417-0186D0F8B071}"/>
            </c:ext>
          </c:extLst>
        </c:ser>
        <c:ser>
          <c:idx val="1"/>
          <c:order val="1"/>
          <c:tx>
            <c:strRef>
              <c:f>'5'!$D$32</c:f>
              <c:strCache>
                <c:ptCount val="1"/>
                <c:pt idx="0">
                  <c:v>INGRESOS</c:v>
                </c:pt>
              </c:strCache>
            </c:strRef>
          </c:tx>
          <c:marker>
            <c:symbol val="none"/>
          </c:marker>
          <c:cat>
            <c:numRef>
              <c:f>'5'!$B$33:$B$35</c:f>
              <c:numCache>
                <c:formatCode>_(* #,##0.00_);_(* \(#,##0.00\);_(* "-"??_);_(@_)</c:formatCode>
                <c:ptCount val="3"/>
                <c:pt idx="0" formatCode="General">
                  <c:v>0</c:v>
                </c:pt>
                <c:pt idx="1">
                  <c:v>188.82631441199615</c:v>
                </c:pt>
                <c:pt idx="2">
                  <c:v>377.6526288239923</c:v>
                </c:pt>
              </c:numCache>
            </c:numRef>
          </c:cat>
          <c:val>
            <c:numRef>
              <c:f>'5'!$D$33:$D$35</c:f>
              <c:numCache>
                <c:formatCode>_("$"\ * #,##0.00_);_("$"\ * \(#,##0.00\);_("$"\ * "-"??_);_(@_)</c:formatCode>
                <c:ptCount val="3"/>
                <c:pt idx="0" formatCode="General">
                  <c:v>0</c:v>
                </c:pt>
                <c:pt idx="1">
                  <c:v>351012557.15971678</c:v>
                </c:pt>
                <c:pt idx="2">
                  <c:v>702025114.31943357</c:v>
                </c:pt>
              </c:numCache>
            </c:numRef>
          </c:val>
          <c:smooth val="0"/>
          <c:extLst>
            <c:ext xmlns:c16="http://schemas.microsoft.com/office/drawing/2014/chart" uri="{C3380CC4-5D6E-409C-BE32-E72D297353CC}">
              <c16:uniqueId val="{00000001-8A79-4BFE-9417-0186D0F8B071}"/>
            </c:ext>
          </c:extLst>
        </c:ser>
        <c:ser>
          <c:idx val="2"/>
          <c:order val="2"/>
          <c:tx>
            <c:strRef>
              <c:f>'5'!$F$32</c:f>
              <c:strCache>
                <c:ptCount val="1"/>
                <c:pt idx="0">
                  <c:v>COSTO TOTAL</c:v>
                </c:pt>
              </c:strCache>
            </c:strRef>
          </c:tx>
          <c:marker>
            <c:symbol val="none"/>
          </c:marker>
          <c:cat>
            <c:numRef>
              <c:f>'5'!$B$33:$B$35</c:f>
              <c:numCache>
                <c:formatCode>_(* #,##0.00_);_(* \(#,##0.00\);_(* "-"??_);_(@_)</c:formatCode>
                <c:ptCount val="3"/>
                <c:pt idx="0" formatCode="General">
                  <c:v>0</c:v>
                </c:pt>
                <c:pt idx="1">
                  <c:v>188.82631441199615</c:v>
                </c:pt>
                <c:pt idx="2">
                  <c:v>377.6526288239923</c:v>
                </c:pt>
              </c:numCache>
            </c:numRef>
          </c:cat>
          <c:val>
            <c:numRef>
              <c:f>'5'!$F$33:$F$35</c:f>
              <c:numCache>
                <c:formatCode>_("$"\ * #,##0.00_);_("$"\ * \(#,##0.00\);_("$"\ * "-"??_);_(@_)</c:formatCode>
                <c:ptCount val="3"/>
                <c:pt idx="0">
                  <c:v>250920675</c:v>
                </c:pt>
                <c:pt idx="1">
                  <c:v>351012557.15971678</c:v>
                </c:pt>
                <c:pt idx="2">
                  <c:v>451104439.31943357</c:v>
                </c:pt>
              </c:numCache>
            </c:numRef>
          </c:val>
          <c:smooth val="0"/>
          <c:extLst>
            <c:ext xmlns:c16="http://schemas.microsoft.com/office/drawing/2014/chart" uri="{C3380CC4-5D6E-409C-BE32-E72D297353CC}">
              <c16:uniqueId val="{00000002-8A79-4BFE-9417-0186D0F8B071}"/>
            </c:ext>
          </c:extLst>
        </c:ser>
        <c:dLbls>
          <c:showLegendKey val="0"/>
          <c:showVal val="0"/>
          <c:showCatName val="0"/>
          <c:showSerName val="0"/>
          <c:showPercent val="0"/>
          <c:showBubbleSize val="0"/>
        </c:dLbls>
        <c:smooth val="0"/>
        <c:axId val="123640448"/>
        <c:axId val="123654528"/>
      </c:lineChart>
      <c:catAx>
        <c:axId val="123640448"/>
        <c:scaling>
          <c:orientation val="minMax"/>
        </c:scaling>
        <c:delete val="0"/>
        <c:axPos val="b"/>
        <c:numFmt formatCode="General" sourceLinked="1"/>
        <c:majorTickMark val="out"/>
        <c:minorTickMark val="none"/>
        <c:tickLblPos val="nextTo"/>
        <c:crossAx val="123654528"/>
        <c:crosses val="autoZero"/>
        <c:auto val="1"/>
        <c:lblAlgn val="ctr"/>
        <c:lblOffset val="100"/>
        <c:noMultiLvlLbl val="0"/>
      </c:catAx>
      <c:valAx>
        <c:axId val="123654528"/>
        <c:scaling>
          <c:orientation val="minMax"/>
        </c:scaling>
        <c:delete val="0"/>
        <c:axPos val="l"/>
        <c:majorGridlines/>
        <c:numFmt formatCode="_(&quot;$&quot;\ * #,##0.00_);_(&quot;$&quot;\ * \(#,##0.00\);_(&quot;$&quot;\ * &quot;-&quot;??_);_(@_)" sourceLinked="1"/>
        <c:majorTickMark val="out"/>
        <c:minorTickMark val="none"/>
        <c:tickLblPos val="nextTo"/>
        <c:txPr>
          <a:bodyPr/>
          <a:lstStyle/>
          <a:p>
            <a:pPr>
              <a:defRPr sz="800">
                <a:latin typeface="Arial" pitchFamily="34" charset="0"/>
                <a:cs typeface="Arial" pitchFamily="34" charset="0"/>
              </a:defRPr>
            </a:pPr>
            <a:endParaRPr lang="es-CO"/>
          </a:p>
        </c:txPr>
        <c:crossAx val="123640448"/>
        <c:crosses val="autoZero"/>
        <c:crossBetween val="midCat"/>
      </c:valAx>
    </c:plotArea>
    <c:legend>
      <c:legendPos val="r"/>
      <c:layout>
        <c:manualLayout>
          <c:xMode val="edge"/>
          <c:yMode val="edge"/>
          <c:x val="2.2698594538394724E-2"/>
          <c:y val="0.93824729917921001"/>
          <c:w val="0.95884696821386661"/>
          <c:h val="5.8173535020252409E-2"/>
        </c:manualLayout>
      </c:layout>
      <c:overlay val="0"/>
    </c:legend>
    <c:plotVisOnly val="1"/>
    <c:dispBlanksAs val="gap"/>
    <c:showDLblsOverMax val="0"/>
  </c:chart>
  <c:printSettings>
    <c:headerFooter/>
    <c:pageMargins b="0.75" l="0.7" r="0.7" t="0.75" header="0.3" footer="0.3"/>
    <c:pageSetup/>
  </c:printSettings>
</c:chartSpace>
</file>

<file path=xl/drawings/_rels/drawing1.xml.rels><?xml version="1.0" encoding="UTF-8" standalone="yes"?>
<Relationships xmlns="http://schemas.openxmlformats.org/package/2006/relationships"><Relationship Id="rId3" Type="http://schemas.openxmlformats.org/officeDocument/2006/relationships/hyperlink" Target="#'3'!A1"/><Relationship Id="rId2" Type="http://schemas.openxmlformats.org/officeDocument/2006/relationships/hyperlink" Target="#'2'!A1"/><Relationship Id="rId1" Type="http://schemas.openxmlformats.org/officeDocument/2006/relationships/hyperlink" Target="#'1'!A1"/><Relationship Id="rId6" Type="http://schemas.openxmlformats.org/officeDocument/2006/relationships/hyperlink" Target="mailto:dmreyes@ean.edu.co" TargetMode="External"/><Relationship Id="rId5" Type="http://schemas.openxmlformats.org/officeDocument/2006/relationships/hyperlink" Target="#'5'!A1"/><Relationship Id="rId4" Type="http://schemas.openxmlformats.org/officeDocument/2006/relationships/hyperlink" Target="#'4'!A1"/></Relationships>
</file>

<file path=xl/drawings/_rels/drawing2.xml.rels><?xml version="1.0" encoding="UTF-8" standalone="yes"?>
<Relationships xmlns="http://schemas.openxmlformats.org/package/2006/relationships"><Relationship Id="rId2" Type="http://schemas.openxmlformats.org/officeDocument/2006/relationships/hyperlink" Target="mailto:dmreyes@ean.edu.co" TargetMode="External"/><Relationship Id="rId1" Type="http://schemas.openxmlformats.org/officeDocument/2006/relationships/hyperlink" Target="#Men&#250;!A1"/></Relationships>
</file>

<file path=xl/drawings/_rels/drawing3.xml.rels><?xml version="1.0" encoding="UTF-8" standalone="yes"?>
<Relationships xmlns="http://schemas.openxmlformats.org/package/2006/relationships"><Relationship Id="rId2" Type="http://schemas.openxmlformats.org/officeDocument/2006/relationships/hyperlink" Target="mailto:dmreyes@ean.edu.co" TargetMode="External"/><Relationship Id="rId1" Type="http://schemas.openxmlformats.org/officeDocument/2006/relationships/hyperlink" Target="#Men&#250;!A1"/></Relationships>
</file>

<file path=xl/drawings/_rels/drawing4.xml.rels><?xml version="1.0" encoding="UTF-8" standalone="yes"?>
<Relationships xmlns="http://schemas.openxmlformats.org/package/2006/relationships"><Relationship Id="rId2" Type="http://schemas.openxmlformats.org/officeDocument/2006/relationships/hyperlink" Target="mailto:dmreyes@ean.edu.co" TargetMode="External"/><Relationship Id="rId1" Type="http://schemas.openxmlformats.org/officeDocument/2006/relationships/hyperlink" Target="#Men&#250;!A1"/></Relationships>
</file>

<file path=xl/drawings/_rels/drawing5.xml.rels><?xml version="1.0" encoding="UTF-8" standalone="yes"?>
<Relationships xmlns="http://schemas.openxmlformats.org/package/2006/relationships"><Relationship Id="rId2" Type="http://schemas.openxmlformats.org/officeDocument/2006/relationships/hyperlink" Target="mailto:dmreyes@ean.edu.co" TargetMode="External"/><Relationship Id="rId1" Type="http://schemas.openxmlformats.org/officeDocument/2006/relationships/hyperlink" Target="#Men&#250;!A1"/></Relationships>
</file>

<file path=xl/drawings/_rels/drawing6.xml.rels><?xml version="1.0" encoding="UTF-8" standalone="yes"?>
<Relationships xmlns="http://schemas.openxmlformats.org/package/2006/relationships"><Relationship Id="rId3" Type="http://schemas.openxmlformats.org/officeDocument/2006/relationships/hyperlink" Target="mailto:dmreyes@ean.edu.co" TargetMode="External"/><Relationship Id="rId2" Type="http://schemas.openxmlformats.org/officeDocument/2006/relationships/hyperlink" Target="#Men&#250;!A1"/><Relationship Id="rId1" Type="http://schemas.openxmlformats.org/officeDocument/2006/relationships/chart" Target="../charts/chart1.xml"/></Relationships>
</file>

<file path=xl/drawings/drawing1.xml><?xml version="1.0" encoding="utf-8"?>
<xdr:wsDr xmlns:xdr="http://schemas.openxmlformats.org/drawingml/2006/spreadsheetDrawing" xmlns:a="http://schemas.openxmlformats.org/drawingml/2006/main">
  <xdr:twoCellAnchor>
    <xdr:from>
      <xdr:col>1</xdr:col>
      <xdr:colOff>200025</xdr:colOff>
      <xdr:row>2</xdr:row>
      <xdr:rowOff>19050</xdr:rowOff>
    </xdr:from>
    <xdr:to>
      <xdr:col>5</xdr:col>
      <xdr:colOff>190500</xdr:colOff>
      <xdr:row>22</xdr:row>
      <xdr:rowOff>95250</xdr:rowOff>
    </xdr:to>
    <xdr:sp macro="" textlink="">
      <xdr:nvSpPr>
        <xdr:cNvPr id="2" name="1 CuadroTexto">
          <a:extLst>
            <a:ext uri="{FF2B5EF4-FFF2-40B4-BE49-F238E27FC236}">
              <a16:creationId xmlns:a16="http://schemas.microsoft.com/office/drawing/2014/main" id="{00000000-0008-0000-0000-000002000000}"/>
            </a:ext>
          </a:extLst>
        </xdr:cNvPr>
        <xdr:cNvSpPr txBox="1"/>
      </xdr:nvSpPr>
      <xdr:spPr>
        <a:xfrm>
          <a:off x="962025" y="400050"/>
          <a:ext cx="3038475" cy="388620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just"/>
          <a:r>
            <a:rPr lang="es-CO" sz="1200">
              <a:latin typeface="Aharoni" pitchFamily="2" charset="-79"/>
              <a:cs typeface="Aharoni" pitchFamily="2" charset="-79"/>
            </a:rPr>
            <a:t>BIENVENIDO A LA SIMULACIÓN</a:t>
          </a:r>
          <a:r>
            <a:rPr lang="es-CO" sz="1200" baseline="0">
              <a:latin typeface="Aharoni" pitchFamily="2" charset="-79"/>
              <a:cs typeface="Aharoni" pitchFamily="2" charset="-79"/>
            </a:rPr>
            <a:t> FINANCIERA BÁSICA DE TU MODELO DE NEGOCIO.</a:t>
          </a:r>
        </a:p>
        <a:p>
          <a:pPr algn="just"/>
          <a:endParaRPr lang="es-CO" sz="1200" baseline="0">
            <a:latin typeface="Aharoni" pitchFamily="2" charset="-79"/>
            <a:cs typeface="Aharoni" pitchFamily="2" charset="-79"/>
          </a:endParaRPr>
        </a:p>
        <a:p>
          <a:pPr algn="just"/>
          <a:r>
            <a:rPr lang="es-CO" sz="1200" baseline="0">
              <a:latin typeface="Aharoni" pitchFamily="2" charset="-79"/>
              <a:cs typeface="Aharoni" pitchFamily="2" charset="-79"/>
            </a:rPr>
            <a:t>ANTES DE DIGITAR LA INFORMACIÓN EN ESTE SIMULADOR, TEN EN CUENTA QUE:</a:t>
          </a:r>
        </a:p>
        <a:p>
          <a:pPr algn="just"/>
          <a:endParaRPr lang="es-CO" sz="1200" baseline="0">
            <a:latin typeface="Aharoni" pitchFamily="2" charset="-79"/>
            <a:cs typeface="Aharoni" pitchFamily="2" charset="-79"/>
          </a:endParaRPr>
        </a:p>
        <a:p>
          <a:pPr algn="just"/>
          <a:r>
            <a:rPr lang="es-CO" sz="1800" baseline="0">
              <a:latin typeface="Aharoni" pitchFamily="2" charset="-79"/>
              <a:cs typeface="Aharoni" pitchFamily="2" charset="-79"/>
            </a:rPr>
            <a:t>1. </a:t>
          </a:r>
          <a:r>
            <a:rPr lang="es-CO" sz="1100" baseline="0">
              <a:latin typeface="Aharoni" pitchFamily="2" charset="-79"/>
              <a:cs typeface="Aharoni" pitchFamily="2" charset="-79"/>
            </a:rPr>
            <a:t>SOLO SE PODRÁN MODIFICAR LAS CELDAS RESALTAS CON COLOR AZUL</a:t>
          </a:r>
          <a:r>
            <a:rPr lang="es-CO" sz="1200" baseline="0">
              <a:latin typeface="Aharoni" pitchFamily="2" charset="-79"/>
              <a:cs typeface="Aharoni" pitchFamily="2" charset="-79"/>
            </a:rPr>
            <a:t>.</a:t>
          </a:r>
        </a:p>
        <a:p>
          <a:pPr algn="just"/>
          <a:endParaRPr lang="es-CO" sz="1200" baseline="0">
            <a:latin typeface="Aharoni" pitchFamily="2" charset="-79"/>
            <a:cs typeface="Aharoni" pitchFamily="2" charset="-79"/>
          </a:endParaRPr>
        </a:p>
        <a:p>
          <a:pPr algn="just"/>
          <a:r>
            <a:rPr lang="es-CO" sz="1600" baseline="0">
              <a:latin typeface="Aharoni" pitchFamily="2" charset="-79"/>
              <a:cs typeface="Aharoni" pitchFamily="2" charset="-79"/>
            </a:rPr>
            <a:t>2. </a:t>
          </a:r>
          <a:r>
            <a:rPr lang="es-CO" sz="1100" baseline="0">
              <a:latin typeface="Aharoni" pitchFamily="2" charset="-79"/>
              <a:cs typeface="Aharoni" pitchFamily="2" charset="-79"/>
            </a:rPr>
            <a:t>REVISA LOS COMENTARIOS DE LAS CELDAS, TE DARÁN CLAVES PARA EL CORRECTO DILIGENCIAMIENTO DE LA INFORMACIÓN.</a:t>
          </a:r>
        </a:p>
        <a:p>
          <a:pPr algn="just"/>
          <a:endParaRPr lang="es-CO" sz="1200" baseline="0">
            <a:latin typeface="Aharoni" pitchFamily="2" charset="-79"/>
            <a:cs typeface="Aharoni" pitchFamily="2" charset="-79"/>
          </a:endParaRPr>
        </a:p>
        <a:p>
          <a:pPr algn="just"/>
          <a:r>
            <a:rPr lang="es-CO" sz="1600" baseline="0">
              <a:latin typeface="Aharoni" pitchFamily="2" charset="-79"/>
              <a:cs typeface="Aharoni" pitchFamily="2" charset="-79"/>
            </a:rPr>
            <a:t>3. </a:t>
          </a:r>
          <a:r>
            <a:rPr lang="es-CO" sz="1100" baseline="0">
              <a:latin typeface="Aharoni" pitchFamily="2" charset="-79"/>
              <a:cs typeface="Aharoni" pitchFamily="2" charset="-79"/>
            </a:rPr>
            <a:t>LOS ESTADOS FINANCIEROS SE ELABORAN DE FORMA AUTÓMATICA Y NO REQUIEREN NINGUNA INTERVENCIÓN DEL EMPRENDEDOR.</a:t>
          </a:r>
        </a:p>
        <a:p>
          <a:pPr algn="just"/>
          <a:endParaRPr lang="es-CO" sz="1200" baseline="0">
            <a:latin typeface="Aharoni" pitchFamily="2" charset="-79"/>
            <a:cs typeface="Aharoni" pitchFamily="2" charset="-79"/>
          </a:endParaRPr>
        </a:p>
        <a:p>
          <a:endParaRPr lang="es-CO" sz="1100" baseline="0"/>
        </a:p>
        <a:p>
          <a:endParaRPr lang="es-CO" sz="1100"/>
        </a:p>
      </xdr:txBody>
    </xdr:sp>
    <xdr:clientData/>
  </xdr:twoCellAnchor>
  <xdr:oneCellAnchor>
    <xdr:from>
      <xdr:col>9</xdr:col>
      <xdr:colOff>257175</xdr:colOff>
      <xdr:row>19</xdr:row>
      <xdr:rowOff>66675</xdr:rowOff>
    </xdr:from>
    <xdr:ext cx="184731" cy="264560"/>
    <xdr:sp macro="" textlink="">
      <xdr:nvSpPr>
        <xdr:cNvPr id="3" name="2 CuadroTexto">
          <a:extLst>
            <a:ext uri="{FF2B5EF4-FFF2-40B4-BE49-F238E27FC236}">
              <a16:creationId xmlns:a16="http://schemas.microsoft.com/office/drawing/2014/main" id="{00000000-0008-0000-0000-000003000000}"/>
            </a:ext>
          </a:extLst>
        </xdr:cNvPr>
        <xdr:cNvSpPr txBox="1"/>
      </xdr:nvSpPr>
      <xdr:spPr>
        <a:xfrm>
          <a:off x="6353175" y="349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twoCellAnchor>
    <xdr:from>
      <xdr:col>5</xdr:col>
      <xdr:colOff>238124</xdr:colOff>
      <xdr:row>2</xdr:row>
      <xdr:rowOff>171450</xdr:rowOff>
    </xdr:from>
    <xdr:to>
      <xdr:col>8</xdr:col>
      <xdr:colOff>514349</xdr:colOff>
      <xdr:row>5</xdr:row>
      <xdr:rowOff>152400</xdr:rowOff>
    </xdr:to>
    <xdr:sp macro="" textlink="">
      <xdr:nvSpPr>
        <xdr:cNvPr id="4" name="3 CuadroTexto">
          <a:hlinkClick xmlns:r="http://schemas.openxmlformats.org/officeDocument/2006/relationships" r:id="rId1"/>
          <a:extLst>
            <a:ext uri="{FF2B5EF4-FFF2-40B4-BE49-F238E27FC236}">
              <a16:creationId xmlns:a16="http://schemas.microsoft.com/office/drawing/2014/main" id="{00000000-0008-0000-0000-000004000000}"/>
            </a:ext>
          </a:extLst>
        </xdr:cNvPr>
        <xdr:cNvSpPr txBox="1"/>
      </xdr:nvSpPr>
      <xdr:spPr>
        <a:xfrm>
          <a:off x="3286124" y="361950"/>
          <a:ext cx="2562225" cy="552450"/>
        </a:xfrm>
        <a:prstGeom prst="rect">
          <a:avLst/>
        </a:prstGeom>
        <a:ln/>
      </xdr:spPr>
      <xdr:style>
        <a:lnRef idx="0">
          <a:schemeClr val="accent3"/>
        </a:lnRef>
        <a:fillRef idx="3">
          <a:schemeClr val="accent3"/>
        </a:fillRef>
        <a:effectRef idx="3">
          <a:schemeClr val="accent3"/>
        </a:effectRef>
        <a:fontRef idx="minor">
          <a:schemeClr val="lt1"/>
        </a:fontRef>
      </xdr:style>
      <xdr:txBody>
        <a:bodyPr vertOverflow="clip" horzOverflow="clip" wrap="square" rtlCol="0" anchor="ctr"/>
        <a:lstStyle/>
        <a:p>
          <a:pPr algn="ctr"/>
          <a:r>
            <a:rPr lang="es-CO" sz="1400" b="1">
              <a:latin typeface="Arial" pitchFamily="34" charset="0"/>
              <a:cs typeface="Arial" pitchFamily="34" charset="0"/>
            </a:rPr>
            <a:t>PROYECCIÓN</a:t>
          </a:r>
          <a:r>
            <a:rPr lang="es-CO" sz="1400" b="1" baseline="0">
              <a:latin typeface="Arial" pitchFamily="34" charset="0"/>
              <a:cs typeface="Arial" pitchFamily="34" charset="0"/>
            </a:rPr>
            <a:t> DE VENTAS Y PREMISAS</a:t>
          </a:r>
          <a:endParaRPr lang="es-CO" sz="1400" b="1">
            <a:latin typeface="Arial" pitchFamily="34" charset="0"/>
            <a:cs typeface="Arial" pitchFamily="34" charset="0"/>
          </a:endParaRPr>
        </a:p>
      </xdr:txBody>
    </xdr:sp>
    <xdr:clientData/>
  </xdr:twoCellAnchor>
  <xdr:twoCellAnchor>
    <xdr:from>
      <xdr:col>5</xdr:col>
      <xdr:colOff>228600</xdr:colOff>
      <xdr:row>6</xdr:row>
      <xdr:rowOff>171450</xdr:rowOff>
    </xdr:from>
    <xdr:to>
      <xdr:col>8</xdr:col>
      <xdr:colOff>504825</xdr:colOff>
      <xdr:row>9</xdr:row>
      <xdr:rowOff>152400</xdr:rowOff>
    </xdr:to>
    <xdr:sp macro="" textlink="">
      <xdr:nvSpPr>
        <xdr:cNvPr id="5" name="4 CuadroTexto">
          <a:hlinkClick xmlns:r="http://schemas.openxmlformats.org/officeDocument/2006/relationships" r:id="rId2"/>
          <a:extLst>
            <a:ext uri="{FF2B5EF4-FFF2-40B4-BE49-F238E27FC236}">
              <a16:creationId xmlns:a16="http://schemas.microsoft.com/office/drawing/2014/main" id="{00000000-0008-0000-0000-000005000000}"/>
            </a:ext>
          </a:extLst>
        </xdr:cNvPr>
        <xdr:cNvSpPr txBox="1"/>
      </xdr:nvSpPr>
      <xdr:spPr>
        <a:xfrm>
          <a:off x="3276600" y="1123950"/>
          <a:ext cx="2562225" cy="552450"/>
        </a:xfrm>
        <a:prstGeom prst="rect">
          <a:avLst/>
        </a:prstGeom>
        <a:ln/>
      </xdr:spPr>
      <xdr:style>
        <a:lnRef idx="0">
          <a:schemeClr val="accent3"/>
        </a:lnRef>
        <a:fillRef idx="3">
          <a:schemeClr val="accent3"/>
        </a:fillRef>
        <a:effectRef idx="3">
          <a:schemeClr val="accent3"/>
        </a:effectRef>
        <a:fontRef idx="minor">
          <a:schemeClr val="lt1"/>
        </a:fontRef>
      </xdr:style>
      <xdr:txBody>
        <a:bodyPr vertOverflow="clip" horzOverflow="clip" wrap="square" rtlCol="0" anchor="ctr"/>
        <a:lstStyle/>
        <a:p>
          <a:pPr algn="ctr"/>
          <a:r>
            <a:rPr lang="es-CO" sz="1400" b="1">
              <a:latin typeface="Arial" pitchFamily="34" charset="0"/>
              <a:cs typeface="Arial" pitchFamily="34" charset="0"/>
            </a:rPr>
            <a:t>INFRAESTRUCTURA</a:t>
          </a:r>
          <a:r>
            <a:rPr lang="es-CO" sz="1400" b="1" baseline="0">
              <a:latin typeface="Arial" pitchFamily="34" charset="0"/>
              <a:cs typeface="Arial" pitchFamily="34" charset="0"/>
            </a:rPr>
            <a:t>  Y GASTOS</a:t>
          </a:r>
          <a:endParaRPr lang="es-CO" sz="1400" b="1">
            <a:latin typeface="Arial" pitchFamily="34" charset="0"/>
            <a:cs typeface="Arial" pitchFamily="34" charset="0"/>
          </a:endParaRPr>
        </a:p>
      </xdr:txBody>
    </xdr:sp>
    <xdr:clientData/>
  </xdr:twoCellAnchor>
  <xdr:twoCellAnchor>
    <xdr:from>
      <xdr:col>5</xdr:col>
      <xdr:colOff>209550</xdr:colOff>
      <xdr:row>10</xdr:row>
      <xdr:rowOff>123825</xdr:rowOff>
    </xdr:from>
    <xdr:to>
      <xdr:col>8</xdr:col>
      <xdr:colOff>485775</xdr:colOff>
      <xdr:row>13</xdr:row>
      <xdr:rowOff>104775</xdr:rowOff>
    </xdr:to>
    <xdr:sp macro="" textlink="">
      <xdr:nvSpPr>
        <xdr:cNvPr id="6" name="5 CuadroTexto">
          <a:hlinkClick xmlns:r="http://schemas.openxmlformats.org/officeDocument/2006/relationships" r:id="rId3"/>
          <a:extLst>
            <a:ext uri="{FF2B5EF4-FFF2-40B4-BE49-F238E27FC236}">
              <a16:creationId xmlns:a16="http://schemas.microsoft.com/office/drawing/2014/main" id="{00000000-0008-0000-0000-000006000000}"/>
            </a:ext>
          </a:extLst>
        </xdr:cNvPr>
        <xdr:cNvSpPr txBox="1"/>
      </xdr:nvSpPr>
      <xdr:spPr>
        <a:xfrm>
          <a:off x="3257550" y="1838325"/>
          <a:ext cx="2562225" cy="552450"/>
        </a:xfrm>
        <a:prstGeom prst="rect">
          <a:avLst/>
        </a:prstGeom>
        <a:ln/>
      </xdr:spPr>
      <xdr:style>
        <a:lnRef idx="0">
          <a:schemeClr val="accent3"/>
        </a:lnRef>
        <a:fillRef idx="3">
          <a:schemeClr val="accent3"/>
        </a:fillRef>
        <a:effectRef idx="3">
          <a:schemeClr val="accent3"/>
        </a:effectRef>
        <a:fontRef idx="minor">
          <a:schemeClr val="lt1"/>
        </a:fontRef>
      </xdr:style>
      <xdr:txBody>
        <a:bodyPr vertOverflow="clip" horzOverflow="clip" wrap="square" rtlCol="0" anchor="ctr"/>
        <a:lstStyle/>
        <a:p>
          <a:pPr algn="ctr"/>
          <a:r>
            <a:rPr lang="es-CO" sz="1400" b="1">
              <a:latin typeface="Arial" pitchFamily="34" charset="0"/>
              <a:cs typeface="Arial" pitchFamily="34" charset="0"/>
            </a:rPr>
            <a:t>INVERSIÓN</a:t>
          </a:r>
          <a:r>
            <a:rPr lang="es-CO" sz="1400" b="1" baseline="0">
              <a:latin typeface="Arial" pitchFamily="34" charset="0"/>
              <a:cs typeface="Arial" pitchFamily="34" charset="0"/>
            </a:rPr>
            <a:t> TOTAL Y FINANCIACIÓN</a:t>
          </a:r>
          <a:endParaRPr lang="es-CO" sz="1400" b="1">
            <a:latin typeface="Arial" pitchFamily="34" charset="0"/>
            <a:cs typeface="Arial" pitchFamily="34" charset="0"/>
          </a:endParaRPr>
        </a:p>
      </xdr:txBody>
    </xdr:sp>
    <xdr:clientData/>
  </xdr:twoCellAnchor>
  <xdr:twoCellAnchor>
    <xdr:from>
      <xdr:col>5</xdr:col>
      <xdr:colOff>200025</xdr:colOff>
      <xdr:row>14</xdr:row>
      <xdr:rowOff>38100</xdr:rowOff>
    </xdr:from>
    <xdr:to>
      <xdr:col>8</xdr:col>
      <xdr:colOff>476250</xdr:colOff>
      <xdr:row>17</xdr:row>
      <xdr:rowOff>19050</xdr:rowOff>
    </xdr:to>
    <xdr:sp macro="" textlink="">
      <xdr:nvSpPr>
        <xdr:cNvPr id="7" name="6 CuadroTexto">
          <a:hlinkClick xmlns:r="http://schemas.openxmlformats.org/officeDocument/2006/relationships" r:id="rId4"/>
          <a:extLst>
            <a:ext uri="{FF2B5EF4-FFF2-40B4-BE49-F238E27FC236}">
              <a16:creationId xmlns:a16="http://schemas.microsoft.com/office/drawing/2014/main" id="{00000000-0008-0000-0000-000007000000}"/>
            </a:ext>
          </a:extLst>
        </xdr:cNvPr>
        <xdr:cNvSpPr txBox="1"/>
      </xdr:nvSpPr>
      <xdr:spPr>
        <a:xfrm>
          <a:off x="3248025" y="2514600"/>
          <a:ext cx="2562225" cy="552450"/>
        </a:xfrm>
        <a:prstGeom prst="rect">
          <a:avLst/>
        </a:prstGeom>
        <a:ln/>
      </xdr:spPr>
      <xdr:style>
        <a:lnRef idx="0">
          <a:schemeClr val="accent3"/>
        </a:lnRef>
        <a:fillRef idx="3">
          <a:schemeClr val="accent3"/>
        </a:fillRef>
        <a:effectRef idx="3">
          <a:schemeClr val="accent3"/>
        </a:effectRef>
        <a:fontRef idx="minor">
          <a:schemeClr val="lt1"/>
        </a:fontRef>
      </xdr:style>
      <xdr:txBody>
        <a:bodyPr vertOverflow="clip" horzOverflow="clip" wrap="square" rtlCol="0" anchor="ctr"/>
        <a:lstStyle/>
        <a:p>
          <a:pPr algn="ctr"/>
          <a:r>
            <a:rPr lang="es-CO" sz="1400" b="1">
              <a:latin typeface="Arial" pitchFamily="34" charset="0"/>
              <a:cs typeface="Arial" pitchFamily="34" charset="0"/>
            </a:rPr>
            <a:t>ESTADOS</a:t>
          </a:r>
          <a:r>
            <a:rPr lang="es-CO" sz="1400" b="1" baseline="0">
              <a:latin typeface="Arial" pitchFamily="34" charset="0"/>
              <a:cs typeface="Arial" pitchFamily="34" charset="0"/>
            </a:rPr>
            <a:t> FINANCIEROS</a:t>
          </a:r>
          <a:endParaRPr lang="es-CO" sz="1400" b="1">
            <a:latin typeface="Arial" pitchFamily="34" charset="0"/>
            <a:cs typeface="Arial" pitchFamily="34" charset="0"/>
          </a:endParaRPr>
        </a:p>
      </xdr:txBody>
    </xdr:sp>
    <xdr:clientData/>
  </xdr:twoCellAnchor>
  <xdr:twoCellAnchor>
    <xdr:from>
      <xdr:col>5</xdr:col>
      <xdr:colOff>180975</xdr:colOff>
      <xdr:row>18</xdr:row>
      <xdr:rowOff>19050</xdr:rowOff>
    </xdr:from>
    <xdr:to>
      <xdr:col>8</xdr:col>
      <xdr:colOff>457200</xdr:colOff>
      <xdr:row>21</xdr:row>
      <xdr:rowOff>0</xdr:rowOff>
    </xdr:to>
    <xdr:sp macro="" textlink="">
      <xdr:nvSpPr>
        <xdr:cNvPr id="8" name="7 CuadroTexto">
          <a:hlinkClick xmlns:r="http://schemas.openxmlformats.org/officeDocument/2006/relationships" r:id="rId5"/>
          <a:extLst>
            <a:ext uri="{FF2B5EF4-FFF2-40B4-BE49-F238E27FC236}">
              <a16:creationId xmlns:a16="http://schemas.microsoft.com/office/drawing/2014/main" id="{00000000-0008-0000-0000-000008000000}"/>
            </a:ext>
          </a:extLst>
        </xdr:cNvPr>
        <xdr:cNvSpPr txBox="1"/>
      </xdr:nvSpPr>
      <xdr:spPr>
        <a:xfrm>
          <a:off x="3228975" y="3257550"/>
          <a:ext cx="2562225" cy="552450"/>
        </a:xfrm>
        <a:prstGeom prst="rect">
          <a:avLst/>
        </a:prstGeom>
        <a:ln/>
      </xdr:spPr>
      <xdr:style>
        <a:lnRef idx="0">
          <a:schemeClr val="accent3"/>
        </a:lnRef>
        <a:fillRef idx="3">
          <a:schemeClr val="accent3"/>
        </a:fillRef>
        <a:effectRef idx="3">
          <a:schemeClr val="accent3"/>
        </a:effectRef>
        <a:fontRef idx="minor">
          <a:schemeClr val="lt1"/>
        </a:fontRef>
      </xdr:style>
      <xdr:txBody>
        <a:bodyPr vertOverflow="clip" horzOverflow="clip" wrap="square" rtlCol="0" anchor="ctr"/>
        <a:lstStyle/>
        <a:p>
          <a:pPr algn="ctr"/>
          <a:r>
            <a:rPr lang="es-CO" sz="1400" b="1">
              <a:latin typeface="Arial" pitchFamily="34" charset="0"/>
              <a:cs typeface="Arial" pitchFamily="34" charset="0"/>
            </a:rPr>
            <a:t>RESULTADOS DE LA SIMULACIÓN </a:t>
          </a:r>
        </a:p>
      </xdr:txBody>
    </xdr:sp>
    <xdr:clientData/>
  </xdr:twoCellAnchor>
  <xdr:twoCellAnchor>
    <xdr:from>
      <xdr:col>1</xdr:col>
      <xdr:colOff>209550</xdr:colOff>
      <xdr:row>21</xdr:row>
      <xdr:rowOff>85725</xdr:rowOff>
    </xdr:from>
    <xdr:to>
      <xdr:col>5</xdr:col>
      <xdr:colOff>200025</xdr:colOff>
      <xdr:row>23</xdr:row>
      <xdr:rowOff>95249</xdr:rowOff>
    </xdr:to>
    <xdr:sp macro="" textlink="">
      <xdr:nvSpPr>
        <xdr:cNvPr id="13" name="12 CuadroTexto">
          <a:hlinkClick xmlns:r="http://schemas.openxmlformats.org/officeDocument/2006/relationships" r:id="rId6"/>
          <a:extLst>
            <a:ext uri="{FF2B5EF4-FFF2-40B4-BE49-F238E27FC236}">
              <a16:creationId xmlns:a16="http://schemas.microsoft.com/office/drawing/2014/main" id="{00000000-0008-0000-0000-00000D000000}"/>
            </a:ext>
          </a:extLst>
        </xdr:cNvPr>
        <xdr:cNvSpPr txBox="1"/>
      </xdr:nvSpPr>
      <xdr:spPr>
        <a:xfrm>
          <a:off x="971550" y="4086225"/>
          <a:ext cx="3038475" cy="457199"/>
        </a:xfrm>
        <a:prstGeom prst="rect">
          <a:avLst/>
        </a:prstGeom>
        <a:solidFill>
          <a:schemeClr val="bg1"/>
        </a:solid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pPr>
            <a:lnSpc>
              <a:spcPts val="900"/>
            </a:lnSpc>
          </a:pPr>
          <a:r>
            <a:rPr lang="es-CO" sz="800" b="1"/>
            <a:t>Desarrollado por: Magíster Mauricio</a:t>
          </a:r>
          <a:r>
            <a:rPr lang="es-CO" sz="800" b="1" baseline="0"/>
            <a:t> Reyes Giraldo.</a:t>
          </a:r>
        </a:p>
        <a:p>
          <a:pPr>
            <a:lnSpc>
              <a:spcPts val="900"/>
            </a:lnSpc>
          </a:pPr>
          <a:r>
            <a:rPr lang="es-CO" sz="800" b="1" baseline="0"/>
            <a:t>Docente Asociado Universidad  Univerisdad  -EAN.</a:t>
          </a:r>
        </a:p>
        <a:p>
          <a:pPr>
            <a:lnSpc>
              <a:spcPts val="900"/>
            </a:lnSpc>
          </a:pPr>
          <a:r>
            <a:rPr lang="es-CO" sz="800" b="1" baseline="0"/>
            <a:t>contacto: dmreyes@ean.edu.co - @dmreyesg</a:t>
          </a:r>
        </a:p>
        <a:p>
          <a:pPr>
            <a:lnSpc>
              <a:spcPts val="900"/>
            </a:lnSpc>
          </a:pPr>
          <a:r>
            <a:rPr lang="es-CO" sz="800" b="1" baseline="0"/>
            <a:t> </a:t>
          </a:r>
        </a:p>
        <a:p>
          <a:pPr>
            <a:lnSpc>
              <a:spcPts val="500"/>
            </a:lnSpc>
          </a:pPr>
          <a:endParaRPr lang="es-CO" sz="500"/>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7</xdr:col>
      <xdr:colOff>47625</xdr:colOff>
      <xdr:row>13</xdr:row>
      <xdr:rowOff>142866</xdr:rowOff>
    </xdr:from>
    <xdr:to>
      <xdr:col>9</xdr:col>
      <xdr:colOff>180975</xdr:colOff>
      <xdr:row>35</xdr:row>
      <xdr:rowOff>57149</xdr:rowOff>
    </xdr:to>
    <xdr:sp macro="" textlink="">
      <xdr:nvSpPr>
        <xdr:cNvPr id="6" name="5 Flecha doblada">
          <a:extLst>
            <a:ext uri="{FF2B5EF4-FFF2-40B4-BE49-F238E27FC236}">
              <a16:creationId xmlns:a16="http://schemas.microsoft.com/office/drawing/2014/main" id="{00000000-0008-0000-0100-000006000000}"/>
            </a:ext>
          </a:extLst>
        </xdr:cNvPr>
        <xdr:cNvSpPr/>
      </xdr:nvSpPr>
      <xdr:spPr>
        <a:xfrm rot="10800000">
          <a:off x="8296275" y="3495666"/>
          <a:ext cx="1066800" cy="4476758"/>
        </a:xfrm>
        <a:prstGeom prst="ben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s-CO" sz="1100">
            <a:solidFill>
              <a:schemeClr val="tx1"/>
            </a:solidFill>
          </a:endParaRPr>
        </a:p>
      </xdr:txBody>
    </xdr:sp>
    <xdr:clientData/>
  </xdr:twoCellAnchor>
  <xdr:twoCellAnchor>
    <xdr:from>
      <xdr:col>8</xdr:col>
      <xdr:colOff>400050</xdr:colOff>
      <xdr:row>13</xdr:row>
      <xdr:rowOff>152399</xdr:rowOff>
    </xdr:from>
    <xdr:to>
      <xdr:col>9</xdr:col>
      <xdr:colOff>171450</xdr:colOff>
      <xdr:row>32</xdr:row>
      <xdr:rowOff>161925</xdr:rowOff>
    </xdr:to>
    <xdr:sp macro="" textlink="">
      <xdr:nvSpPr>
        <xdr:cNvPr id="7" name="6 CuadroTexto">
          <a:extLst>
            <a:ext uri="{FF2B5EF4-FFF2-40B4-BE49-F238E27FC236}">
              <a16:creationId xmlns:a16="http://schemas.microsoft.com/office/drawing/2014/main" id="{00000000-0008-0000-0100-000007000000}"/>
            </a:ext>
          </a:extLst>
        </xdr:cNvPr>
        <xdr:cNvSpPr txBox="1"/>
      </xdr:nvSpPr>
      <xdr:spPr>
        <a:xfrm>
          <a:off x="9115425" y="3505199"/>
          <a:ext cx="238125" cy="3981451"/>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vert="vert" wrap="square" rtlCol="0" anchor="t"/>
        <a:lstStyle/>
        <a:p>
          <a:r>
            <a:rPr lang="es-CO" sz="900">
              <a:latin typeface="Arial Black" pitchFamily="34" charset="0"/>
              <a:cs typeface="Aharoni" pitchFamily="2" charset="-79"/>
            </a:rPr>
            <a:t>REVISA</a:t>
          </a:r>
          <a:r>
            <a:rPr lang="es-CO" sz="900" baseline="0">
              <a:latin typeface="Arial Black" pitchFamily="34" charset="0"/>
              <a:cs typeface="Aharoni" pitchFamily="2" charset="-79"/>
            </a:rPr>
            <a:t> LAS PROYECCIONES</a:t>
          </a:r>
          <a:endParaRPr lang="es-CO" sz="900">
            <a:latin typeface="Arial Black" pitchFamily="34" charset="0"/>
            <a:cs typeface="Aharoni" pitchFamily="2" charset="-79"/>
          </a:endParaRPr>
        </a:p>
      </xdr:txBody>
    </xdr:sp>
    <xdr:clientData/>
  </xdr:twoCellAnchor>
  <xdr:twoCellAnchor>
    <xdr:from>
      <xdr:col>10</xdr:col>
      <xdr:colOff>257175</xdr:colOff>
      <xdr:row>9</xdr:row>
      <xdr:rowOff>76200</xdr:rowOff>
    </xdr:from>
    <xdr:to>
      <xdr:col>27</xdr:col>
      <xdr:colOff>447675</xdr:colOff>
      <xdr:row>11</xdr:row>
      <xdr:rowOff>104775</xdr:rowOff>
    </xdr:to>
    <xdr:sp macro="" textlink="">
      <xdr:nvSpPr>
        <xdr:cNvPr id="5" name="4 CuadroTexto">
          <a:hlinkClick xmlns:r="http://schemas.openxmlformats.org/officeDocument/2006/relationships" r:id="rId1"/>
          <a:extLst>
            <a:ext uri="{FF2B5EF4-FFF2-40B4-BE49-F238E27FC236}">
              <a16:creationId xmlns:a16="http://schemas.microsoft.com/office/drawing/2014/main" id="{00000000-0008-0000-0100-000005000000}"/>
            </a:ext>
          </a:extLst>
        </xdr:cNvPr>
        <xdr:cNvSpPr txBox="1"/>
      </xdr:nvSpPr>
      <xdr:spPr>
        <a:xfrm>
          <a:off x="9505950" y="2667000"/>
          <a:ext cx="2238375" cy="409575"/>
        </a:xfrm>
        <a:prstGeom prst="rect">
          <a:avLst/>
        </a:prstGeom>
        <a:ln/>
      </xdr:spPr>
      <xdr:style>
        <a:lnRef idx="0">
          <a:schemeClr val="accent3"/>
        </a:lnRef>
        <a:fillRef idx="3">
          <a:schemeClr val="accent3"/>
        </a:fillRef>
        <a:effectRef idx="3">
          <a:schemeClr val="accent3"/>
        </a:effectRef>
        <a:fontRef idx="minor">
          <a:schemeClr val="lt1"/>
        </a:fontRef>
      </xdr:style>
      <xdr:txBody>
        <a:bodyPr vertOverflow="clip" horzOverflow="clip" wrap="square" rtlCol="0" anchor="ctr"/>
        <a:lstStyle/>
        <a:p>
          <a:pPr algn="ctr"/>
          <a:r>
            <a:rPr lang="es-CO" sz="1400" b="1">
              <a:latin typeface="Arial" pitchFamily="34" charset="0"/>
              <a:cs typeface="Arial" pitchFamily="34" charset="0"/>
            </a:rPr>
            <a:t>VOLVER AL MENÚ</a:t>
          </a:r>
        </a:p>
      </xdr:txBody>
    </xdr:sp>
    <xdr:clientData/>
  </xdr:twoCellAnchor>
  <xdr:twoCellAnchor>
    <xdr:from>
      <xdr:col>6</xdr:col>
      <xdr:colOff>304800</xdr:colOff>
      <xdr:row>12</xdr:row>
      <xdr:rowOff>142875</xdr:rowOff>
    </xdr:from>
    <xdr:to>
      <xdr:col>7</xdr:col>
      <xdr:colOff>295275</xdr:colOff>
      <xdr:row>18</xdr:row>
      <xdr:rowOff>152400</xdr:rowOff>
    </xdr:to>
    <xdr:sp macro="" textlink="">
      <xdr:nvSpPr>
        <xdr:cNvPr id="2" name="1 Flecha abajo">
          <a:extLst>
            <a:ext uri="{FF2B5EF4-FFF2-40B4-BE49-F238E27FC236}">
              <a16:creationId xmlns:a16="http://schemas.microsoft.com/office/drawing/2014/main" id="{00000000-0008-0000-0100-000002000000}"/>
            </a:ext>
          </a:extLst>
        </xdr:cNvPr>
        <xdr:cNvSpPr/>
      </xdr:nvSpPr>
      <xdr:spPr>
        <a:xfrm>
          <a:off x="7686675" y="3305175"/>
          <a:ext cx="457200" cy="1362075"/>
        </a:xfrm>
        <a:prstGeom prst="down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s-CO" sz="1100"/>
        </a:p>
      </xdr:txBody>
    </xdr:sp>
    <xdr:clientData/>
  </xdr:twoCellAnchor>
  <xdr:twoCellAnchor>
    <xdr:from>
      <xdr:col>11</xdr:col>
      <xdr:colOff>0</xdr:colOff>
      <xdr:row>37</xdr:row>
      <xdr:rowOff>0</xdr:rowOff>
    </xdr:from>
    <xdr:to>
      <xdr:col>29</xdr:col>
      <xdr:colOff>255058</xdr:colOff>
      <xdr:row>40</xdr:row>
      <xdr:rowOff>136525</xdr:rowOff>
    </xdr:to>
    <xdr:sp macro="" textlink="">
      <xdr:nvSpPr>
        <xdr:cNvPr id="9" name="12 CuadroTexto">
          <a:hlinkClick xmlns:r="http://schemas.openxmlformats.org/officeDocument/2006/relationships" r:id="rId2"/>
          <a:extLst>
            <a:ext uri="{FF2B5EF4-FFF2-40B4-BE49-F238E27FC236}">
              <a16:creationId xmlns:a16="http://schemas.microsoft.com/office/drawing/2014/main" id="{00000000-0008-0000-0100-000009000000}"/>
            </a:ext>
          </a:extLst>
        </xdr:cNvPr>
        <xdr:cNvSpPr txBox="1"/>
      </xdr:nvSpPr>
      <xdr:spPr>
        <a:xfrm>
          <a:off x="9937750" y="8318500"/>
          <a:ext cx="3038475" cy="708025"/>
        </a:xfrm>
        <a:prstGeom prst="rect">
          <a:avLst/>
        </a:prstGeom>
        <a:solidFill>
          <a:schemeClr val="bg1"/>
        </a:solid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pPr>
            <a:lnSpc>
              <a:spcPts val="900"/>
            </a:lnSpc>
          </a:pPr>
          <a:r>
            <a:rPr lang="es-CO" sz="800" b="1"/>
            <a:t>Desarrollado por: Magíster Mauricio</a:t>
          </a:r>
          <a:r>
            <a:rPr lang="es-CO" sz="800" b="1" baseline="0"/>
            <a:t> Reyes Giraldo.</a:t>
          </a:r>
        </a:p>
        <a:p>
          <a:pPr>
            <a:lnSpc>
              <a:spcPts val="900"/>
            </a:lnSpc>
          </a:pPr>
          <a:r>
            <a:rPr lang="es-CO" sz="800" b="1" baseline="0"/>
            <a:t>Docente de Tiempo Completo Universidad EAN.</a:t>
          </a:r>
        </a:p>
        <a:p>
          <a:pPr>
            <a:lnSpc>
              <a:spcPts val="900"/>
            </a:lnSpc>
          </a:pPr>
          <a:r>
            <a:rPr lang="es-CO" sz="800" b="1" baseline="0"/>
            <a:t>Coordinador Núcleo de Emprendimiento Universidad  FEAV Univerisdad  -EAN.</a:t>
          </a:r>
        </a:p>
        <a:p>
          <a:pPr>
            <a:lnSpc>
              <a:spcPts val="900"/>
            </a:lnSpc>
          </a:pPr>
          <a:r>
            <a:rPr lang="es-CO" sz="800" b="1" baseline="0"/>
            <a:t>contacto: dmreyes@ean.edu.co</a:t>
          </a:r>
        </a:p>
        <a:p>
          <a:pPr>
            <a:lnSpc>
              <a:spcPts val="900"/>
            </a:lnSpc>
          </a:pPr>
          <a:r>
            <a:rPr lang="es-CO" sz="800" b="1" baseline="0"/>
            <a:t> </a:t>
          </a:r>
        </a:p>
        <a:p>
          <a:pPr>
            <a:lnSpc>
              <a:spcPts val="500"/>
            </a:lnSpc>
          </a:pPr>
          <a:endParaRPr lang="es-CO" sz="500"/>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4</xdr:col>
      <xdr:colOff>0</xdr:colOff>
      <xdr:row>5</xdr:row>
      <xdr:rowOff>0</xdr:rowOff>
    </xdr:from>
    <xdr:to>
      <xdr:col>5</xdr:col>
      <xdr:colOff>1009650</xdr:colOff>
      <xdr:row>7</xdr:row>
      <xdr:rowOff>28575</xdr:rowOff>
    </xdr:to>
    <xdr:sp macro="" textlink="">
      <xdr:nvSpPr>
        <xdr:cNvPr id="2" name="1 CuadroTexto">
          <a:hlinkClick xmlns:r="http://schemas.openxmlformats.org/officeDocument/2006/relationships" r:id="rId1"/>
          <a:extLst>
            <a:ext uri="{FF2B5EF4-FFF2-40B4-BE49-F238E27FC236}">
              <a16:creationId xmlns:a16="http://schemas.microsoft.com/office/drawing/2014/main" id="{00000000-0008-0000-0200-000002000000}"/>
            </a:ext>
          </a:extLst>
        </xdr:cNvPr>
        <xdr:cNvSpPr txBox="1"/>
      </xdr:nvSpPr>
      <xdr:spPr>
        <a:xfrm>
          <a:off x="4438650" y="809625"/>
          <a:ext cx="2562225" cy="409575"/>
        </a:xfrm>
        <a:prstGeom prst="rect">
          <a:avLst/>
        </a:prstGeom>
        <a:ln/>
      </xdr:spPr>
      <xdr:style>
        <a:lnRef idx="0">
          <a:schemeClr val="accent3"/>
        </a:lnRef>
        <a:fillRef idx="3">
          <a:schemeClr val="accent3"/>
        </a:fillRef>
        <a:effectRef idx="3">
          <a:schemeClr val="accent3"/>
        </a:effectRef>
        <a:fontRef idx="minor">
          <a:schemeClr val="lt1"/>
        </a:fontRef>
      </xdr:style>
      <xdr:txBody>
        <a:bodyPr vertOverflow="clip" horzOverflow="clip" wrap="square" rtlCol="0" anchor="ctr"/>
        <a:lstStyle/>
        <a:p>
          <a:pPr algn="ctr"/>
          <a:r>
            <a:rPr lang="es-CO" sz="1400" b="1">
              <a:latin typeface="Arial" pitchFamily="34" charset="0"/>
              <a:cs typeface="Arial" pitchFamily="34" charset="0"/>
            </a:rPr>
            <a:t>VOLVER</a:t>
          </a:r>
          <a:r>
            <a:rPr lang="es-CO" sz="1400" b="1" baseline="0">
              <a:latin typeface="Arial" pitchFamily="34" charset="0"/>
              <a:cs typeface="Arial" pitchFamily="34" charset="0"/>
            </a:rPr>
            <a:t> AL MENÚ</a:t>
          </a:r>
          <a:endParaRPr lang="es-CO" sz="1400" b="1">
            <a:latin typeface="Arial" pitchFamily="34" charset="0"/>
            <a:cs typeface="Arial" pitchFamily="34" charset="0"/>
          </a:endParaRPr>
        </a:p>
      </xdr:txBody>
    </xdr:sp>
    <xdr:clientData/>
  </xdr:twoCellAnchor>
  <xdr:twoCellAnchor>
    <xdr:from>
      <xdr:col>8</xdr:col>
      <xdr:colOff>685800</xdr:colOff>
      <xdr:row>19</xdr:row>
      <xdr:rowOff>171450</xdr:rowOff>
    </xdr:from>
    <xdr:to>
      <xdr:col>12</xdr:col>
      <xdr:colOff>676275</xdr:colOff>
      <xdr:row>23</xdr:row>
      <xdr:rowOff>107950</xdr:rowOff>
    </xdr:to>
    <xdr:sp macro="" textlink="">
      <xdr:nvSpPr>
        <xdr:cNvPr id="4" name="12 CuadroTexto">
          <a:hlinkClick xmlns:r="http://schemas.openxmlformats.org/officeDocument/2006/relationships" r:id="rId2"/>
          <a:extLst>
            <a:ext uri="{FF2B5EF4-FFF2-40B4-BE49-F238E27FC236}">
              <a16:creationId xmlns:a16="http://schemas.microsoft.com/office/drawing/2014/main" id="{00000000-0008-0000-0200-000004000000}"/>
            </a:ext>
          </a:extLst>
        </xdr:cNvPr>
        <xdr:cNvSpPr txBox="1"/>
      </xdr:nvSpPr>
      <xdr:spPr>
        <a:xfrm>
          <a:off x="9658350" y="3676650"/>
          <a:ext cx="3038475" cy="708025"/>
        </a:xfrm>
        <a:prstGeom prst="rect">
          <a:avLst/>
        </a:prstGeom>
        <a:solidFill>
          <a:schemeClr val="bg1"/>
        </a:solid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pPr>
            <a:lnSpc>
              <a:spcPts val="900"/>
            </a:lnSpc>
          </a:pPr>
          <a:r>
            <a:rPr lang="es-CO" sz="800" b="1"/>
            <a:t>Desarrollado por: Magíster Mauricio</a:t>
          </a:r>
          <a:r>
            <a:rPr lang="es-CO" sz="800" b="1" baseline="0"/>
            <a:t> Reyes Giraldo.</a:t>
          </a:r>
        </a:p>
        <a:p>
          <a:pPr>
            <a:lnSpc>
              <a:spcPts val="900"/>
            </a:lnSpc>
          </a:pPr>
          <a:r>
            <a:rPr lang="es-CO" sz="800" b="1" baseline="0"/>
            <a:t>Docente de Tiempo Completo Universidad EAN.</a:t>
          </a:r>
        </a:p>
        <a:p>
          <a:pPr>
            <a:lnSpc>
              <a:spcPts val="900"/>
            </a:lnSpc>
          </a:pPr>
          <a:r>
            <a:rPr lang="es-CO" sz="800" b="1" baseline="0"/>
            <a:t>Coordinador Núcleo de Emprendimiento Universidad  FEAV Univerisdad  -EAN.</a:t>
          </a:r>
        </a:p>
        <a:p>
          <a:pPr>
            <a:lnSpc>
              <a:spcPts val="900"/>
            </a:lnSpc>
          </a:pPr>
          <a:r>
            <a:rPr lang="es-CO" sz="800" b="1" baseline="0"/>
            <a:t>contacto: dmreyes@ean.edu.co</a:t>
          </a:r>
        </a:p>
        <a:p>
          <a:pPr>
            <a:lnSpc>
              <a:spcPts val="900"/>
            </a:lnSpc>
          </a:pPr>
          <a:r>
            <a:rPr lang="es-CO" sz="800" b="1" baseline="0"/>
            <a:t> </a:t>
          </a:r>
        </a:p>
        <a:p>
          <a:pPr>
            <a:lnSpc>
              <a:spcPts val="500"/>
            </a:lnSpc>
          </a:pPr>
          <a:endParaRPr lang="es-CO" sz="500"/>
        </a:p>
      </xdr:txBody>
    </xdr:sp>
    <xdr:clientData/>
  </xdr:twoCellAnchor>
</xdr:wsDr>
</file>

<file path=xl/drawings/drawing4.xml><?xml version="1.0" encoding="utf-8"?>
<xdr:wsDr xmlns:xdr="http://schemas.openxmlformats.org/drawingml/2006/spreadsheetDrawing" xmlns:a="http://schemas.openxmlformats.org/drawingml/2006/main">
  <xdr:twoCellAnchor>
    <xdr:from>
      <xdr:col>5</xdr:col>
      <xdr:colOff>781050</xdr:colOff>
      <xdr:row>13</xdr:row>
      <xdr:rowOff>152400</xdr:rowOff>
    </xdr:from>
    <xdr:to>
      <xdr:col>8</xdr:col>
      <xdr:colOff>504825</xdr:colOff>
      <xdr:row>15</xdr:row>
      <xdr:rowOff>133350</xdr:rowOff>
    </xdr:to>
    <xdr:sp macro="" textlink="">
      <xdr:nvSpPr>
        <xdr:cNvPr id="2" name="1 CuadroTexto">
          <a:hlinkClick xmlns:r="http://schemas.openxmlformats.org/officeDocument/2006/relationships" r:id="rId1"/>
          <a:extLst>
            <a:ext uri="{FF2B5EF4-FFF2-40B4-BE49-F238E27FC236}">
              <a16:creationId xmlns:a16="http://schemas.microsoft.com/office/drawing/2014/main" id="{00000000-0008-0000-0300-000002000000}"/>
            </a:ext>
          </a:extLst>
        </xdr:cNvPr>
        <xdr:cNvSpPr txBox="1"/>
      </xdr:nvSpPr>
      <xdr:spPr>
        <a:xfrm>
          <a:off x="6115050" y="2771775"/>
          <a:ext cx="2562225" cy="371475"/>
        </a:xfrm>
        <a:prstGeom prst="rect">
          <a:avLst/>
        </a:prstGeom>
        <a:ln/>
      </xdr:spPr>
      <xdr:style>
        <a:lnRef idx="0">
          <a:schemeClr val="accent3"/>
        </a:lnRef>
        <a:fillRef idx="3">
          <a:schemeClr val="accent3"/>
        </a:fillRef>
        <a:effectRef idx="3">
          <a:schemeClr val="accent3"/>
        </a:effectRef>
        <a:fontRef idx="minor">
          <a:schemeClr val="lt1"/>
        </a:fontRef>
      </xdr:style>
      <xdr:txBody>
        <a:bodyPr vertOverflow="clip" horzOverflow="clip" wrap="square" rtlCol="0" anchor="ctr"/>
        <a:lstStyle/>
        <a:p>
          <a:pPr algn="ctr"/>
          <a:r>
            <a:rPr lang="es-CO" sz="1400" b="1">
              <a:latin typeface="Arial" pitchFamily="34" charset="0"/>
              <a:cs typeface="Arial" pitchFamily="34" charset="0"/>
            </a:rPr>
            <a:t>VOLVER</a:t>
          </a:r>
          <a:r>
            <a:rPr lang="es-CO" sz="1400" b="1" baseline="0">
              <a:latin typeface="Arial" pitchFamily="34" charset="0"/>
              <a:cs typeface="Arial" pitchFamily="34" charset="0"/>
            </a:rPr>
            <a:t> AL MENÚ</a:t>
          </a:r>
          <a:endParaRPr lang="es-CO" sz="1400" b="1">
            <a:latin typeface="Arial" pitchFamily="34" charset="0"/>
            <a:cs typeface="Arial" pitchFamily="34" charset="0"/>
          </a:endParaRPr>
        </a:p>
      </xdr:txBody>
    </xdr:sp>
    <xdr:clientData/>
  </xdr:twoCellAnchor>
  <xdr:twoCellAnchor>
    <xdr:from>
      <xdr:col>8</xdr:col>
      <xdr:colOff>638175</xdr:colOff>
      <xdr:row>17</xdr:row>
      <xdr:rowOff>19050</xdr:rowOff>
    </xdr:from>
    <xdr:to>
      <xdr:col>12</xdr:col>
      <xdr:colOff>171450</xdr:colOff>
      <xdr:row>20</xdr:row>
      <xdr:rowOff>155575</xdr:rowOff>
    </xdr:to>
    <xdr:sp macro="" textlink="">
      <xdr:nvSpPr>
        <xdr:cNvPr id="4" name="12 CuadroTexto">
          <a:hlinkClick xmlns:r="http://schemas.openxmlformats.org/officeDocument/2006/relationships" r:id="rId2"/>
          <a:extLst>
            <a:ext uri="{FF2B5EF4-FFF2-40B4-BE49-F238E27FC236}">
              <a16:creationId xmlns:a16="http://schemas.microsoft.com/office/drawing/2014/main" id="{00000000-0008-0000-0300-000004000000}"/>
            </a:ext>
          </a:extLst>
        </xdr:cNvPr>
        <xdr:cNvSpPr txBox="1"/>
      </xdr:nvSpPr>
      <xdr:spPr>
        <a:xfrm>
          <a:off x="9572625" y="3609975"/>
          <a:ext cx="3038475" cy="708025"/>
        </a:xfrm>
        <a:prstGeom prst="rect">
          <a:avLst/>
        </a:prstGeom>
        <a:solidFill>
          <a:schemeClr val="bg1"/>
        </a:solid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pPr>
            <a:lnSpc>
              <a:spcPts val="900"/>
            </a:lnSpc>
          </a:pPr>
          <a:r>
            <a:rPr lang="es-CO" sz="800" b="1"/>
            <a:t>Desarrollado por: Magíster Mauricio</a:t>
          </a:r>
          <a:r>
            <a:rPr lang="es-CO" sz="800" b="1" baseline="0"/>
            <a:t> Reyes Giraldo.</a:t>
          </a:r>
        </a:p>
        <a:p>
          <a:pPr>
            <a:lnSpc>
              <a:spcPts val="900"/>
            </a:lnSpc>
          </a:pPr>
          <a:r>
            <a:rPr lang="es-CO" sz="800" b="1" baseline="0"/>
            <a:t>Docente de Tiempo Completo Universidad EAN.</a:t>
          </a:r>
        </a:p>
        <a:p>
          <a:pPr>
            <a:lnSpc>
              <a:spcPts val="900"/>
            </a:lnSpc>
          </a:pPr>
          <a:r>
            <a:rPr lang="es-CO" sz="800" b="1" baseline="0"/>
            <a:t>Coordinador Núcleo de Emprendimiento Universidad  FEAV Univerisdad  -EAN.</a:t>
          </a:r>
        </a:p>
        <a:p>
          <a:pPr>
            <a:lnSpc>
              <a:spcPts val="900"/>
            </a:lnSpc>
          </a:pPr>
          <a:r>
            <a:rPr lang="es-CO" sz="800" b="1" baseline="0"/>
            <a:t>contacto: dmreyes@ean.edu.co</a:t>
          </a:r>
        </a:p>
        <a:p>
          <a:pPr>
            <a:lnSpc>
              <a:spcPts val="900"/>
            </a:lnSpc>
          </a:pPr>
          <a:r>
            <a:rPr lang="es-CO" sz="800" b="1" baseline="0"/>
            <a:t> </a:t>
          </a:r>
        </a:p>
        <a:p>
          <a:pPr>
            <a:lnSpc>
              <a:spcPts val="500"/>
            </a:lnSpc>
          </a:pPr>
          <a:endParaRPr lang="es-CO" sz="500"/>
        </a:p>
      </xdr:txBody>
    </xdr:sp>
    <xdr:clientData/>
  </xdr:twoCellAnchor>
</xdr:wsDr>
</file>

<file path=xl/drawings/drawing5.xml><?xml version="1.0" encoding="utf-8"?>
<xdr:wsDr xmlns:xdr="http://schemas.openxmlformats.org/drawingml/2006/spreadsheetDrawing" xmlns:a="http://schemas.openxmlformats.org/drawingml/2006/main">
  <xdr:twoCellAnchor>
    <xdr:from>
      <xdr:col>7</xdr:col>
      <xdr:colOff>76201</xdr:colOff>
      <xdr:row>0</xdr:row>
      <xdr:rowOff>66675</xdr:rowOff>
    </xdr:from>
    <xdr:to>
      <xdr:col>9</xdr:col>
      <xdr:colOff>666750</xdr:colOff>
      <xdr:row>0</xdr:row>
      <xdr:rowOff>371475</xdr:rowOff>
    </xdr:to>
    <xdr:sp macro="" textlink="">
      <xdr:nvSpPr>
        <xdr:cNvPr id="2" name="1 CuadroTexto">
          <a:hlinkClick xmlns:r="http://schemas.openxmlformats.org/officeDocument/2006/relationships" r:id="rId1"/>
          <a:extLst>
            <a:ext uri="{FF2B5EF4-FFF2-40B4-BE49-F238E27FC236}">
              <a16:creationId xmlns:a16="http://schemas.microsoft.com/office/drawing/2014/main" id="{00000000-0008-0000-0400-000002000000}"/>
            </a:ext>
          </a:extLst>
        </xdr:cNvPr>
        <xdr:cNvSpPr txBox="1"/>
      </xdr:nvSpPr>
      <xdr:spPr>
        <a:xfrm>
          <a:off x="9486901" y="66675"/>
          <a:ext cx="2114549" cy="304800"/>
        </a:xfrm>
        <a:prstGeom prst="rect">
          <a:avLst/>
        </a:prstGeom>
        <a:ln/>
      </xdr:spPr>
      <xdr:style>
        <a:lnRef idx="0">
          <a:schemeClr val="accent3"/>
        </a:lnRef>
        <a:fillRef idx="3">
          <a:schemeClr val="accent3"/>
        </a:fillRef>
        <a:effectRef idx="3">
          <a:schemeClr val="accent3"/>
        </a:effectRef>
        <a:fontRef idx="minor">
          <a:schemeClr val="lt1"/>
        </a:fontRef>
      </xdr:style>
      <xdr:txBody>
        <a:bodyPr vertOverflow="clip" horzOverflow="clip" wrap="square" rtlCol="0" anchor="ctr"/>
        <a:lstStyle/>
        <a:p>
          <a:pPr algn="ctr"/>
          <a:r>
            <a:rPr lang="es-CO" sz="1400" b="1">
              <a:latin typeface="Arial" pitchFamily="34" charset="0"/>
              <a:cs typeface="Arial" pitchFamily="34" charset="0"/>
            </a:rPr>
            <a:t>VOLVER</a:t>
          </a:r>
          <a:r>
            <a:rPr lang="es-CO" sz="1400" b="1" baseline="0">
              <a:latin typeface="Arial" pitchFamily="34" charset="0"/>
              <a:cs typeface="Arial" pitchFamily="34" charset="0"/>
            </a:rPr>
            <a:t> AL MENÚ</a:t>
          </a:r>
          <a:endParaRPr lang="es-CO" sz="1400" b="1">
            <a:latin typeface="Arial" pitchFamily="34" charset="0"/>
            <a:cs typeface="Arial" pitchFamily="34" charset="0"/>
          </a:endParaRPr>
        </a:p>
      </xdr:txBody>
    </xdr:sp>
    <xdr:clientData/>
  </xdr:twoCellAnchor>
  <xdr:twoCellAnchor>
    <xdr:from>
      <xdr:col>7</xdr:col>
      <xdr:colOff>190500</xdr:colOff>
      <xdr:row>51</xdr:row>
      <xdr:rowOff>158750</xdr:rowOff>
    </xdr:from>
    <xdr:to>
      <xdr:col>11</xdr:col>
      <xdr:colOff>180975</xdr:colOff>
      <xdr:row>55</xdr:row>
      <xdr:rowOff>83609</xdr:rowOff>
    </xdr:to>
    <xdr:sp macro="" textlink="">
      <xdr:nvSpPr>
        <xdr:cNvPr id="4" name="12 CuadroTexto">
          <a:hlinkClick xmlns:r="http://schemas.openxmlformats.org/officeDocument/2006/relationships" r:id="rId2"/>
          <a:extLst>
            <a:ext uri="{FF2B5EF4-FFF2-40B4-BE49-F238E27FC236}">
              <a16:creationId xmlns:a16="http://schemas.microsoft.com/office/drawing/2014/main" id="{00000000-0008-0000-0400-000004000000}"/>
            </a:ext>
          </a:extLst>
        </xdr:cNvPr>
        <xdr:cNvSpPr txBox="1"/>
      </xdr:nvSpPr>
      <xdr:spPr>
        <a:xfrm>
          <a:off x="9842500" y="10689167"/>
          <a:ext cx="3038475" cy="708025"/>
        </a:xfrm>
        <a:prstGeom prst="rect">
          <a:avLst/>
        </a:prstGeom>
        <a:solidFill>
          <a:schemeClr val="bg1"/>
        </a:solid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pPr>
            <a:lnSpc>
              <a:spcPts val="900"/>
            </a:lnSpc>
          </a:pPr>
          <a:r>
            <a:rPr lang="es-CO" sz="800" b="1"/>
            <a:t>Desarrollado por: Magíster Mauricio</a:t>
          </a:r>
          <a:r>
            <a:rPr lang="es-CO" sz="800" b="1" baseline="0"/>
            <a:t> Reyes Giraldo.</a:t>
          </a:r>
        </a:p>
        <a:p>
          <a:pPr>
            <a:lnSpc>
              <a:spcPts val="900"/>
            </a:lnSpc>
          </a:pPr>
          <a:r>
            <a:rPr lang="es-CO" sz="800" b="1" baseline="0"/>
            <a:t>Docente de Tiempo Completo Universidad EAN.</a:t>
          </a:r>
        </a:p>
        <a:p>
          <a:pPr>
            <a:lnSpc>
              <a:spcPts val="900"/>
            </a:lnSpc>
          </a:pPr>
          <a:r>
            <a:rPr lang="es-CO" sz="800" b="1" baseline="0"/>
            <a:t>Coordinador Núcleo de Emprendimiento Universidad  FEAV Univerisdad  -EAN.</a:t>
          </a:r>
        </a:p>
        <a:p>
          <a:pPr>
            <a:lnSpc>
              <a:spcPts val="900"/>
            </a:lnSpc>
          </a:pPr>
          <a:r>
            <a:rPr lang="es-CO" sz="800" b="1" baseline="0"/>
            <a:t>contacto: dmreyes@ean.edu.co</a:t>
          </a:r>
        </a:p>
        <a:p>
          <a:pPr>
            <a:lnSpc>
              <a:spcPts val="900"/>
            </a:lnSpc>
          </a:pPr>
          <a:r>
            <a:rPr lang="es-CO" sz="800" b="1" baseline="0"/>
            <a:t> </a:t>
          </a:r>
        </a:p>
        <a:p>
          <a:pPr>
            <a:lnSpc>
              <a:spcPts val="500"/>
            </a:lnSpc>
          </a:pPr>
          <a:endParaRPr lang="es-CO" sz="500"/>
        </a:p>
      </xdr:txBody>
    </xdr:sp>
    <xdr:clientData/>
  </xdr:twoCellAnchor>
</xdr:wsDr>
</file>

<file path=xl/drawings/drawing6.xml><?xml version="1.0" encoding="utf-8"?>
<xdr:wsDr xmlns:xdr="http://schemas.openxmlformats.org/drawingml/2006/spreadsheetDrawing" xmlns:a="http://schemas.openxmlformats.org/drawingml/2006/main">
  <xdr:twoCellAnchor>
    <xdr:from>
      <xdr:col>6</xdr:col>
      <xdr:colOff>857248</xdr:colOff>
      <xdr:row>13</xdr:row>
      <xdr:rowOff>128589</xdr:rowOff>
    </xdr:from>
    <xdr:to>
      <xdr:col>12</xdr:col>
      <xdr:colOff>190498</xdr:colOff>
      <xdr:row>26</xdr:row>
      <xdr:rowOff>28576</xdr:rowOff>
    </xdr:to>
    <xdr:graphicFrame macro="">
      <xdr:nvGraphicFramePr>
        <xdr:cNvPr id="2" name="1 Gráfico">
          <a:extLst>
            <a:ext uri="{FF2B5EF4-FFF2-40B4-BE49-F238E27FC236}">
              <a16:creationId xmlns:a16="http://schemas.microsoft.com/office/drawing/2014/main" id="{00000000-0008-0000-0500-000002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6</xdr:col>
      <xdr:colOff>561976</xdr:colOff>
      <xdr:row>1</xdr:row>
      <xdr:rowOff>200025</xdr:rowOff>
    </xdr:from>
    <xdr:to>
      <xdr:col>8</xdr:col>
      <xdr:colOff>676276</xdr:colOff>
      <xdr:row>2</xdr:row>
      <xdr:rowOff>76200</xdr:rowOff>
    </xdr:to>
    <xdr:sp macro="" textlink="">
      <xdr:nvSpPr>
        <xdr:cNvPr id="3" name="2 CuadroTexto">
          <a:hlinkClick xmlns:r="http://schemas.openxmlformats.org/officeDocument/2006/relationships" r:id="rId2"/>
          <a:extLst>
            <a:ext uri="{FF2B5EF4-FFF2-40B4-BE49-F238E27FC236}">
              <a16:creationId xmlns:a16="http://schemas.microsoft.com/office/drawing/2014/main" id="{00000000-0008-0000-0500-000003000000}"/>
            </a:ext>
          </a:extLst>
        </xdr:cNvPr>
        <xdr:cNvSpPr txBox="1"/>
      </xdr:nvSpPr>
      <xdr:spPr>
        <a:xfrm>
          <a:off x="8334376" y="200025"/>
          <a:ext cx="2152650" cy="361950"/>
        </a:xfrm>
        <a:prstGeom prst="rect">
          <a:avLst/>
        </a:prstGeom>
        <a:ln/>
      </xdr:spPr>
      <xdr:style>
        <a:lnRef idx="0">
          <a:schemeClr val="accent3"/>
        </a:lnRef>
        <a:fillRef idx="3">
          <a:schemeClr val="accent3"/>
        </a:fillRef>
        <a:effectRef idx="3">
          <a:schemeClr val="accent3"/>
        </a:effectRef>
        <a:fontRef idx="minor">
          <a:schemeClr val="lt1"/>
        </a:fontRef>
      </xdr:style>
      <xdr:txBody>
        <a:bodyPr vertOverflow="clip" horzOverflow="clip" wrap="square" rtlCol="0" anchor="ctr"/>
        <a:lstStyle/>
        <a:p>
          <a:pPr algn="ctr"/>
          <a:r>
            <a:rPr lang="es-CO" sz="1400" b="1">
              <a:latin typeface="Arial" pitchFamily="34" charset="0"/>
              <a:cs typeface="Arial" pitchFamily="34" charset="0"/>
            </a:rPr>
            <a:t>VOLVER AL MENÚ</a:t>
          </a:r>
        </a:p>
      </xdr:txBody>
    </xdr:sp>
    <xdr:clientData/>
  </xdr:twoCellAnchor>
  <xdr:twoCellAnchor>
    <xdr:from>
      <xdr:col>6</xdr:col>
      <xdr:colOff>866776</xdr:colOff>
      <xdr:row>26</xdr:row>
      <xdr:rowOff>161925</xdr:rowOff>
    </xdr:from>
    <xdr:to>
      <xdr:col>9</xdr:col>
      <xdr:colOff>219076</xdr:colOff>
      <xdr:row>28</xdr:row>
      <xdr:rowOff>9525</xdr:rowOff>
    </xdr:to>
    <xdr:sp macro="" textlink="">
      <xdr:nvSpPr>
        <xdr:cNvPr id="4" name="3 CuadroTexto">
          <a:hlinkClick xmlns:r="http://schemas.openxmlformats.org/officeDocument/2006/relationships" r:id="rId2"/>
          <a:extLst>
            <a:ext uri="{FF2B5EF4-FFF2-40B4-BE49-F238E27FC236}">
              <a16:creationId xmlns:a16="http://schemas.microsoft.com/office/drawing/2014/main" id="{00000000-0008-0000-0500-000004000000}"/>
            </a:ext>
          </a:extLst>
        </xdr:cNvPr>
        <xdr:cNvSpPr txBox="1"/>
      </xdr:nvSpPr>
      <xdr:spPr>
        <a:xfrm>
          <a:off x="8639176" y="5800725"/>
          <a:ext cx="2152650" cy="361950"/>
        </a:xfrm>
        <a:prstGeom prst="rect">
          <a:avLst/>
        </a:prstGeom>
        <a:ln/>
      </xdr:spPr>
      <xdr:style>
        <a:lnRef idx="0">
          <a:schemeClr val="accent3"/>
        </a:lnRef>
        <a:fillRef idx="3">
          <a:schemeClr val="accent3"/>
        </a:fillRef>
        <a:effectRef idx="3">
          <a:schemeClr val="accent3"/>
        </a:effectRef>
        <a:fontRef idx="minor">
          <a:schemeClr val="lt1"/>
        </a:fontRef>
      </xdr:style>
      <xdr:txBody>
        <a:bodyPr vertOverflow="clip" horzOverflow="clip" wrap="square" rtlCol="0" anchor="ctr"/>
        <a:lstStyle/>
        <a:p>
          <a:pPr algn="ctr"/>
          <a:r>
            <a:rPr lang="es-CO" sz="1400" b="1">
              <a:latin typeface="Arial" pitchFamily="34" charset="0"/>
              <a:cs typeface="Arial" pitchFamily="34" charset="0"/>
            </a:rPr>
            <a:t>VOLVER AL MENÚ</a:t>
          </a:r>
        </a:p>
      </xdr:txBody>
    </xdr:sp>
    <xdr:clientData/>
  </xdr:twoCellAnchor>
  <xdr:twoCellAnchor>
    <xdr:from>
      <xdr:col>8</xdr:col>
      <xdr:colOff>59531</xdr:colOff>
      <xdr:row>30</xdr:row>
      <xdr:rowOff>154781</xdr:rowOff>
    </xdr:from>
    <xdr:to>
      <xdr:col>12</xdr:col>
      <xdr:colOff>14288</xdr:colOff>
      <xdr:row>34</xdr:row>
      <xdr:rowOff>100806</xdr:rowOff>
    </xdr:to>
    <xdr:sp macro="" textlink="">
      <xdr:nvSpPr>
        <xdr:cNvPr id="6" name="12 CuadroTexto">
          <a:hlinkClick xmlns:r="http://schemas.openxmlformats.org/officeDocument/2006/relationships" r:id="rId3"/>
          <a:extLst>
            <a:ext uri="{FF2B5EF4-FFF2-40B4-BE49-F238E27FC236}">
              <a16:creationId xmlns:a16="http://schemas.microsoft.com/office/drawing/2014/main" id="{00000000-0008-0000-0500-000006000000}"/>
            </a:ext>
          </a:extLst>
        </xdr:cNvPr>
        <xdr:cNvSpPr txBox="1"/>
      </xdr:nvSpPr>
      <xdr:spPr>
        <a:xfrm>
          <a:off x="10751344" y="6893719"/>
          <a:ext cx="3038475" cy="708025"/>
        </a:xfrm>
        <a:prstGeom prst="rect">
          <a:avLst/>
        </a:prstGeom>
        <a:solidFill>
          <a:schemeClr val="bg1"/>
        </a:solid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pPr>
            <a:lnSpc>
              <a:spcPts val="900"/>
            </a:lnSpc>
          </a:pPr>
          <a:r>
            <a:rPr lang="es-CO" sz="800" b="1"/>
            <a:t>Desarrollado por: Magíster Mauricio</a:t>
          </a:r>
          <a:r>
            <a:rPr lang="es-CO" sz="800" b="1" baseline="0"/>
            <a:t> Reyes Giraldo.</a:t>
          </a:r>
        </a:p>
        <a:p>
          <a:pPr>
            <a:lnSpc>
              <a:spcPts val="900"/>
            </a:lnSpc>
          </a:pPr>
          <a:r>
            <a:rPr lang="es-CO" sz="800" b="1" baseline="0"/>
            <a:t>Docente de Tiempo Completo Universidad EAN.</a:t>
          </a:r>
        </a:p>
        <a:p>
          <a:pPr>
            <a:lnSpc>
              <a:spcPts val="900"/>
            </a:lnSpc>
          </a:pPr>
          <a:r>
            <a:rPr lang="es-CO" sz="800" b="1" baseline="0"/>
            <a:t>Coordinador Núcleo de Emprendimiento Universidad  FEAV Univerisdad  -EAN.</a:t>
          </a:r>
        </a:p>
        <a:p>
          <a:pPr>
            <a:lnSpc>
              <a:spcPts val="900"/>
            </a:lnSpc>
          </a:pPr>
          <a:r>
            <a:rPr lang="es-CO" sz="800" b="1" baseline="0"/>
            <a:t>contacto: dmreyes@ean.edu.co</a:t>
          </a:r>
        </a:p>
        <a:p>
          <a:pPr>
            <a:lnSpc>
              <a:spcPts val="900"/>
            </a:lnSpc>
          </a:pPr>
          <a:r>
            <a:rPr lang="es-CO" sz="800" b="1" baseline="0"/>
            <a:t> </a:t>
          </a:r>
        </a:p>
        <a:p>
          <a:pPr>
            <a:lnSpc>
              <a:spcPts val="500"/>
            </a:lnSpc>
          </a:pPr>
          <a:endParaRPr lang="es-CO" sz="500"/>
        </a:p>
      </xdr:txBody>
    </xdr:sp>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1.bin"/><Relationship Id="rId1" Type="http://schemas.openxmlformats.org/officeDocument/2006/relationships/hyperlink" Target="https://www.youtube.com/watch?v=m2meVNuuANI" TargetMode="External"/></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2.xml"/><Relationship Id="rId1" Type="http://schemas.openxmlformats.org/officeDocument/2006/relationships/printerSettings" Target="../printerSettings/printerSettings2.bin"/><Relationship Id="rId4" Type="http://schemas.openxmlformats.org/officeDocument/2006/relationships/comments" Target="../comments1.xml"/></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3.xml"/><Relationship Id="rId1" Type="http://schemas.openxmlformats.org/officeDocument/2006/relationships/printerSettings" Target="../printerSettings/printerSettings3.bin"/><Relationship Id="rId4" Type="http://schemas.openxmlformats.org/officeDocument/2006/relationships/comments" Target="../comments2.xml"/></Relationships>
</file>

<file path=xl/worksheets/_rels/sheet4.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drawing" Target="../drawings/drawing4.xml"/><Relationship Id="rId1" Type="http://schemas.openxmlformats.org/officeDocument/2006/relationships/printerSettings" Target="../printerSettings/printerSettings4.bin"/><Relationship Id="rId4" Type="http://schemas.openxmlformats.org/officeDocument/2006/relationships/comments" Target="../comments3.xml"/></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6.xml.rels><?xml version="1.0" encoding="UTF-8" standalone="yes"?>
<Relationships xmlns="http://schemas.openxmlformats.org/package/2006/relationships"><Relationship Id="rId3" Type="http://schemas.openxmlformats.org/officeDocument/2006/relationships/vmlDrawing" Target="../drawings/vmlDrawing4.vml"/><Relationship Id="rId2" Type="http://schemas.openxmlformats.org/officeDocument/2006/relationships/drawing" Target="../drawings/drawing6.xml"/><Relationship Id="rId1" Type="http://schemas.openxmlformats.org/officeDocument/2006/relationships/printerSettings" Target="../printerSettings/printerSettings5.bin"/><Relationship Id="rId4" Type="http://schemas.openxmlformats.org/officeDocument/2006/relationships/comments" Target="../comments4.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G23:H23"/>
  <sheetViews>
    <sheetView showGridLines="0" showRowColHeaders="0" view="pageBreakPreview" zoomScaleNormal="100" zoomScaleSheetLayoutView="100" workbookViewId="0">
      <selection activeCell="G23" sqref="G23:H23"/>
    </sheetView>
  </sheetViews>
  <sheetFormatPr baseColWidth="10" defaultRowHeight="15"/>
  <sheetData>
    <row r="23" spans="7:8" ht="20">
      <c r="G23" s="146" t="s">
        <v>135</v>
      </c>
      <c r="H23" s="146"/>
    </row>
  </sheetData>
  <sheetProtection algorithmName="SHA-512" hashValue="yEMIW8KgRsP3VTzZ5MhJf2mifk22oU04SQfTSUKUce+y7DQ9nVfd/ZJwQti+bHWzITHglYeYcql49OGjwHXpCQ==" saltValue="tEOLSjpE/Gzt9Qmj0TZxcg==" spinCount="100000" sheet="1" objects="1" scenarios="1"/>
  <mergeCells count="1">
    <mergeCell ref="G23:H23"/>
  </mergeCells>
  <hyperlinks>
    <hyperlink ref="G23" r:id="rId1" xr:uid="{00000000-0004-0000-0000-000000000000}"/>
  </hyperlinks>
  <pageMargins left="0.7" right="0.7" top="0.75" bottom="0.75" header="0.3" footer="0.3"/>
  <pageSetup paperSize="9" scale="69" orientation="portrait" r:id="rId2"/>
  <drawing r:id="rId3"/>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Hoja1"/>
  <dimension ref="A1:AC35"/>
  <sheetViews>
    <sheetView showGridLines="0" topLeftCell="G1" zoomScale="140" zoomScaleNormal="143" workbookViewId="0">
      <selection activeCell="C59" sqref="C59"/>
    </sheetView>
  </sheetViews>
  <sheetFormatPr baseColWidth="10" defaultColWidth="11.5" defaultRowHeight="15"/>
  <cols>
    <col min="1" max="1" width="22.5" style="8" customWidth="1"/>
    <col min="2" max="2" width="37.5" style="8" customWidth="1"/>
    <col min="3" max="6" width="26" style="8" bestFit="1" customWidth="1"/>
    <col min="7" max="10" width="9.5" style="8" bestFit="1" customWidth="1"/>
    <col min="11" max="11" width="4.33203125" style="8" customWidth="1"/>
    <col min="12" max="15" width="11.5" style="8" hidden="1" customWidth="1"/>
    <col min="16" max="19" width="12" style="8" hidden="1" customWidth="1"/>
    <col min="20" max="24" width="15.5" style="8" hidden="1" customWidth="1"/>
    <col min="25" max="25" width="22.1640625" style="8" bestFit="1" customWidth="1"/>
    <col min="26" max="27" width="9.5" style="8" bestFit="1" customWidth="1"/>
    <col min="28" max="28" width="11.5" style="8" bestFit="1" customWidth="1"/>
    <col min="29" max="29" width="9.5" style="8" bestFit="1" customWidth="1"/>
    <col min="30" max="16384" width="11.5" style="8"/>
  </cols>
  <sheetData>
    <row r="1" spans="1:29" ht="30.75" customHeight="1">
      <c r="A1" s="148" t="s">
        <v>5</v>
      </c>
      <c r="B1" s="148"/>
      <c r="C1" s="148"/>
      <c r="D1" s="148"/>
      <c r="E1" s="148"/>
      <c r="G1" s="149" t="s">
        <v>12</v>
      </c>
      <c r="H1" s="149"/>
      <c r="I1" s="149"/>
      <c r="J1" s="149"/>
      <c r="P1" s="8" t="s">
        <v>16</v>
      </c>
      <c r="Y1" s="15" t="s">
        <v>9</v>
      </c>
      <c r="Z1" s="47">
        <v>2026</v>
      </c>
      <c r="AA1" s="16"/>
    </row>
    <row r="2" spans="1:29" ht="32.25" customHeight="1" thickBot="1">
      <c r="B2" s="17" t="s">
        <v>4</v>
      </c>
      <c r="C2" s="18" t="s">
        <v>0</v>
      </c>
      <c r="D2" s="17" t="s">
        <v>7</v>
      </c>
      <c r="E2" s="18" t="s">
        <v>1</v>
      </c>
      <c r="F2" s="19" t="s">
        <v>27</v>
      </c>
      <c r="G2" s="20">
        <f>'1'!Z1+1</f>
        <v>2027</v>
      </c>
      <c r="H2" s="20">
        <f>G2+1</f>
        <v>2028</v>
      </c>
      <c r="I2" s="20">
        <f>H2+1</f>
        <v>2029</v>
      </c>
      <c r="J2" s="20">
        <f>I2+1</f>
        <v>2030</v>
      </c>
      <c r="L2" s="8">
        <f>G2</f>
        <v>2027</v>
      </c>
      <c r="M2" s="8">
        <f>H2</f>
        <v>2028</v>
      </c>
      <c r="N2" s="8">
        <f>M2+1</f>
        <v>2029</v>
      </c>
      <c r="O2" s="8">
        <f>N2+1</f>
        <v>2030</v>
      </c>
      <c r="P2" s="8" t="s">
        <v>13</v>
      </c>
      <c r="Q2" s="8" t="s">
        <v>11</v>
      </c>
      <c r="R2" s="8" t="s">
        <v>23</v>
      </c>
      <c r="S2" s="8" t="s">
        <v>24</v>
      </c>
      <c r="T2" s="8" t="s">
        <v>17</v>
      </c>
      <c r="U2" s="8" t="s">
        <v>18</v>
      </c>
      <c r="V2" s="8" t="s">
        <v>25</v>
      </c>
      <c r="W2" s="8" t="s">
        <v>26</v>
      </c>
      <c r="Y2" s="16"/>
      <c r="Z2" s="16"/>
      <c r="AA2" s="16"/>
    </row>
    <row r="3" spans="1:29" ht="23" thickBot="1">
      <c r="A3" s="21">
        <v>1</v>
      </c>
      <c r="B3" s="13" t="s">
        <v>158</v>
      </c>
      <c r="C3" s="53">
        <v>20</v>
      </c>
      <c r="D3" s="14">
        <v>600000</v>
      </c>
      <c r="E3" s="22">
        <f>C3*D3</f>
        <v>12000000</v>
      </c>
      <c r="F3" s="23">
        <f>IF($E$13=0,0,E3/$E$13)</f>
        <v>2.9520295202952029E-2</v>
      </c>
      <c r="G3" s="117">
        <v>0.1</v>
      </c>
      <c r="H3" s="117">
        <v>0.15</v>
      </c>
      <c r="I3" s="117">
        <v>0.2</v>
      </c>
      <c r="J3" s="117">
        <v>0.25</v>
      </c>
      <c r="K3" s="24"/>
      <c r="L3" s="8">
        <f t="shared" ref="L3:L12" si="0">C3*(1+G3)</f>
        <v>22</v>
      </c>
      <c r="M3" s="8">
        <f>L3*(1+H3)</f>
        <v>25.299999999999997</v>
      </c>
      <c r="N3" s="8">
        <f>M3*(1+I3)</f>
        <v>30.359999999999996</v>
      </c>
      <c r="O3" s="8">
        <f>N3*(1+J3)</f>
        <v>37.949999999999996</v>
      </c>
      <c r="P3" s="25">
        <f>D3*(1+'1'!$Z$4)</f>
        <v>621000</v>
      </c>
      <c r="Q3" s="25">
        <f>P3*(1+'1'!$AA$4)</f>
        <v>641493</v>
      </c>
      <c r="R3" s="25">
        <f>Q3*(1+'1'!$AB$4)</f>
        <v>660737.79</v>
      </c>
      <c r="S3" s="25">
        <f>R3*(1+'1'!$AC$4)</f>
        <v>683202.8748600001</v>
      </c>
      <c r="T3" s="26">
        <f>L3*P3</f>
        <v>13662000</v>
      </c>
      <c r="U3" s="26">
        <f>M3*Q3</f>
        <v>16229772.899999999</v>
      </c>
      <c r="V3" s="26">
        <f>N3*R3</f>
        <v>20059999.304399997</v>
      </c>
      <c r="W3" s="26">
        <f>O3*S3</f>
        <v>25927549.100937001</v>
      </c>
      <c r="X3" s="26"/>
      <c r="Y3" s="27" t="s">
        <v>10</v>
      </c>
      <c r="Z3" s="28">
        <f>G2</f>
        <v>2027</v>
      </c>
      <c r="AA3" s="28">
        <f>Z3+1</f>
        <v>2028</v>
      </c>
      <c r="AB3" s="28">
        <f>AA3+1</f>
        <v>2029</v>
      </c>
      <c r="AC3" s="29">
        <f>AB3+1</f>
        <v>2030</v>
      </c>
    </row>
    <row r="4" spans="1:29" ht="22">
      <c r="A4" s="21">
        <f>A3+1</f>
        <v>2</v>
      </c>
      <c r="B4" s="143" t="s">
        <v>159</v>
      </c>
      <c r="C4" s="53">
        <v>25</v>
      </c>
      <c r="D4" s="14">
        <v>1500000</v>
      </c>
      <c r="E4" s="22">
        <f t="shared" ref="E4:E12" si="1">C4*D4</f>
        <v>37500000</v>
      </c>
      <c r="F4" s="23">
        <f t="shared" ref="F4:F12" si="2">IF($E$13=0,0,E4/$E$13)</f>
        <v>9.2250922509225092E-2</v>
      </c>
      <c r="G4" s="117">
        <v>0.1</v>
      </c>
      <c r="H4" s="117">
        <v>0.15</v>
      </c>
      <c r="I4" s="117">
        <v>0.2</v>
      </c>
      <c r="J4" s="117">
        <v>0.25</v>
      </c>
      <c r="K4" s="24"/>
      <c r="L4" s="8">
        <f t="shared" si="0"/>
        <v>27.500000000000004</v>
      </c>
      <c r="M4" s="8">
        <f t="shared" ref="M4:M12" si="3">L4*(1+H4)</f>
        <v>31.625</v>
      </c>
      <c r="N4" s="8">
        <f t="shared" ref="N4:N12" si="4">M4*(1+I4)</f>
        <v>37.949999999999996</v>
      </c>
      <c r="O4" s="8">
        <f t="shared" ref="O4:O12" si="5">N4*(1+J4)</f>
        <v>47.437499999999993</v>
      </c>
      <c r="P4" s="25">
        <f>D4*(1+'1'!$Z$4)</f>
        <v>1552499.9999999998</v>
      </c>
      <c r="Q4" s="25">
        <f>P4*(1+'1'!$AA$4)</f>
        <v>1603732.4999999995</v>
      </c>
      <c r="R4" s="25">
        <f>Q4*(1+'1'!$AB$4)</f>
        <v>1651844.4749999996</v>
      </c>
      <c r="S4" s="25">
        <f>R4*(1+'1'!$AC$4)</f>
        <v>1708007.1871499997</v>
      </c>
      <c r="T4" s="26">
        <f t="shared" ref="T4:T12" si="6">L4*P4</f>
        <v>42693750</v>
      </c>
      <c r="U4" s="26">
        <f t="shared" ref="U4:U12" si="7">M4*Q4</f>
        <v>50718040.312499985</v>
      </c>
      <c r="V4" s="26">
        <f t="shared" ref="V4:V12" si="8">N4*R4</f>
        <v>62687497.826249979</v>
      </c>
      <c r="W4" s="26">
        <f t="shared" ref="W4:W12" si="9">O4*S4</f>
        <v>81023590.940428093</v>
      </c>
      <c r="X4" s="26"/>
      <c r="Y4" s="119" t="s">
        <v>14</v>
      </c>
      <c r="Z4" s="48">
        <v>3.5000000000000003E-2</v>
      </c>
      <c r="AA4" s="48">
        <v>3.3000000000000002E-2</v>
      </c>
      <c r="AB4" s="48">
        <v>0.03</v>
      </c>
      <c r="AC4" s="49">
        <v>3.4000000000000002E-2</v>
      </c>
    </row>
    <row r="5" spans="1:29" ht="20" customHeight="1" thickBot="1">
      <c r="A5" s="21">
        <f t="shared" ref="A5:A12" si="10">A4+1</f>
        <v>3</v>
      </c>
      <c r="B5" s="144" t="s">
        <v>160</v>
      </c>
      <c r="C5" s="53">
        <v>25</v>
      </c>
      <c r="D5" s="14">
        <v>2000000</v>
      </c>
      <c r="E5" s="22">
        <f t="shared" si="1"/>
        <v>50000000</v>
      </c>
      <c r="F5" s="23">
        <f t="shared" si="2"/>
        <v>0.12300123001230012</v>
      </c>
      <c r="G5" s="117">
        <v>0.1</v>
      </c>
      <c r="H5" s="117">
        <v>0.15</v>
      </c>
      <c r="I5" s="117">
        <v>0.2</v>
      </c>
      <c r="J5" s="117">
        <v>0.25</v>
      </c>
      <c r="K5" s="24"/>
      <c r="L5" s="8">
        <f t="shared" si="0"/>
        <v>27.500000000000004</v>
      </c>
      <c r="M5" s="8">
        <f t="shared" si="3"/>
        <v>31.625</v>
      </c>
      <c r="N5" s="8">
        <f t="shared" si="4"/>
        <v>37.949999999999996</v>
      </c>
      <c r="O5" s="8">
        <f t="shared" si="5"/>
        <v>47.437499999999993</v>
      </c>
      <c r="P5" s="25">
        <f>D5*(1+'1'!$Z$4)</f>
        <v>2069999.9999999998</v>
      </c>
      <c r="Q5" s="25">
        <f>P5*(1+'1'!$AA$4)</f>
        <v>2138309.9999999995</v>
      </c>
      <c r="R5" s="25">
        <f>Q5*(1+'1'!$AB$4)</f>
        <v>2202459.2999999993</v>
      </c>
      <c r="S5" s="25">
        <f>R5*(1+'1'!$AC$4)</f>
        <v>2277342.9161999994</v>
      </c>
      <c r="T5" s="26">
        <f t="shared" si="6"/>
        <v>56925000</v>
      </c>
      <c r="U5" s="26">
        <f t="shared" si="7"/>
        <v>67624053.749999985</v>
      </c>
      <c r="V5" s="26">
        <f t="shared" si="8"/>
        <v>83583330.434999973</v>
      </c>
      <c r="W5" s="26">
        <f t="shared" si="9"/>
        <v>108031454.58723746</v>
      </c>
      <c r="X5" s="26"/>
      <c r="Y5" s="120" t="s">
        <v>15</v>
      </c>
      <c r="Z5" s="50">
        <v>0.03</v>
      </c>
      <c r="AA5" s="50">
        <v>0.03</v>
      </c>
      <c r="AB5" s="50">
        <v>0.03</v>
      </c>
      <c r="AC5" s="51">
        <v>0.03</v>
      </c>
    </row>
    <row r="6" spans="1:29" ht="16" thickBot="1">
      <c r="A6" s="21">
        <f t="shared" si="10"/>
        <v>4</v>
      </c>
      <c r="B6" s="13" t="s">
        <v>163</v>
      </c>
      <c r="C6" s="53">
        <v>20</v>
      </c>
      <c r="D6" s="14">
        <v>600000</v>
      </c>
      <c r="E6" s="22">
        <f t="shared" si="1"/>
        <v>12000000</v>
      </c>
      <c r="F6" s="23">
        <f t="shared" si="2"/>
        <v>2.9520295202952029E-2</v>
      </c>
      <c r="G6" s="117">
        <v>0.1</v>
      </c>
      <c r="H6" s="117">
        <v>0.15</v>
      </c>
      <c r="I6" s="117">
        <v>0.2</v>
      </c>
      <c r="J6" s="117">
        <v>0.25</v>
      </c>
      <c r="K6" s="24"/>
      <c r="L6" s="8">
        <f t="shared" si="0"/>
        <v>22</v>
      </c>
      <c r="M6" s="8">
        <f t="shared" si="3"/>
        <v>25.299999999999997</v>
      </c>
      <c r="N6" s="8">
        <f t="shared" si="4"/>
        <v>30.359999999999996</v>
      </c>
      <c r="O6" s="8">
        <f t="shared" si="5"/>
        <v>37.949999999999996</v>
      </c>
      <c r="P6" s="25">
        <f>D6*(1+'1'!$Z$4)</f>
        <v>621000</v>
      </c>
      <c r="Q6" s="25">
        <f>P6*(1+'1'!$AA$4)</f>
        <v>641493</v>
      </c>
      <c r="R6" s="25">
        <f>Q6*(1+'1'!$AB$4)</f>
        <v>660737.79</v>
      </c>
      <c r="S6" s="25">
        <f>R6*(1+'1'!$AC$4)</f>
        <v>683202.8748600001</v>
      </c>
      <c r="T6" s="26">
        <f t="shared" si="6"/>
        <v>13662000</v>
      </c>
      <c r="U6" s="26">
        <f t="shared" si="7"/>
        <v>16229772.899999999</v>
      </c>
      <c r="V6" s="26">
        <f t="shared" si="8"/>
        <v>20059999.304399997</v>
      </c>
      <c r="W6" s="26">
        <f t="shared" si="9"/>
        <v>25927549.100937001</v>
      </c>
      <c r="X6" s="26"/>
    </row>
    <row r="7" spans="1:29" ht="19" customHeight="1" thickBot="1">
      <c r="A7" s="21">
        <f t="shared" si="10"/>
        <v>5</v>
      </c>
      <c r="B7" s="13" t="s">
        <v>161</v>
      </c>
      <c r="C7" s="53">
        <v>50</v>
      </c>
      <c r="D7" s="14">
        <v>2000000</v>
      </c>
      <c r="E7" s="22">
        <f t="shared" si="1"/>
        <v>100000000</v>
      </c>
      <c r="F7" s="23">
        <f t="shared" si="2"/>
        <v>0.24600246002460024</v>
      </c>
      <c r="G7" s="117">
        <v>0.1</v>
      </c>
      <c r="H7" s="117">
        <v>0.15</v>
      </c>
      <c r="I7" s="117">
        <v>0.2</v>
      </c>
      <c r="J7" s="117">
        <v>0.25</v>
      </c>
      <c r="K7" s="24"/>
      <c r="L7" s="8">
        <f t="shared" si="0"/>
        <v>55.000000000000007</v>
      </c>
      <c r="M7" s="8">
        <f t="shared" si="3"/>
        <v>63.25</v>
      </c>
      <c r="N7" s="8">
        <f t="shared" si="4"/>
        <v>75.899999999999991</v>
      </c>
      <c r="O7" s="8">
        <f t="shared" si="5"/>
        <v>94.874999999999986</v>
      </c>
      <c r="P7" s="25">
        <f>D7*(1+'1'!$Z$4)</f>
        <v>2069999.9999999998</v>
      </c>
      <c r="Q7" s="25">
        <f>P7*(1+'1'!$AA$4)</f>
        <v>2138309.9999999995</v>
      </c>
      <c r="R7" s="25">
        <f>Q7*(1+'1'!$AB$4)</f>
        <v>2202459.2999999993</v>
      </c>
      <c r="S7" s="25">
        <f>R7*(1+'1'!$AC$4)</f>
        <v>2277342.9161999994</v>
      </c>
      <c r="T7" s="26">
        <f t="shared" si="6"/>
        <v>113850000</v>
      </c>
      <c r="U7" s="26">
        <f t="shared" si="7"/>
        <v>135248107.49999997</v>
      </c>
      <c r="V7" s="26">
        <f t="shared" si="8"/>
        <v>167166660.86999995</v>
      </c>
      <c r="W7" s="26">
        <f t="shared" si="9"/>
        <v>216062909.17447492</v>
      </c>
      <c r="X7" s="26"/>
      <c r="Y7" s="30" t="s">
        <v>91</v>
      </c>
      <c r="Z7" s="31"/>
      <c r="AA7" s="31"/>
      <c r="AB7" s="52">
        <v>0.35</v>
      </c>
      <c r="AC7" s="32"/>
    </row>
    <row r="8" spans="1:29">
      <c r="A8" s="21">
        <f t="shared" si="10"/>
        <v>6</v>
      </c>
      <c r="B8" s="13" t="s">
        <v>162</v>
      </c>
      <c r="C8" s="53">
        <v>50</v>
      </c>
      <c r="D8" s="14">
        <v>2000000</v>
      </c>
      <c r="E8" s="22">
        <f t="shared" si="1"/>
        <v>100000000</v>
      </c>
      <c r="F8" s="23">
        <f t="shared" si="2"/>
        <v>0.24600246002460024</v>
      </c>
      <c r="G8" s="117">
        <v>0.1</v>
      </c>
      <c r="H8" s="117">
        <v>0.15</v>
      </c>
      <c r="I8" s="117">
        <v>0.2</v>
      </c>
      <c r="J8" s="117">
        <v>0.25</v>
      </c>
      <c r="K8" s="24"/>
      <c r="L8" s="8">
        <f t="shared" si="0"/>
        <v>55.000000000000007</v>
      </c>
      <c r="M8" s="8">
        <f t="shared" si="3"/>
        <v>63.25</v>
      </c>
      <c r="N8" s="8">
        <f t="shared" si="4"/>
        <v>75.899999999999991</v>
      </c>
      <c r="O8" s="8">
        <f t="shared" si="5"/>
        <v>94.874999999999986</v>
      </c>
      <c r="P8" s="25">
        <f>D8*(1+'1'!$Z$4)</f>
        <v>2069999.9999999998</v>
      </c>
      <c r="Q8" s="25">
        <f>P8*(1+'1'!$AA$4)</f>
        <v>2138309.9999999995</v>
      </c>
      <c r="R8" s="25">
        <f>Q8*(1+'1'!$AB$4)</f>
        <v>2202459.2999999993</v>
      </c>
      <c r="S8" s="25">
        <f>R8*(1+'1'!$AC$4)</f>
        <v>2277342.9161999994</v>
      </c>
      <c r="T8" s="26">
        <f t="shared" si="6"/>
        <v>113850000</v>
      </c>
      <c r="U8" s="26">
        <f t="shared" si="7"/>
        <v>135248107.49999997</v>
      </c>
      <c r="V8" s="26">
        <f t="shared" si="8"/>
        <v>167166660.86999995</v>
      </c>
      <c r="W8" s="26">
        <f t="shared" si="9"/>
        <v>216062909.17447492</v>
      </c>
      <c r="X8" s="26"/>
    </row>
    <row r="9" spans="1:29">
      <c r="A9" s="21">
        <f t="shared" si="10"/>
        <v>7</v>
      </c>
      <c r="B9" s="13" t="s">
        <v>164</v>
      </c>
      <c r="C9" s="53">
        <v>50</v>
      </c>
      <c r="D9" s="14">
        <v>1000000</v>
      </c>
      <c r="E9" s="22">
        <f t="shared" si="1"/>
        <v>50000000</v>
      </c>
      <c r="F9" s="23">
        <f t="shared" si="2"/>
        <v>0.12300123001230012</v>
      </c>
      <c r="G9" s="117">
        <v>0.1</v>
      </c>
      <c r="H9" s="117">
        <v>0.15</v>
      </c>
      <c r="I9" s="117">
        <v>0.2</v>
      </c>
      <c r="J9" s="117">
        <v>0.25</v>
      </c>
      <c r="K9" s="24"/>
      <c r="L9" s="8">
        <f t="shared" si="0"/>
        <v>55.000000000000007</v>
      </c>
      <c r="M9" s="8">
        <f t="shared" si="3"/>
        <v>63.25</v>
      </c>
      <c r="N9" s="8">
        <f t="shared" si="4"/>
        <v>75.899999999999991</v>
      </c>
      <c r="O9" s="8">
        <f t="shared" si="5"/>
        <v>94.874999999999986</v>
      </c>
      <c r="P9" s="25">
        <f>D9*(1+'1'!$Z$4)</f>
        <v>1034999.9999999999</v>
      </c>
      <c r="Q9" s="25">
        <f>P9*(1+'1'!$AA$4)</f>
        <v>1069154.9999999998</v>
      </c>
      <c r="R9" s="25">
        <f>Q9*(1+'1'!$AB$4)</f>
        <v>1101229.6499999997</v>
      </c>
      <c r="S9" s="25">
        <f>R9*(1+'1'!$AC$4)</f>
        <v>1138671.4580999997</v>
      </c>
      <c r="T9" s="26">
        <f t="shared" si="6"/>
        <v>56925000</v>
      </c>
      <c r="U9" s="26">
        <f t="shared" si="7"/>
        <v>67624053.749999985</v>
      </c>
      <c r="V9" s="26">
        <f t="shared" si="8"/>
        <v>83583330.434999973</v>
      </c>
      <c r="W9" s="26">
        <f t="shared" si="9"/>
        <v>108031454.58723746</v>
      </c>
      <c r="X9" s="26"/>
    </row>
    <row r="10" spans="1:29">
      <c r="A10" s="21">
        <f t="shared" si="10"/>
        <v>8</v>
      </c>
      <c r="B10" s="13" t="s">
        <v>165</v>
      </c>
      <c r="C10" s="53">
        <v>15</v>
      </c>
      <c r="D10" s="14">
        <v>3000000</v>
      </c>
      <c r="E10" s="22">
        <f t="shared" si="1"/>
        <v>45000000</v>
      </c>
      <c r="F10" s="23">
        <f t="shared" si="2"/>
        <v>0.11070110701107011</v>
      </c>
      <c r="G10" s="117">
        <v>0.1</v>
      </c>
      <c r="H10" s="117">
        <v>0.15</v>
      </c>
      <c r="I10" s="117">
        <v>0.2</v>
      </c>
      <c r="J10" s="117">
        <v>0.25</v>
      </c>
      <c r="K10" s="24"/>
      <c r="L10" s="8">
        <f t="shared" si="0"/>
        <v>16.5</v>
      </c>
      <c r="M10" s="8">
        <f t="shared" si="3"/>
        <v>18.974999999999998</v>
      </c>
      <c r="N10" s="8">
        <f t="shared" si="4"/>
        <v>22.769999999999996</v>
      </c>
      <c r="O10" s="8">
        <f t="shared" si="5"/>
        <v>28.462499999999995</v>
      </c>
      <c r="P10" s="25">
        <f>D10*(1+'1'!$Z$4)</f>
        <v>3104999.9999999995</v>
      </c>
      <c r="Q10" s="25">
        <f>P10*(1+'1'!$AA$4)</f>
        <v>3207464.9999999991</v>
      </c>
      <c r="R10" s="25">
        <f>Q10*(1+'1'!$AB$4)</f>
        <v>3303688.9499999993</v>
      </c>
      <c r="S10" s="25">
        <f>R10*(1+'1'!$AC$4)</f>
        <v>3416014.3742999993</v>
      </c>
      <c r="T10" s="26">
        <f t="shared" si="6"/>
        <v>51232499.999999993</v>
      </c>
      <c r="U10" s="26">
        <f t="shared" si="7"/>
        <v>60861648.374999978</v>
      </c>
      <c r="V10" s="26">
        <f t="shared" si="8"/>
        <v>75224997.391499966</v>
      </c>
      <c r="W10" s="26">
        <f t="shared" si="9"/>
        <v>97228309.128513709</v>
      </c>
      <c r="X10" s="26"/>
    </row>
    <row r="11" spans="1:29">
      <c r="A11" s="21">
        <f t="shared" si="10"/>
        <v>9</v>
      </c>
      <c r="B11" s="13"/>
      <c r="C11" s="53">
        <v>0</v>
      </c>
      <c r="D11" s="14">
        <v>0</v>
      </c>
      <c r="E11" s="22">
        <f t="shared" si="1"/>
        <v>0</v>
      </c>
      <c r="F11" s="23">
        <f t="shared" si="2"/>
        <v>0</v>
      </c>
      <c r="G11" s="46">
        <v>0</v>
      </c>
      <c r="H11" s="46">
        <v>0</v>
      </c>
      <c r="I11" s="46">
        <v>0</v>
      </c>
      <c r="J11" s="46">
        <v>0</v>
      </c>
      <c r="K11" s="24"/>
      <c r="L11" s="8">
        <f t="shared" si="0"/>
        <v>0</v>
      </c>
      <c r="M11" s="8">
        <f t="shared" si="3"/>
        <v>0</v>
      </c>
      <c r="N11" s="8">
        <f t="shared" si="4"/>
        <v>0</v>
      </c>
      <c r="O11" s="8">
        <f t="shared" si="5"/>
        <v>0</v>
      </c>
      <c r="P11" s="25">
        <f>D11*(1+'1'!$Z$4)</f>
        <v>0</v>
      </c>
      <c r="Q11" s="25">
        <f>P11*(1+'1'!$AA$4)</f>
        <v>0</v>
      </c>
      <c r="R11" s="25">
        <f>Q11*(1+'1'!$AB$4)</f>
        <v>0</v>
      </c>
      <c r="S11" s="25">
        <f>R11*(1+'1'!$AC$4)</f>
        <v>0</v>
      </c>
      <c r="T11" s="26">
        <f t="shared" si="6"/>
        <v>0</v>
      </c>
      <c r="U11" s="26">
        <f t="shared" si="7"/>
        <v>0</v>
      </c>
      <c r="V11" s="26">
        <f t="shared" si="8"/>
        <v>0</v>
      </c>
      <c r="W11" s="26">
        <f t="shared" si="9"/>
        <v>0</v>
      </c>
      <c r="X11" s="26"/>
    </row>
    <row r="12" spans="1:29">
      <c r="A12" s="21">
        <f t="shared" si="10"/>
        <v>10</v>
      </c>
      <c r="B12" s="13"/>
      <c r="C12" s="53">
        <v>0</v>
      </c>
      <c r="D12" s="14">
        <v>0</v>
      </c>
      <c r="E12" s="22">
        <f t="shared" si="1"/>
        <v>0</v>
      </c>
      <c r="F12" s="23">
        <f t="shared" si="2"/>
        <v>0</v>
      </c>
      <c r="G12" s="46">
        <v>0</v>
      </c>
      <c r="H12" s="46">
        <v>0</v>
      </c>
      <c r="I12" s="46">
        <v>0</v>
      </c>
      <c r="J12" s="46">
        <v>0</v>
      </c>
      <c r="K12" s="24"/>
      <c r="L12" s="8">
        <f t="shared" si="0"/>
        <v>0</v>
      </c>
      <c r="M12" s="8">
        <f t="shared" si="3"/>
        <v>0</v>
      </c>
      <c r="N12" s="8">
        <f t="shared" si="4"/>
        <v>0</v>
      </c>
      <c r="O12" s="8">
        <f t="shared" si="5"/>
        <v>0</v>
      </c>
      <c r="P12" s="25">
        <f>D12*(1+'1'!$Z$4)</f>
        <v>0</v>
      </c>
      <c r="Q12" s="25">
        <f>P12*(1+'1'!$AA$4)</f>
        <v>0</v>
      </c>
      <c r="R12" s="25">
        <f>Q12*(1+'1'!$AB$4)</f>
        <v>0</v>
      </c>
      <c r="S12" s="25">
        <f>R12*(1+'1'!$AC$4)</f>
        <v>0</v>
      </c>
      <c r="T12" s="26">
        <f t="shared" si="6"/>
        <v>0</v>
      </c>
      <c r="U12" s="26">
        <f t="shared" si="7"/>
        <v>0</v>
      </c>
      <c r="V12" s="26">
        <f t="shared" si="8"/>
        <v>0</v>
      </c>
      <c r="W12" s="26">
        <f t="shared" si="9"/>
        <v>0</v>
      </c>
      <c r="X12" s="26"/>
    </row>
    <row r="13" spans="1:29">
      <c r="D13" s="8" t="s">
        <v>8</v>
      </c>
      <c r="E13" s="33">
        <f>SUM(E3:E12)</f>
        <v>406500000</v>
      </c>
      <c r="F13" s="34">
        <f>SUM(F3:F12)</f>
        <v>1</v>
      </c>
      <c r="T13" s="35">
        <f>SUM(T3:T12)</f>
        <v>462800250</v>
      </c>
      <c r="U13" s="35">
        <f>SUM(U3:U12)</f>
        <v>549783556.98749995</v>
      </c>
      <c r="V13" s="35">
        <f>SUM(V3:V12)</f>
        <v>679532476.43654978</v>
      </c>
      <c r="W13" s="35">
        <f>SUM(W3:W12)</f>
        <v>878295725.79424059</v>
      </c>
      <c r="X13" s="26"/>
    </row>
    <row r="15" spans="1:29" ht="23.25" customHeight="1">
      <c r="A15" s="148" t="s">
        <v>6</v>
      </c>
      <c r="B15" s="148"/>
      <c r="C15" s="148"/>
      <c r="D15" s="148"/>
      <c r="E15" s="148"/>
      <c r="G15" s="36"/>
    </row>
    <row r="16" spans="1:29" ht="25.5" customHeight="1">
      <c r="B16" s="17" t="s">
        <v>3</v>
      </c>
      <c r="C16" s="37" t="s">
        <v>0</v>
      </c>
      <c r="D16" s="112" t="s">
        <v>137</v>
      </c>
      <c r="E16" s="18" t="s">
        <v>2</v>
      </c>
      <c r="L16" s="8">
        <f>L2</f>
        <v>2027</v>
      </c>
      <c r="M16" s="8">
        <f t="shared" ref="M16:W16" si="11">M2</f>
        <v>2028</v>
      </c>
      <c r="N16" s="8">
        <f t="shared" si="11"/>
        <v>2029</v>
      </c>
      <c r="O16" s="8">
        <f t="shared" si="11"/>
        <v>2030</v>
      </c>
      <c r="P16" s="8" t="str">
        <f t="shared" si="11"/>
        <v>AÑO 2</v>
      </c>
      <c r="Q16" s="8" t="str">
        <f t="shared" si="11"/>
        <v>AÑO 3</v>
      </c>
      <c r="R16" s="8" t="str">
        <f t="shared" si="11"/>
        <v>AÑO 4</v>
      </c>
      <c r="S16" s="8" t="str">
        <f t="shared" si="11"/>
        <v>AÑO 5</v>
      </c>
      <c r="T16" s="8" t="str">
        <f t="shared" si="11"/>
        <v>año 2</v>
      </c>
      <c r="U16" s="8" t="str">
        <f t="shared" si="11"/>
        <v>año 3</v>
      </c>
      <c r="V16" s="8" t="str">
        <f t="shared" si="11"/>
        <v>año 4</v>
      </c>
      <c r="W16" s="8" t="str">
        <f t="shared" si="11"/>
        <v>año 5</v>
      </c>
    </row>
    <row r="17" spans="1:24">
      <c r="A17" s="21">
        <f>A3</f>
        <v>1</v>
      </c>
      <c r="B17" s="92" t="str">
        <f>B3</f>
        <v>Emprendedor</v>
      </c>
      <c r="C17" s="39">
        <f>C3</f>
        <v>20</v>
      </c>
      <c r="D17" s="14">
        <v>200000</v>
      </c>
      <c r="E17" s="22">
        <f>C17*D17</f>
        <v>4000000</v>
      </c>
      <c r="F17" s="23">
        <f>IF($E$27=0,0,E17/$E$27)</f>
        <v>3.7079953650057937E-2</v>
      </c>
      <c r="L17" s="8">
        <f t="shared" ref="L17:L26" si="12">C17*(1+G3)</f>
        <v>22</v>
      </c>
      <c r="M17" s="8">
        <f>L17*(1+H3)</f>
        <v>25.299999999999997</v>
      </c>
      <c r="N17" s="8">
        <f>M17*(1+I3)</f>
        <v>30.359999999999996</v>
      </c>
      <c r="O17" s="8">
        <f>N17*(1+J3)</f>
        <v>37.949999999999996</v>
      </c>
      <c r="P17" s="40">
        <f>D17*(1+'1'!$Z$5)</f>
        <v>206000</v>
      </c>
      <c r="Q17" s="25">
        <f>P17*(1+'1'!$AA$5)</f>
        <v>212180</v>
      </c>
      <c r="R17" s="25">
        <f>Q17*(1+'1'!$AB$5)</f>
        <v>218545.4</v>
      </c>
      <c r="S17" s="25">
        <f>R17*(1+'1'!$AC$5)</f>
        <v>225101.76199999999</v>
      </c>
      <c r="T17" s="40">
        <f t="shared" ref="T17:U19" si="13">L17*P17</f>
        <v>4532000</v>
      </c>
      <c r="U17" s="26">
        <f t="shared" si="13"/>
        <v>5368153.9999999991</v>
      </c>
      <c r="V17" s="26">
        <f>N17*R17</f>
        <v>6635038.3439999986</v>
      </c>
      <c r="W17" s="26">
        <f>O17*S17</f>
        <v>8542611.867899999</v>
      </c>
      <c r="X17" s="26"/>
    </row>
    <row r="18" spans="1:24">
      <c r="A18" s="21">
        <f t="shared" ref="A18:B25" si="14">A4</f>
        <v>2</v>
      </c>
      <c r="B18" s="41" t="str">
        <f t="shared" si="14"/>
        <v>Empresarial 1</v>
      </c>
      <c r="C18" s="39">
        <f t="shared" ref="C18:C26" si="15">C4</f>
        <v>25</v>
      </c>
      <c r="D18" s="14">
        <v>500000</v>
      </c>
      <c r="E18" s="22">
        <f t="shared" ref="E18:E26" si="16">C18*D18</f>
        <v>12500000</v>
      </c>
      <c r="F18" s="23">
        <f t="shared" ref="F18:F26" si="17">IF($E$27=0,0,E18/$E$27)</f>
        <v>0.11587485515643106</v>
      </c>
      <c r="L18" s="8">
        <f t="shared" si="12"/>
        <v>27.500000000000004</v>
      </c>
      <c r="M18" s="8">
        <f t="shared" ref="M18:M26" si="18">L18*(1+H4)</f>
        <v>31.625</v>
      </c>
      <c r="N18" s="8">
        <f t="shared" ref="N18:N26" si="19">M18*(1+I4)</f>
        <v>37.949999999999996</v>
      </c>
      <c r="O18" s="8">
        <f t="shared" ref="O18:O26" si="20">N18*(1+J4)</f>
        <v>47.437499999999993</v>
      </c>
      <c r="P18" s="40">
        <f>D18*(1+'1'!$Z$5)</f>
        <v>515000</v>
      </c>
      <c r="Q18" s="25">
        <f>P18*(1+'1'!$AA$5)</f>
        <v>530450</v>
      </c>
      <c r="R18" s="25">
        <f>Q18*(1+'1'!$AB$5)</f>
        <v>546363.5</v>
      </c>
      <c r="S18" s="25">
        <f>R18*(1+'1'!$AC$5)</f>
        <v>562754.40500000003</v>
      </c>
      <c r="T18" s="40">
        <f t="shared" si="13"/>
        <v>14162500.000000002</v>
      </c>
      <c r="U18" s="26">
        <f t="shared" si="13"/>
        <v>16775481.25</v>
      </c>
      <c r="V18" s="26">
        <f t="shared" ref="V18:V26" si="21">N18*R18</f>
        <v>20734494.824999999</v>
      </c>
      <c r="W18" s="26">
        <f t="shared" ref="W18:W26" si="22">O18*S18</f>
        <v>26695662.087187499</v>
      </c>
      <c r="X18" s="26"/>
    </row>
    <row r="19" spans="1:24">
      <c r="A19" s="21">
        <f t="shared" si="14"/>
        <v>3</v>
      </c>
      <c r="B19" s="41" t="str">
        <f t="shared" si="14"/>
        <v>Empresarial 2</v>
      </c>
      <c r="C19" s="39">
        <f t="shared" si="15"/>
        <v>25</v>
      </c>
      <c r="D19" s="14">
        <v>500000</v>
      </c>
      <c r="E19" s="22">
        <f t="shared" si="16"/>
        <v>12500000</v>
      </c>
      <c r="F19" s="23">
        <f t="shared" si="17"/>
        <v>0.11587485515643106</v>
      </c>
      <c r="L19" s="8">
        <f t="shared" si="12"/>
        <v>27.500000000000004</v>
      </c>
      <c r="M19" s="8">
        <f t="shared" si="18"/>
        <v>31.625</v>
      </c>
      <c r="N19" s="8">
        <f t="shared" si="19"/>
        <v>37.949999999999996</v>
      </c>
      <c r="O19" s="8">
        <f t="shared" si="20"/>
        <v>47.437499999999993</v>
      </c>
      <c r="P19" s="40">
        <f>D19*(1+'1'!$Z$5)</f>
        <v>515000</v>
      </c>
      <c r="Q19" s="25">
        <f>P19*(1+'1'!$AA$5)</f>
        <v>530450</v>
      </c>
      <c r="R19" s="25">
        <f>Q19*(1+'1'!$AB$5)</f>
        <v>546363.5</v>
      </c>
      <c r="S19" s="25">
        <f>R19*(1+'1'!$AC$5)</f>
        <v>562754.40500000003</v>
      </c>
      <c r="T19" s="40">
        <f t="shared" si="13"/>
        <v>14162500.000000002</v>
      </c>
      <c r="U19" s="26">
        <f t="shared" si="13"/>
        <v>16775481.25</v>
      </c>
      <c r="V19" s="26">
        <f t="shared" si="21"/>
        <v>20734494.824999999</v>
      </c>
      <c r="W19" s="26">
        <f t="shared" si="22"/>
        <v>26695662.087187499</v>
      </c>
      <c r="X19" s="26"/>
    </row>
    <row r="20" spans="1:24">
      <c r="A20" s="21">
        <f t="shared" si="14"/>
        <v>4</v>
      </c>
      <c r="B20" s="41" t="str">
        <f t="shared" si="14"/>
        <v>Renta Persona Natural (PN)</v>
      </c>
      <c r="C20" s="39">
        <f t="shared" si="15"/>
        <v>20</v>
      </c>
      <c r="D20" s="14">
        <v>100000</v>
      </c>
      <c r="E20" s="22">
        <f t="shared" si="16"/>
        <v>2000000</v>
      </c>
      <c r="F20" s="23">
        <f t="shared" si="17"/>
        <v>1.8539976825028968E-2</v>
      </c>
      <c r="L20" s="8">
        <f t="shared" si="12"/>
        <v>22</v>
      </c>
      <c r="M20" s="8">
        <f t="shared" si="18"/>
        <v>25.299999999999997</v>
      </c>
      <c r="N20" s="8">
        <f t="shared" si="19"/>
        <v>30.359999999999996</v>
      </c>
      <c r="O20" s="8">
        <f t="shared" si="20"/>
        <v>37.949999999999996</v>
      </c>
      <c r="P20" s="40">
        <f>D20*(1+'1'!$Z$5)</f>
        <v>103000</v>
      </c>
      <c r="Q20" s="25">
        <f>P20*(1+'1'!$AA$5)</f>
        <v>106090</v>
      </c>
      <c r="R20" s="25">
        <f>Q20*(1+'1'!$AB$5)</f>
        <v>109272.7</v>
      </c>
      <c r="S20" s="25">
        <f>R20*(1+'1'!$AC$5)</f>
        <v>112550.88099999999</v>
      </c>
      <c r="T20" s="40">
        <f t="shared" ref="T20:T26" si="23">L20*P20</f>
        <v>2266000</v>
      </c>
      <c r="U20" s="26">
        <f t="shared" ref="U20:U26" si="24">M20*Q20</f>
        <v>2684076.9999999995</v>
      </c>
      <c r="V20" s="26">
        <f t="shared" si="21"/>
        <v>3317519.1719999993</v>
      </c>
      <c r="W20" s="26">
        <f t="shared" si="22"/>
        <v>4271305.9339499995</v>
      </c>
      <c r="X20" s="26"/>
    </row>
    <row r="21" spans="1:24">
      <c r="A21" s="21">
        <f t="shared" si="14"/>
        <v>5</v>
      </c>
      <c r="B21" s="41" t="str">
        <f t="shared" si="14"/>
        <v>Renta Persona Jurídica (PJ)</v>
      </c>
      <c r="C21" s="39">
        <f t="shared" si="15"/>
        <v>50</v>
      </c>
      <c r="D21" s="14">
        <f>5000000/2/8</f>
        <v>312500</v>
      </c>
      <c r="E21" s="22">
        <f t="shared" si="16"/>
        <v>15625000</v>
      </c>
      <c r="F21" s="23">
        <f t="shared" si="17"/>
        <v>0.14484356894553882</v>
      </c>
      <c r="L21" s="8">
        <f t="shared" si="12"/>
        <v>55.000000000000007</v>
      </c>
      <c r="M21" s="8">
        <f t="shared" si="18"/>
        <v>63.25</v>
      </c>
      <c r="N21" s="8">
        <f t="shared" si="19"/>
        <v>75.899999999999991</v>
      </c>
      <c r="O21" s="8">
        <f t="shared" si="20"/>
        <v>94.874999999999986</v>
      </c>
      <c r="P21" s="40">
        <f>D21*(1+'1'!$Z$5)</f>
        <v>321875</v>
      </c>
      <c r="Q21" s="25">
        <f>P21*(1+'1'!$AA$5)</f>
        <v>331531.25</v>
      </c>
      <c r="R21" s="25">
        <f>Q21*(1+'1'!$AB$5)</f>
        <v>341477.1875</v>
      </c>
      <c r="S21" s="25">
        <f>R21*(1+'1'!$AC$5)</f>
        <v>351721.50312499999</v>
      </c>
      <c r="T21" s="40">
        <f t="shared" si="23"/>
        <v>17703125.000000004</v>
      </c>
      <c r="U21" s="26">
        <f t="shared" si="24"/>
        <v>20969351.5625</v>
      </c>
      <c r="V21" s="26">
        <f t="shared" si="21"/>
        <v>25918118.531249996</v>
      </c>
      <c r="W21" s="26">
        <f t="shared" si="22"/>
        <v>33369577.60898437</v>
      </c>
      <c r="X21" s="26"/>
    </row>
    <row r="22" spans="1:24">
      <c r="A22" s="21">
        <f t="shared" si="14"/>
        <v>6</v>
      </c>
      <c r="B22" s="41" t="str">
        <f t="shared" si="14"/>
        <v>Exógena Nacional (PJ)</v>
      </c>
      <c r="C22" s="39">
        <f t="shared" si="15"/>
        <v>50</v>
      </c>
      <c r="D22" s="14">
        <f>5000000/2/8</f>
        <v>312500</v>
      </c>
      <c r="E22" s="22">
        <f t="shared" si="16"/>
        <v>15625000</v>
      </c>
      <c r="F22" s="23">
        <f t="shared" si="17"/>
        <v>0.14484356894553882</v>
      </c>
      <c r="L22" s="8">
        <f t="shared" si="12"/>
        <v>55.000000000000007</v>
      </c>
      <c r="M22" s="8">
        <f t="shared" si="18"/>
        <v>63.25</v>
      </c>
      <c r="N22" s="8">
        <f t="shared" si="19"/>
        <v>75.899999999999991</v>
      </c>
      <c r="O22" s="8">
        <f t="shared" si="20"/>
        <v>94.874999999999986</v>
      </c>
      <c r="P22" s="40">
        <f>D22*(1+'1'!$Z$5)</f>
        <v>321875</v>
      </c>
      <c r="Q22" s="25">
        <f>P22*(1+'1'!$AA$5)</f>
        <v>331531.25</v>
      </c>
      <c r="R22" s="25">
        <f>Q22*(1+'1'!$AB$5)</f>
        <v>341477.1875</v>
      </c>
      <c r="S22" s="25">
        <f>R22*(1+'1'!$AC$5)</f>
        <v>351721.50312499999</v>
      </c>
      <c r="T22" s="40">
        <f t="shared" si="23"/>
        <v>17703125.000000004</v>
      </c>
      <c r="U22" s="26">
        <f t="shared" si="24"/>
        <v>20969351.5625</v>
      </c>
      <c r="V22" s="26">
        <f t="shared" si="21"/>
        <v>25918118.531249996</v>
      </c>
      <c r="W22" s="26">
        <f t="shared" si="22"/>
        <v>33369577.60898437</v>
      </c>
      <c r="X22" s="26"/>
    </row>
    <row r="23" spans="1:24">
      <c r="A23" s="21">
        <f t="shared" si="14"/>
        <v>7</v>
      </c>
      <c r="B23" s="41" t="str">
        <f t="shared" si="14"/>
        <v>Exógena Distrital (PJ)</v>
      </c>
      <c r="C23" s="39">
        <f t="shared" si="15"/>
        <v>50</v>
      </c>
      <c r="D23" s="14">
        <f>5000000/2/8</f>
        <v>312500</v>
      </c>
      <c r="E23" s="22">
        <f t="shared" si="16"/>
        <v>15625000</v>
      </c>
      <c r="F23" s="23">
        <f t="shared" si="17"/>
        <v>0.14484356894553882</v>
      </c>
      <c r="L23" s="8">
        <f t="shared" si="12"/>
        <v>55.000000000000007</v>
      </c>
      <c r="M23" s="8">
        <f t="shared" si="18"/>
        <v>63.25</v>
      </c>
      <c r="N23" s="8">
        <f t="shared" si="19"/>
        <v>75.899999999999991</v>
      </c>
      <c r="O23" s="8">
        <f t="shared" si="20"/>
        <v>94.874999999999986</v>
      </c>
      <c r="P23" s="40">
        <f>D23*(1+'1'!$Z$5)</f>
        <v>321875</v>
      </c>
      <c r="Q23" s="25">
        <f>P23*(1+'1'!$AA$5)</f>
        <v>331531.25</v>
      </c>
      <c r="R23" s="25">
        <f>Q23*(1+'1'!$AB$5)</f>
        <v>341477.1875</v>
      </c>
      <c r="S23" s="25">
        <f>R23*(1+'1'!$AC$5)</f>
        <v>351721.50312499999</v>
      </c>
      <c r="T23" s="40">
        <f t="shared" si="23"/>
        <v>17703125.000000004</v>
      </c>
      <c r="U23" s="26">
        <f t="shared" si="24"/>
        <v>20969351.5625</v>
      </c>
      <c r="V23" s="26">
        <f t="shared" si="21"/>
        <v>25918118.531249996</v>
      </c>
      <c r="W23" s="26">
        <f t="shared" si="22"/>
        <v>33369577.60898437</v>
      </c>
      <c r="X23" s="26"/>
    </row>
    <row r="24" spans="1:24">
      <c r="A24" s="21">
        <f t="shared" si="14"/>
        <v>8</v>
      </c>
      <c r="B24" s="41" t="str">
        <f t="shared" si="14"/>
        <v>Apoyo Implementación ERP Odoo</v>
      </c>
      <c r="C24" s="39">
        <f t="shared" si="15"/>
        <v>15</v>
      </c>
      <c r="D24" s="14">
        <v>2000000</v>
      </c>
      <c r="E24" s="22">
        <f t="shared" si="16"/>
        <v>30000000</v>
      </c>
      <c r="F24" s="23">
        <f t="shared" si="17"/>
        <v>0.27809965237543455</v>
      </c>
      <c r="L24" s="8">
        <f t="shared" si="12"/>
        <v>16.5</v>
      </c>
      <c r="M24" s="8">
        <f t="shared" si="18"/>
        <v>18.974999999999998</v>
      </c>
      <c r="N24" s="8">
        <f t="shared" si="19"/>
        <v>22.769999999999996</v>
      </c>
      <c r="O24" s="8">
        <f t="shared" si="20"/>
        <v>28.462499999999995</v>
      </c>
      <c r="P24" s="40">
        <f>D24*(1+'1'!$Z$5)</f>
        <v>2060000</v>
      </c>
      <c r="Q24" s="25">
        <f>P24*(1+'1'!$AA$5)</f>
        <v>2121800</v>
      </c>
      <c r="R24" s="25">
        <f>Q24*(1+'1'!$AB$5)</f>
        <v>2185454</v>
      </c>
      <c r="S24" s="25">
        <f>R24*(1+'1'!$AC$5)</f>
        <v>2251017.62</v>
      </c>
      <c r="T24" s="40">
        <f t="shared" si="23"/>
        <v>33990000</v>
      </c>
      <c r="U24" s="26">
        <f t="shared" si="24"/>
        <v>40261154.999999993</v>
      </c>
      <c r="V24" s="26">
        <f t="shared" si="21"/>
        <v>49762787.579999991</v>
      </c>
      <c r="W24" s="26">
        <f t="shared" si="22"/>
        <v>64069589.009249993</v>
      </c>
      <c r="X24" s="26"/>
    </row>
    <row r="25" spans="1:24">
      <c r="A25" s="21">
        <f t="shared" si="14"/>
        <v>9</v>
      </c>
      <c r="B25" s="41">
        <f t="shared" si="14"/>
        <v>0</v>
      </c>
      <c r="C25" s="39">
        <f t="shared" si="15"/>
        <v>0</v>
      </c>
      <c r="D25" s="14">
        <v>0</v>
      </c>
      <c r="E25" s="22">
        <f t="shared" si="16"/>
        <v>0</v>
      </c>
      <c r="F25" s="23">
        <f t="shared" si="17"/>
        <v>0</v>
      </c>
      <c r="L25" s="8">
        <f t="shared" si="12"/>
        <v>0</v>
      </c>
      <c r="M25" s="8">
        <f t="shared" si="18"/>
        <v>0</v>
      </c>
      <c r="N25" s="8">
        <f t="shared" si="19"/>
        <v>0</v>
      </c>
      <c r="O25" s="8">
        <f t="shared" si="20"/>
        <v>0</v>
      </c>
      <c r="P25" s="40">
        <f>D25*(1+'1'!$Z$5)</f>
        <v>0</v>
      </c>
      <c r="Q25" s="25">
        <f>P25*(1+'1'!$AA$5)</f>
        <v>0</v>
      </c>
      <c r="R25" s="25">
        <f>Q25*(1+'1'!$AB$5)</f>
        <v>0</v>
      </c>
      <c r="S25" s="25">
        <f>R25*(1+'1'!$AC$5)</f>
        <v>0</v>
      </c>
      <c r="T25" s="40">
        <f t="shared" si="23"/>
        <v>0</v>
      </c>
      <c r="U25" s="26">
        <f t="shared" si="24"/>
        <v>0</v>
      </c>
      <c r="V25" s="26">
        <f t="shared" si="21"/>
        <v>0</v>
      </c>
      <c r="W25" s="26">
        <f t="shared" si="22"/>
        <v>0</v>
      </c>
      <c r="X25" s="26"/>
    </row>
    <row r="26" spans="1:24">
      <c r="A26" s="21">
        <f>A12</f>
        <v>10</v>
      </c>
      <c r="B26" s="41">
        <f>B12</f>
        <v>0</v>
      </c>
      <c r="C26" s="39">
        <f t="shared" si="15"/>
        <v>0</v>
      </c>
      <c r="D26" s="14">
        <v>0</v>
      </c>
      <c r="E26" s="22">
        <f t="shared" si="16"/>
        <v>0</v>
      </c>
      <c r="F26" s="23">
        <f t="shared" si="17"/>
        <v>0</v>
      </c>
      <c r="L26" s="8">
        <f t="shared" si="12"/>
        <v>0</v>
      </c>
      <c r="M26" s="8">
        <f t="shared" si="18"/>
        <v>0</v>
      </c>
      <c r="N26" s="8">
        <f t="shared" si="19"/>
        <v>0</v>
      </c>
      <c r="O26" s="8">
        <f t="shared" si="20"/>
        <v>0</v>
      </c>
      <c r="P26" s="40">
        <f>D26*(1+'1'!$Z$5)</f>
        <v>0</v>
      </c>
      <c r="Q26" s="25">
        <f>P26*(1+'1'!$AA$5)</f>
        <v>0</v>
      </c>
      <c r="R26" s="25">
        <f>Q26*(1+'1'!$AB$5)</f>
        <v>0</v>
      </c>
      <c r="S26" s="25">
        <f>R26*(1+'1'!$AC$5)</f>
        <v>0</v>
      </c>
      <c r="T26" s="40">
        <f t="shared" si="23"/>
        <v>0</v>
      </c>
      <c r="U26" s="26">
        <f t="shared" si="24"/>
        <v>0</v>
      </c>
      <c r="V26" s="26">
        <f t="shared" si="21"/>
        <v>0</v>
      </c>
      <c r="W26" s="26">
        <f t="shared" si="22"/>
        <v>0</v>
      </c>
      <c r="X26" s="26"/>
    </row>
    <row r="27" spans="1:24">
      <c r="D27" s="8" t="str">
        <f>D13</f>
        <v>TOTAL</v>
      </c>
      <c r="E27" s="33">
        <f>SUM(E17:E26)</f>
        <v>107875000</v>
      </c>
      <c r="F27" s="34">
        <f>SUM(F17:F26)</f>
        <v>1</v>
      </c>
      <c r="T27" s="35">
        <f>SUM(T17:T26)</f>
        <v>122222375</v>
      </c>
      <c r="U27" s="35">
        <f>SUM(U17:U26)</f>
        <v>144772403.1875</v>
      </c>
      <c r="V27" s="35">
        <f>SUM(V17:V26)</f>
        <v>178938690.33974999</v>
      </c>
      <c r="W27" s="35">
        <f>SUM(W17:W26)</f>
        <v>230383563.81242809</v>
      </c>
      <c r="X27" s="26"/>
    </row>
    <row r="30" spans="1:24">
      <c r="A30" s="147" t="s">
        <v>19</v>
      </c>
      <c r="B30" s="147"/>
      <c r="C30" s="147"/>
      <c r="D30" s="147"/>
      <c r="E30" s="147"/>
      <c r="F30" s="147"/>
    </row>
    <row r="31" spans="1:24" ht="26">
      <c r="A31" s="42" t="s">
        <v>10</v>
      </c>
      <c r="B31" s="43">
        <f>'1'!Z1</f>
        <v>2026</v>
      </c>
      <c r="C31" s="43">
        <f>B31+1</f>
        <v>2027</v>
      </c>
      <c r="D31" s="43">
        <f>C31+1</f>
        <v>2028</v>
      </c>
      <c r="E31" s="43">
        <f>D31+1</f>
        <v>2029</v>
      </c>
      <c r="F31" s="43">
        <f>E31+1</f>
        <v>2030</v>
      </c>
      <c r="H31" s="44"/>
      <c r="I31" s="44"/>
      <c r="J31" s="44"/>
      <c r="K31" s="44"/>
      <c r="L31" s="44"/>
      <c r="M31" s="44"/>
      <c r="N31" s="44"/>
      <c r="O31" s="44"/>
      <c r="P31" s="44"/>
      <c r="Q31" s="44"/>
      <c r="R31" s="44"/>
      <c r="S31" s="44"/>
      <c r="T31" s="44"/>
      <c r="U31" s="44"/>
      <c r="V31" s="44"/>
    </row>
    <row r="32" spans="1:24" ht="16">
      <c r="A32" s="139" t="s">
        <v>20</v>
      </c>
      <c r="B32" s="140">
        <f>'1'!E13</f>
        <v>406500000</v>
      </c>
      <c r="C32" s="141">
        <f>'1'!T13</f>
        <v>462800250</v>
      </c>
      <c r="D32" s="141">
        <f>'1'!U13</f>
        <v>549783556.98749995</v>
      </c>
      <c r="E32" s="141">
        <f>'1'!V13</f>
        <v>679532476.43654978</v>
      </c>
      <c r="F32" s="141">
        <f>'1'!W13</f>
        <v>878295725.79424059</v>
      </c>
    </row>
    <row r="33" spans="1:6" ht="16">
      <c r="A33" s="139" t="s">
        <v>21</v>
      </c>
      <c r="B33" s="140">
        <f>'1'!E27</f>
        <v>107875000</v>
      </c>
      <c r="C33" s="140">
        <f>'1'!T27</f>
        <v>122222375</v>
      </c>
      <c r="D33" s="140">
        <f>'1'!U27</f>
        <v>144772403.1875</v>
      </c>
      <c r="E33" s="140">
        <f>'1'!V27</f>
        <v>178938690.33974999</v>
      </c>
      <c r="F33" s="140">
        <f>'1'!W27</f>
        <v>230383563.81242809</v>
      </c>
    </row>
    <row r="34" spans="1:6" ht="21" thickBot="1">
      <c r="A34" s="45" t="s">
        <v>22</v>
      </c>
      <c r="B34" s="118">
        <f>B32-B33</f>
        <v>298625000</v>
      </c>
      <c r="C34" s="118">
        <f>C32-C33</f>
        <v>340577875</v>
      </c>
      <c r="D34" s="118">
        <f>D32-D33</f>
        <v>405011153.79999995</v>
      </c>
      <c r="E34" s="118">
        <f>E32-E33</f>
        <v>500593786.09679979</v>
      </c>
      <c r="F34" s="118">
        <f>F32-F33</f>
        <v>647912161.98181248</v>
      </c>
    </row>
    <row r="35" spans="1:6" ht="16" thickTop="1"/>
  </sheetData>
  <sheetProtection algorithmName="SHA-512" hashValue="c9OV3Zy24crzkSi7EaI7KP3HjroZ07oEdz8dffC/RK7BynzCOUXBaSy59Y/HmGQp6NyaiIvLZjFOa6GAOkVACQ==" saltValue="NEdFzlz9Mh514qFHjwxnCg==" spinCount="100000" sheet="1" formatCells="0" formatColumns="0" formatRows="0"/>
  <mergeCells count="4">
    <mergeCell ref="A30:F30"/>
    <mergeCell ref="A1:E1"/>
    <mergeCell ref="A15:E15"/>
    <mergeCell ref="G1:J1"/>
  </mergeCells>
  <conditionalFormatting sqref="B34:F34">
    <cfRule type="cellIs" dxfId="10" priority="1" operator="lessThan">
      <formula>0</formula>
    </cfRule>
  </conditionalFormatting>
  <pageMargins left="0.7" right="0.7" top="0.75" bottom="0.75" header="0.3" footer="0.3"/>
  <pageSetup orientation="portrait" r:id="rId1"/>
  <drawing r:id="rId2"/>
  <legacyDrawing r:id="rId3"/>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Hoja2"/>
  <dimension ref="B1:M31"/>
  <sheetViews>
    <sheetView showGridLines="0" workbookViewId="0">
      <pane ySplit="14" topLeftCell="A15" activePane="bottomLeft" state="frozenSplit"/>
      <selection activeCell="B40" sqref="B40"/>
      <selection pane="bottomLeft" activeCell="F31" sqref="F31"/>
    </sheetView>
  </sheetViews>
  <sheetFormatPr baseColWidth="10" defaultColWidth="11.5" defaultRowHeight="15"/>
  <cols>
    <col min="1" max="1" width="5.5" style="8" customWidth="1"/>
    <col min="2" max="2" width="29.5" style="8" bestFit="1" customWidth="1"/>
    <col min="3" max="3" width="20.33203125" style="8" customWidth="1"/>
    <col min="4" max="4" width="11.5" style="8"/>
    <col min="5" max="5" width="23.33203125" style="8" customWidth="1"/>
    <col min="6" max="6" width="17.6640625" style="8" bestFit="1" customWidth="1"/>
    <col min="7" max="7" width="15.5" style="8" bestFit="1" customWidth="1"/>
    <col min="8" max="16384" width="11.5" style="8"/>
  </cols>
  <sheetData>
    <row r="1" spans="2:13">
      <c r="B1" s="150" t="s">
        <v>133</v>
      </c>
      <c r="C1" s="150"/>
      <c r="D1" s="150"/>
      <c r="E1" s="150"/>
      <c r="F1" s="150"/>
      <c r="G1" s="150"/>
      <c r="H1" s="150"/>
    </row>
    <row r="2" spans="2:13" ht="3.75" customHeight="1">
      <c r="B2" s="150"/>
      <c r="C2" s="150"/>
      <c r="D2" s="150"/>
      <c r="E2" s="150"/>
      <c r="F2" s="150"/>
      <c r="G2" s="150"/>
      <c r="H2" s="150"/>
    </row>
    <row r="3" spans="2:13">
      <c r="C3" s="21" t="s">
        <v>51</v>
      </c>
      <c r="F3" s="71" t="s">
        <v>92</v>
      </c>
      <c r="G3" s="133"/>
      <c r="H3" s="133"/>
      <c r="I3" s="133"/>
      <c r="J3" s="133"/>
      <c r="K3" s="133"/>
      <c r="L3" s="133"/>
      <c r="M3" s="133"/>
    </row>
    <row r="4" spans="2:13">
      <c r="B4" s="45" t="s">
        <v>43</v>
      </c>
      <c r="C4" s="14">
        <v>0</v>
      </c>
      <c r="F4" s="71"/>
      <c r="G4" s="71"/>
      <c r="H4" s="71"/>
      <c r="I4" s="133"/>
      <c r="J4" s="133"/>
      <c r="K4" s="133"/>
      <c r="L4" s="133"/>
      <c r="M4" s="133"/>
    </row>
    <row r="5" spans="2:13">
      <c r="B5" s="45" t="s">
        <v>46</v>
      </c>
      <c r="C5" s="14">
        <v>11543000</v>
      </c>
      <c r="F5" s="71">
        <v>10</v>
      </c>
      <c r="G5" s="72">
        <f t="shared" ref="G5:G11" si="0">C5/F5</f>
        <v>1154300</v>
      </c>
      <c r="H5" s="71"/>
      <c r="I5" s="133"/>
      <c r="J5" s="133"/>
      <c r="K5" s="133"/>
      <c r="L5" s="133"/>
      <c r="M5" s="133"/>
    </row>
    <row r="6" spans="2:13">
      <c r="B6" s="45" t="s">
        <v>44</v>
      </c>
      <c r="C6" s="14">
        <v>7840000</v>
      </c>
      <c r="F6" s="71">
        <v>5</v>
      </c>
      <c r="G6" s="72">
        <f t="shared" si="0"/>
        <v>1568000</v>
      </c>
      <c r="H6" s="71"/>
      <c r="I6" s="133"/>
      <c r="J6" s="133"/>
      <c r="K6" s="133"/>
      <c r="L6" s="133"/>
      <c r="M6" s="133"/>
    </row>
    <row r="7" spans="2:13">
      <c r="B7" s="45" t="s">
        <v>45</v>
      </c>
      <c r="C7" s="14">
        <v>1000000</v>
      </c>
      <c r="F7" s="71">
        <v>5</v>
      </c>
      <c r="G7" s="72">
        <f t="shared" si="0"/>
        <v>200000</v>
      </c>
      <c r="H7" s="71"/>
      <c r="I7" s="133"/>
      <c r="J7" s="133"/>
      <c r="K7" s="133"/>
      <c r="L7" s="133"/>
      <c r="M7" s="133"/>
    </row>
    <row r="8" spans="2:13">
      <c r="B8" s="45" t="s">
        <v>47</v>
      </c>
      <c r="C8" s="14">
        <v>0</v>
      </c>
      <c r="F8" s="71">
        <v>5</v>
      </c>
      <c r="G8" s="72">
        <f t="shared" si="0"/>
        <v>0</v>
      </c>
      <c r="H8" s="71"/>
      <c r="I8" s="133"/>
      <c r="J8" s="133"/>
      <c r="K8" s="133"/>
      <c r="L8" s="133"/>
      <c r="M8" s="133"/>
    </row>
    <row r="9" spans="2:13">
      <c r="B9" s="45" t="s">
        <v>48</v>
      </c>
      <c r="C9" s="14">
        <v>0</v>
      </c>
      <c r="F9" s="71">
        <v>5</v>
      </c>
      <c r="G9" s="72">
        <f t="shared" si="0"/>
        <v>0</v>
      </c>
      <c r="H9" s="71"/>
      <c r="I9" s="133"/>
      <c r="J9" s="133"/>
      <c r="K9" s="133"/>
      <c r="L9" s="133"/>
      <c r="M9" s="133"/>
    </row>
    <row r="10" spans="2:13">
      <c r="B10" s="116" t="s">
        <v>140</v>
      </c>
      <c r="C10" s="14">
        <v>0</v>
      </c>
      <c r="F10" s="71">
        <v>5</v>
      </c>
      <c r="G10" s="72">
        <f t="shared" si="0"/>
        <v>0</v>
      </c>
      <c r="H10" s="71"/>
      <c r="I10" s="133"/>
      <c r="J10" s="133"/>
      <c r="K10" s="133"/>
      <c r="L10" s="133"/>
      <c r="M10" s="133"/>
    </row>
    <row r="11" spans="2:13">
      <c r="B11" s="45" t="s">
        <v>49</v>
      </c>
      <c r="C11" s="14">
        <f>1000000+10000000</f>
        <v>11000000</v>
      </c>
      <c r="F11" s="71">
        <v>5</v>
      </c>
      <c r="G11" s="72">
        <f t="shared" si="0"/>
        <v>2200000</v>
      </c>
      <c r="H11" s="71"/>
      <c r="I11" s="133"/>
      <c r="J11" s="133"/>
      <c r="K11" s="133"/>
      <c r="L11" s="133"/>
      <c r="M11" s="133"/>
    </row>
    <row r="12" spans="2:13" ht="17" thickBot="1">
      <c r="B12" s="73" t="s">
        <v>50</v>
      </c>
      <c r="C12" s="74">
        <f>SUM(C4:C11)</f>
        <v>31383000</v>
      </c>
      <c r="F12" s="71"/>
      <c r="G12" s="72">
        <f>SUM(G5:G11)</f>
        <v>5122300</v>
      </c>
      <c r="H12" s="71"/>
      <c r="I12" s="133"/>
      <c r="J12" s="133"/>
      <c r="K12" s="133"/>
      <c r="L12" s="133"/>
      <c r="M12" s="133"/>
    </row>
    <row r="13" spans="2:13">
      <c r="B13" s="151" t="s">
        <v>42</v>
      </c>
      <c r="C13" s="152"/>
      <c r="D13" s="152"/>
      <c r="E13" s="152"/>
      <c r="F13" s="152"/>
      <c r="G13" s="152"/>
      <c r="H13" s="153"/>
    </row>
    <row r="14" spans="2:13" ht="16" thickBot="1">
      <c r="B14" s="154"/>
      <c r="C14" s="155"/>
      <c r="D14" s="155"/>
      <c r="E14" s="155"/>
      <c r="F14" s="155"/>
      <c r="G14" s="155"/>
      <c r="H14" s="156"/>
    </row>
    <row r="15" spans="2:13">
      <c r="B15" s="75"/>
      <c r="C15" s="75"/>
      <c r="D15" s="75"/>
      <c r="E15" s="75"/>
      <c r="F15" s="75"/>
      <c r="G15" s="75"/>
      <c r="H15" s="75"/>
    </row>
    <row r="16" spans="2:13">
      <c r="B16" s="73" t="s">
        <v>28</v>
      </c>
      <c r="E16" s="73" t="s">
        <v>34</v>
      </c>
      <c r="F16" s="38"/>
    </row>
    <row r="17" spans="2:6">
      <c r="C17" s="73" t="s">
        <v>30</v>
      </c>
      <c r="F17" s="73" t="str">
        <f>C17</f>
        <v>VALOR AÑO 1</v>
      </c>
    </row>
    <row r="18" spans="2:6">
      <c r="B18" s="76" t="s">
        <v>29</v>
      </c>
      <c r="C18" s="14">
        <f>+((41400000)+(41400000*0.6))</f>
        <v>66240000</v>
      </c>
      <c r="E18" s="114" t="s">
        <v>139</v>
      </c>
      <c r="F18" s="14">
        <f>(1000000*12)+(400000*12)</f>
        <v>16800000</v>
      </c>
    </row>
    <row r="19" spans="2:6">
      <c r="C19" s="78"/>
      <c r="E19" s="77" t="s">
        <v>35</v>
      </c>
      <c r="F19" s="14">
        <f>+(150000*6)+(25000*12)+(100000*12)+(83000*12)</f>
        <v>3396000</v>
      </c>
    </row>
    <row r="20" spans="2:6">
      <c r="B20" s="76" t="s">
        <v>32</v>
      </c>
      <c r="C20" s="14">
        <f>+((17400000)+(17400000*0.6))</f>
        <v>27840000</v>
      </c>
      <c r="E20" s="77" t="s">
        <v>36</v>
      </c>
      <c r="F20" s="14">
        <f>60000*4*12</f>
        <v>2880000</v>
      </c>
    </row>
    <row r="21" spans="2:6">
      <c r="C21" s="78"/>
      <c r="E21" s="77" t="s">
        <v>37</v>
      </c>
      <c r="F21" s="14">
        <f>160000*12</f>
        <v>1920000</v>
      </c>
    </row>
    <row r="22" spans="2:6">
      <c r="B22" s="113" t="s">
        <v>138</v>
      </c>
      <c r="C22" s="14">
        <f>+((56400000)+(56400000*0.6))</f>
        <v>90240000</v>
      </c>
      <c r="E22" s="77" t="s">
        <v>38</v>
      </c>
      <c r="F22" s="14">
        <f>100000*12</f>
        <v>1200000</v>
      </c>
    </row>
    <row r="23" spans="2:6" ht="16">
      <c r="B23" s="113" t="s">
        <v>56</v>
      </c>
      <c r="C23" s="74">
        <f>C18+C20+C22</f>
        <v>184320000</v>
      </c>
      <c r="E23" s="77" t="s">
        <v>39</v>
      </c>
      <c r="F23" s="14">
        <v>0</v>
      </c>
    </row>
    <row r="24" spans="2:6">
      <c r="E24" s="77" t="s">
        <v>40</v>
      </c>
      <c r="F24" s="14">
        <f>1007600*12</f>
        <v>12091200</v>
      </c>
    </row>
    <row r="25" spans="2:6" ht="25">
      <c r="B25" s="77" t="s">
        <v>141</v>
      </c>
      <c r="C25" s="145">
        <v>10451875.000000002</v>
      </c>
      <c r="E25" s="98" t="s">
        <v>167</v>
      </c>
      <c r="F25" s="14">
        <f>+(5000000)</f>
        <v>5000000</v>
      </c>
    </row>
    <row r="26" spans="2:6">
      <c r="E26" s="98" t="s">
        <v>168</v>
      </c>
      <c r="F26" s="14">
        <f>+(348*4200)</f>
        <v>1461600</v>
      </c>
    </row>
    <row r="27" spans="2:6">
      <c r="B27" s="96" t="s">
        <v>142</v>
      </c>
      <c r="C27" s="96"/>
      <c r="E27" s="98" t="s">
        <v>169</v>
      </c>
      <c r="F27" s="14">
        <f>+(1800000)</f>
        <v>1800000</v>
      </c>
    </row>
    <row r="28" spans="2:6">
      <c r="B28" s="115">
        <f>'1'!G2</f>
        <v>2027</v>
      </c>
      <c r="C28" s="145">
        <v>11497062.500000002</v>
      </c>
      <c r="E28" s="98" t="s">
        <v>166</v>
      </c>
      <c r="F28" s="14">
        <f>400000*12</f>
        <v>4800000</v>
      </c>
    </row>
    <row r="29" spans="2:6">
      <c r="B29" s="115">
        <f>'1'!H2</f>
        <v>2028</v>
      </c>
      <c r="C29" s="145">
        <v>12646768.750000002</v>
      </c>
      <c r="E29" s="98" t="s">
        <v>170</v>
      </c>
      <c r="F29" s="14">
        <f>400000*12</f>
        <v>4800000</v>
      </c>
    </row>
    <row r="30" spans="2:6">
      <c r="B30" s="115">
        <f>'1'!I2</f>
        <v>2029</v>
      </c>
      <c r="C30" s="145">
        <v>13911445.625000002</v>
      </c>
      <c r="E30" s="98"/>
      <c r="F30" s="14"/>
    </row>
    <row r="31" spans="2:6" ht="16">
      <c r="B31" s="115">
        <f>'1'!J2</f>
        <v>2030</v>
      </c>
      <c r="C31" s="145">
        <v>15302590.187500002</v>
      </c>
      <c r="E31" s="77" t="s">
        <v>41</v>
      </c>
      <c r="F31" s="74">
        <f>SUM(F18:F30)</f>
        <v>56148800</v>
      </c>
    </row>
  </sheetData>
  <sheetProtection algorithmName="SHA-512" hashValue="6EroQaZZpvQBYltmXCQrJi9YJc2eXPkZiar/65bynBbeiZGTZfympwxBl/eD9Ulgnvl91UqnonGILX6DsPC9IQ==" saltValue="DMgiEL6P5GJMMp+51z0JfQ==" spinCount="100000" sheet="1" formatCells="0" formatColumns="0" formatRows="0"/>
  <mergeCells count="2">
    <mergeCell ref="B1:H2"/>
    <mergeCell ref="B13:H14"/>
  </mergeCells>
  <pageMargins left="0.7" right="0.7" top="0.75" bottom="0.75" header="0.3" footer="0.3"/>
  <pageSetup orientation="portrait" verticalDpi="0" r:id="rId1"/>
  <drawing r:id="rId2"/>
  <legacyDrawing r:id="rId3"/>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Hoja3"/>
  <dimension ref="B2:L16"/>
  <sheetViews>
    <sheetView showGridLines="0" tabSelected="1" zoomScale="125" workbookViewId="0">
      <selection activeCell="C12" sqref="C12"/>
    </sheetView>
  </sheetViews>
  <sheetFormatPr baseColWidth="10" defaultColWidth="11.5" defaultRowHeight="15"/>
  <cols>
    <col min="1" max="1" width="11.5" style="8"/>
    <col min="2" max="2" width="39" style="8" bestFit="1" customWidth="1"/>
    <col min="3" max="4" width="18.5" style="8" bestFit="1" customWidth="1"/>
    <col min="5" max="5" width="12.83203125" style="8" customWidth="1"/>
    <col min="6" max="6" width="16.6640625" style="8" bestFit="1" customWidth="1"/>
    <col min="7" max="7" width="14.5" style="8" bestFit="1" customWidth="1"/>
    <col min="8" max="8" width="15" style="8" bestFit="1" customWidth="1"/>
    <col min="9" max="9" width="17" style="8" bestFit="1" customWidth="1"/>
    <col min="10" max="10" width="16.6640625" style="8" bestFit="1" customWidth="1"/>
    <col min="11" max="16384" width="11.5" style="8"/>
  </cols>
  <sheetData>
    <row r="2" spans="2:12" ht="29.25" customHeight="1">
      <c r="B2" s="148" t="s">
        <v>115</v>
      </c>
      <c r="C2" s="148"/>
      <c r="D2" s="148"/>
      <c r="E2" s="148"/>
      <c r="F2" s="148"/>
      <c r="G2" s="148"/>
      <c r="H2" s="148"/>
      <c r="I2" s="148"/>
      <c r="J2" s="148"/>
    </row>
    <row r="3" spans="2:12">
      <c r="F3" s="157" t="s">
        <v>62</v>
      </c>
      <c r="G3" s="157"/>
    </row>
    <row r="4" spans="2:12" ht="16">
      <c r="B4" s="16" t="s">
        <v>50</v>
      </c>
      <c r="C4" s="74">
        <f>'2'!C12</f>
        <v>31383000</v>
      </c>
      <c r="F4" s="158">
        <v>0.18</v>
      </c>
      <c r="G4" s="158"/>
      <c r="I4" s="8" t="s">
        <v>148</v>
      </c>
      <c r="J4" s="132">
        <v>5</v>
      </c>
      <c r="L4" s="71">
        <v>1</v>
      </c>
    </row>
    <row r="5" spans="2:12">
      <c r="L5" s="71">
        <v>2</v>
      </c>
    </row>
    <row r="6" spans="2:12" ht="16" thickBot="1">
      <c r="B6" s="16" t="s">
        <v>52</v>
      </c>
      <c r="F6" s="147" t="s">
        <v>116</v>
      </c>
      <c r="G6" s="147"/>
      <c r="H6" s="147"/>
      <c r="I6" s="147"/>
      <c r="J6" s="147"/>
      <c r="L6" s="71">
        <v>3</v>
      </c>
    </row>
    <row r="7" spans="2:12">
      <c r="C7" s="79" t="s">
        <v>54</v>
      </c>
      <c r="D7" s="79" t="s">
        <v>55</v>
      </c>
      <c r="E7" s="121"/>
      <c r="F7" s="122" t="s">
        <v>143</v>
      </c>
      <c r="G7" s="122" t="s">
        <v>144</v>
      </c>
      <c r="H7" s="122" t="s">
        <v>145</v>
      </c>
      <c r="I7" s="122" t="s">
        <v>146</v>
      </c>
      <c r="J7" s="123" t="s">
        <v>147</v>
      </c>
      <c r="L7" s="71">
        <v>4</v>
      </c>
    </row>
    <row r="8" spans="2:12">
      <c r="B8" s="45" t="s">
        <v>53</v>
      </c>
      <c r="C8" s="54">
        <v>12</v>
      </c>
      <c r="D8" s="25">
        <f>('1'!B33/12)*C8</f>
        <v>107875000</v>
      </c>
      <c r="E8" s="124" t="s">
        <v>84</v>
      </c>
      <c r="F8" s="125"/>
      <c r="G8" s="125"/>
      <c r="H8" s="125"/>
      <c r="I8" s="125"/>
      <c r="J8" s="126">
        <f>D16</f>
        <v>340178675</v>
      </c>
      <c r="L8" s="71">
        <v>5</v>
      </c>
    </row>
    <row r="9" spans="2:12">
      <c r="B9" s="45" t="s">
        <v>57</v>
      </c>
      <c r="C9" s="54">
        <v>12</v>
      </c>
      <c r="D9" s="25">
        <f>('2'!C23/12)*C9</f>
        <v>184320000</v>
      </c>
      <c r="E9" s="124">
        <f>'1'!B31</f>
        <v>2026</v>
      </c>
      <c r="F9" s="128">
        <f>IF(J8&gt;0,J8,0)</f>
        <v>340178675</v>
      </c>
      <c r="G9" s="128">
        <f>F9*$F$4</f>
        <v>61232161.5</v>
      </c>
      <c r="H9" s="128">
        <f>IF(J8&lt;1,0,(I9-G9))</f>
        <v>47549441.016110227</v>
      </c>
      <c r="I9" s="128">
        <f>PMT(F4,J4,J8)*-1</f>
        <v>108781602.51611023</v>
      </c>
      <c r="J9" s="129">
        <f>F9-H9</f>
        <v>292629233.98388976</v>
      </c>
    </row>
    <row r="10" spans="2:12">
      <c r="B10" s="45" t="s">
        <v>58</v>
      </c>
      <c r="C10" s="54">
        <v>12</v>
      </c>
      <c r="D10" s="25">
        <f>('2'!C25/12)*C10</f>
        <v>10451875.000000002</v>
      </c>
      <c r="E10" s="124">
        <f>'1'!C31</f>
        <v>2027</v>
      </c>
      <c r="F10" s="128">
        <f>IF(J9&gt;0,J9,0)</f>
        <v>292629233.98388976</v>
      </c>
      <c r="G10" s="128">
        <f>F10*$F$4</f>
        <v>52673262.117100157</v>
      </c>
      <c r="H10" s="128">
        <f>IF(J9&lt;1,0,(I10-G10))</f>
        <v>56108340.39901007</v>
      </c>
      <c r="I10" s="128">
        <f>IF(J9&lt;1,0,(I9*(1+$K$7)))</f>
        <v>108781602.51611023</v>
      </c>
      <c r="J10" s="129">
        <f>F10-H10</f>
        <v>236520893.5848797</v>
      </c>
    </row>
    <row r="11" spans="2:12">
      <c r="B11" s="45" t="s">
        <v>33</v>
      </c>
      <c r="C11" s="54">
        <v>12</v>
      </c>
      <c r="D11" s="25">
        <f>('2'!F31/12)*C11</f>
        <v>56148800</v>
      </c>
      <c r="E11" s="124">
        <f>'1'!D31</f>
        <v>2028</v>
      </c>
      <c r="F11" s="128">
        <f>IF(J10&gt;0,J10,0)</f>
        <v>236520893.5848797</v>
      </c>
      <c r="G11" s="128">
        <f>F11*$F$4</f>
        <v>42573760.845278345</v>
      </c>
      <c r="H11" s="128">
        <f>IF(J10&lt;1,0,(I11-G11))</f>
        <v>66207841.670831881</v>
      </c>
      <c r="I11" s="128">
        <f>IF(J10&lt;1,0,(I10*(1+$K$7)))</f>
        <v>108781602.51611023</v>
      </c>
      <c r="J11" s="129">
        <f>F11-H11</f>
        <v>170313051.91404781</v>
      </c>
    </row>
    <row r="12" spans="2:12" ht="16">
      <c r="B12" s="80" t="s">
        <v>8</v>
      </c>
      <c r="C12" s="58"/>
      <c r="D12" s="81">
        <f>SUM(D8:D11)</f>
        <v>358795675</v>
      </c>
      <c r="E12" s="124">
        <f>'1'!E31</f>
        <v>2029</v>
      </c>
      <c r="F12" s="128">
        <f>IF(J11&gt;0,J11,0)</f>
        <v>170313051.91404781</v>
      </c>
      <c r="G12" s="128">
        <f>F12*$F$4</f>
        <v>30656349.344528604</v>
      </c>
      <c r="H12" s="128">
        <f>IF(J11&lt;1,0,(I12-G12))</f>
        <v>78125253.171581626</v>
      </c>
      <c r="I12" s="128">
        <f>IF(J11&lt;1,0,(I11*(1+$K$7)))</f>
        <v>108781602.51611023</v>
      </c>
      <c r="J12" s="129">
        <f>F12-H12</f>
        <v>92187798.742466182</v>
      </c>
    </row>
    <row r="13" spans="2:12" ht="16" thickBot="1">
      <c r="E13" s="127">
        <f>'1'!F31</f>
        <v>2030</v>
      </c>
      <c r="F13" s="130">
        <f>IF(J12&gt;0,J12,0)</f>
        <v>92187798.742466182</v>
      </c>
      <c r="G13" s="130">
        <f>F13*$F$4</f>
        <v>16593803.773643913</v>
      </c>
      <c r="H13" s="130">
        <f>IF(J12&lt;1,0,(I13-G13))</f>
        <v>92187798.742466316</v>
      </c>
      <c r="I13" s="130">
        <f>IF(J12&lt;1,0,(I12*(1+$K$7)))</f>
        <v>108781602.51611023</v>
      </c>
      <c r="J13" s="131">
        <f>F13-H13</f>
        <v>-1.3411045074462891E-7</v>
      </c>
    </row>
    <row r="14" spans="2:12" ht="16">
      <c r="B14" s="45" t="s">
        <v>59</v>
      </c>
      <c r="D14" s="74">
        <f>C4+D12</f>
        <v>390178675</v>
      </c>
    </row>
    <row r="15" spans="2:12">
      <c r="B15" s="45" t="s">
        <v>60</v>
      </c>
      <c r="D15" s="55">
        <v>50000000</v>
      </c>
    </row>
    <row r="16" spans="2:12" ht="16">
      <c r="B16" s="45" t="s">
        <v>61</v>
      </c>
      <c r="D16" s="82">
        <f>D14-D15</f>
        <v>340178675</v>
      </c>
    </row>
  </sheetData>
  <sheetProtection algorithmName="SHA-512" hashValue="O5NYs4kU2RDla5avmpVbUFwAlgQnRS+KAG4TJgbbrgnJXEeDhXLMDa8jnpKU5surrkI0IePw0cFHGExGZUnU7Q==" saltValue="jxQ+EQVom5MMBdWqfY22EA==" spinCount="100000" sheet="1" formatCells="0" formatColumns="0" formatRows="0"/>
  <mergeCells count="4">
    <mergeCell ref="F6:J6"/>
    <mergeCell ref="F3:G3"/>
    <mergeCell ref="F4:G4"/>
    <mergeCell ref="B2:J2"/>
  </mergeCells>
  <dataValidations count="1">
    <dataValidation type="list" allowBlank="1" showInputMessage="1" showErrorMessage="1" sqref="L4 J4" xr:uid="{00000000-0002-0000-0300-000000000000}">
      <formula1>$L$4:$L$8</formula1>
    </dataValidation>
  </dataValidations>
  <pageMargins left="0.7" right="0.7" top="0.75" bottom="0.75" header="0.3" footer="0.3"/>
  <pageSetup paperSize="9" orientation="portrait" r:id="rId1"/>
  <drawing r:id="rId2"/>
  <legacyDrawing r:id="rId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H60"/>
  <sheetViews>
    <sheetView showGridLines="0" zoomScale="81" zoomScaleNormal="90" workbookViewId="0">
      <pane xSplit="7" ySplit="1" topLeftCell="H24" activePane="bottomRight" state="frozenSplit"/>
      <selection pane="topRight" activeCell="E1" sqref="E1"/>
      <selection pane="bottomLeft" activeCell="A12" sqref="A12"/>
      <selection pane="bottomRight" activeCell="C59" sqref="C59:G59"/>
    </sheetView>
  </sheetViews>
  <sheetFormatPr baseColWidth="10" defaultColWidth="11.5" defaultRowHeight="15"/>
  <cols>
    <col min="1" max="1" width="26.6640625" style="8" customWidth="1"/>
    <col min="2" max="2" width="25.83203125" style="8" bestFit="1" customWidth="1"/>
    <col min="3" max="3" width="21.6640625" style="8" bestFit="1" customWidth="1"/>
    <col min="4" max="7" width="18.5" style="8" bestFit="1" customWidth="1"/>
    <col min="8" max="16384" width="11.5" style="8"/>
  </cols>
  <sheetData>
    <row r="1" spans="1:7" ht="34.5" customHeight="1">
      <c r="A1" s="162" t="s">
        <v>117</v>
      </c>
      <c r="B1" s="162"/>
      <c r="C1" s="162"/>
      <c r="D1" s="162"/>
      <c r="E1" s="162"/>
      <c r="F1" s="162"/>
      <c r="G1" s="162"/>
    </row>
    <row r="2" spans="1:7" ht="22">
      <c r="A2" s="163" t="s">
        <v>132</v>
      </c>
      <c r="B2" s="163"/>
      <c r="C2" s="163"/>
      <c r="D2" s="163"/>
      <c r="E2" s="163"/>
      <c r="F2" s="163"/>
      <c r="G2" s="163"/>
    </row>
    <row r="3" spans="1:7" ht="8.25" customHeight="1">
      <c r="A3" s="56"/>
      <c r="B3" s="56"/>
      <c r="C3" s="56"/>
      <c r="D3" s="56"/>
      <c r="E3" s="56"/>
      <c r="F3" s="56"/>
      <c r="G3" s="56"/>
    </row>
    <row r="4" spans="1:7" ht="16">
      <c r="A4" s="161" t="s">
        <v>89</v>
      </c>
      <c r="B4" s="161"/>
      <c r="C4" s="161"/>
      <c r="D4" s="161"/>
      <c r="E4" s="161"/>
      <c r="F4" s="161"/>
      <c r="G4" s="161"/>
    </row>
    <row r="5" spans="1:7" ht="22">
      <c r="C5" s="60">
        <f>'1'!B31</f>
        <v>2026</v>
      </c>
      <c r="D5" s="60">
        <f>'1'!C31</f>
        <v>2027</v>
      </c>
      <c r="E5" s="60">
        <f>'1'!D31</f>
        <v>2028</v>
      </c>
      <c r="F5" s="60">
        <f>'1'!E31</f>
        <v>2029</v>
      </c>
      <c r="G5" s="60">
        <f>'1'!F31</f>
        <v>2030</v>
      </c>
    </row>
    <row r="6" spans="1:7">
      <c r="B6" s="8" t="s">
        <v>31</v>
      </c>
      <c r="C6" s="61">
        <f>'1'!B32</f>
        <v>406500000</v>
      </c>
      <c r="D6" s="61">
        <f>'1'!C32</f>
        <v>462800250</v>
      </c>
      <c r="E6" s="61">
        <f>'1'!D32</f>
        <v>549783556.98749995</v>
      </c>
      <c r="F6" s="61">
        <f>'1'!E32</f>
        <v>679532476.43654978</v>
      </c>
      <c r="G6" s="61">
        <f>'1'!F32</f>
        <v>878295725.79424059</v>
      </c>
    </row>
    <row r="7" spans="1:7">
      <c r="B7" s="8" t="s">
        <v>66</v>
      </c>
      <c r="C7" s="61">
        <f>'1'!B33</f>
        <v>107875000</v>
      </c>
      <c r="D7" s="61">
        <f>'1'!C33</f>
        <v>122222375</v>
      </c>
      <c r="E7" s="61">
        <f>'1'!D33</f>
        <v>144772403.1875</v>
      </c>
      <c r="F7" s="61">
        <f>'1'!E33</f>
        <v>178938690.33974999</v>
      </c>
      <c r="G7" s="61">
        <f>'1'!F33</f>
        <v>230383563.81242809</v>
      </c>
    </row>
    <row r="8" spans="1:7" ht="16" thickBot="1">
      <c r="B8" s="62" t="s">
        <v>67</v>
      </c>
      <c r="C8" s="63">
        <f>C6-C7</f>
        <v>298625000</v>
      </c>
      <c r="D8" s="63">
        <f>D6-D7</f>
        <v>340577875</v>
      </c>
      <c r="E8" s="63">
        <f>E6-E7</f>
        <v>405011153.79999995</v>
      </c>
      <c r="F8" s="63">
        <f>F6-F7</f>
        <v>500593786.09679979</v>
      </c>
      <c r="G8" s="63">
        <f>G6-G7</f>
        <v>647912161.98181248</v>
      </c>
    </row>
    <row r="9" spans="1:7" ht="16" thickTop="1">
      <c r="B9" s="8" t="s">
        <v>68</v>
      </c>
      <c r="C9" s="142">
        <f>'2'!C23</f>
        <v>184320000</v>
      </c>
      <c r="D9" s="142">
        <f>C9*(1+'1'!Z4)</f>
        <v>190771200</v>
      </c>
      <c r="E9" s="142">
        <f>D9*(1+'1'!AA4)</f>
        <v>197066649.59999999</v>
      </c>
      <c r="F9" s="142">
        <f>E9*(1+'1'!AB4)</f>
        <v>202978649.088</v>
      </c>
      <c r="G9" s="142">
        <f>F9*(1+'1'!AC4)</f>
        <v>209879923.15699202</v>
      </c>
    </row>
    <row r="10" spans="1:7">
      <c r="B10" s="8" t="s">
        <v>134</v>
      </c>
      <c r="C10" s="142">
        <f>'2'!F31</f>
        <v>56148800</v>
      </c>
      <c r="D10" s="142">
        <f>C10*(1+'1'!Z4)</f>
        <v>58114007.999999993</v>
      </c>
      <c r="E10" s="142">
        <f>D10*(1+'1'!AA4)</f>
        <v>60031770.263999991</v>
      </c>
      <c r="F10" s="142">
        <f>E10*(1+'1'!AB4)</f>
        <v>61832723.37191999</v>
      </c>
      <c r="G10" s="142">
        <f>F10*(1+'1'!AC4)</f>
        <v>63935035.966565274</v>
      </c>
    </row>
    <row r="11" spans="1:7">
      <c r="B11" s="8" t="s">
        <v>69</v>
      </c>
      <c r="C11" s="142">
        <f>'2'!C25</f>
        <v>10451875.000000002</v>
      </c>
      <c r="D11" s="142">
        <f>'2'!C28</f>
        <v>11497062.500000002</v>
      </c>
      <c r="E11" s="142">
        <f>'2'!C29</f>
        <v>12646768.750000002</v>
      </c>
      <c r="F11" s="142">
        <f>'2'!C30</f>
        <v>13911445.625000002</v>
      </c>
      <c r="G11" s="142">
        <f>'2'!C31</f>
        <v>15302590.187500002</v>
      </c>
    </row>
    <row r="12" spans="1:7">
      <c r="B12" s="8" t="s">
        <v>86</v>
      </c>
      <c r="C12" s="142">
        <f>'2'!G12</f>
        <v>5122300</v>
      </c>
      <c r="D12" s="142">
        <f>C12</f>
        <v>5122300</v>
      </c>
      <c r="E12" s="142">
        <f>D12</f>
        <v>5122300</v>
      </c>
      <c r="F12" s="142">
        <f>E12</f>
        <v>5122300</v>
      </c>
      <c r="G12" s="142">
        <f>F12</f>
        <v>5122300</v>
      </c>
    </row>
    <row r="13" spans="1:7" ht="16" thickBot="1">
      <c r="B13" s="62" t="s">
        <v>70</v>
      </c>
      <c r="C13" s="64">
        <f>C8-C9-C10-C11-C12</f>
        <v>42582025</v>
      </c>
      <c r="D13" s="64">
        <f>D8-D9-D10-D11-D12</f>
        <v>75073304.5</v>
      </c>
      <c r="E13" s="64">
        <f>E8-E9-E10-E11-E12</f>
        <v>130143665.18599996</v>
      </c>
      <c r="F13" s="64">
        <f>F8-F9-F10-F11-F12</f>
        <v>216748668.0118798</v>
      </c>
      <c r="G13" s="64">
        <f>G8-G9-G10-G11-G12</f>
        <v>353672312.67075521</v>
      </c>
    </row>
    <row r="14" spans="1:7" ht="16" thickTop="1">
      <c r="B14" s="8" t="s">
        <v>71</v>
      </c>
      <c r="C14" s="61">
        <f>'3'!G9</f>
        <v>61232161.5</v>
      </c>
      <c r="D14" s="61">
        <f>'3'!G10</f>
        <v>52673262.117100157</v>
      </c>
      <c r="E14" s="61">
        <f>'3'!G11</f>
        <v>42573760.845278345</v>
      </c>
      <c r="F14" s="61">
        <f>'3'!G12</f>
        <v>30656349.344528604</v>
      </c>
      <c r="G14" s="61">
        <f>'3'!G13</f>
        <v>16593803.773643913</v>
      </c>
    </row>
    <row r="15" spans="1:7" ht="16" thickBot="1">
      <c r="B15" s="62" t="s">
        <v>72</v>
      </c>
      <c r="C15" s="64">
        <f>C13-C14</f>
        <v>-18650136.5</v>
      </c>
      <c r="D15" s="64">
        <f>D13-D14</f>
        <v>22400042.382899843</v>
      </c>
      <c r="E15" s="64">
        <f>E13-E14</f>
        <v>87569904.340721607</v>
      </c>
      <c r="F15" s="64">
        <f>F13-F14</f>
        <v>186092318.66735119</v>
      </c>
      <c r="G15" s="64">
        <f>G13-G14</f>
        <v>337078508.8971113</v>
      </c>
    </row>
    <row r="16" spans="1:7" ht="16" thickTop="1">
      <c r="B16" s="8" t="s">
        <v>73</v>
      </c>
      <c r="C16" s="65">
        <f>IF(C15*'1'!$AB$7&lt;0,0,C15*'1'!$AB$7)</f>
        <v>0</v>
      </c>
      <c r="D16" s="65">
        <f>IF(D15*'1'!$AB$7&lt;0,0,D15*'1'!$AB$7)</f>
        <v>7840014.8340149447</v>
      </c>
      <c r="E16" s="65">
        <f>IF(E15*'1'!$AB$7&lt;0,0,E15*'1'!$AB$7)</f>
        <v>30649466.519252561</v>
      </c>
      <c r="F16" s="65">
        <f>IF(F15*'1'!$AB$7&lt;0,0,F15*'1'!$AB$7)</f>
        <v>65132311.533572912</v>
      </c>
      <c r="G16" s="65">
        <f>IF(G15*'1'!$AB$7&lt;0,0,G15*'1'!$AB$7)</f>
        <v>117977478.11398895</v>
      </c>
    </row>
    <row r="17" spans="1:8" ht="16" thickBot="1">
      <c r="B17" s="66" t="s">
        <v>74</v>
      </c>
      <c r="C17" s="67">
        <f>C15-C16</f>
        <v>-18650136.5</v>
      </c>
      <c r="D17" s="67">
        <f>D15-D16</f>
        <v>14560027.548884898</v>
      </c>
      <c r="E17" s="67">
        <f>E15-E16</f>
        <v>56920437.821469046</v>
      </c>
      <c r="F17" s="67">
        <f>F15-F16</f>
        <v>120960007.13377827</v>
      </c>
      <c r="G17" s="67">
        <f>G15-G16</f>
        <v>219101030.78312236</v>
      </c>
    </row>
    <row r="19" spans="1:8" ht="16">
      <c r="A19" s="161" t="s">
        <v>64</v>
      </c>
      <c r="B19" s="161"/>
      <c r="C19" s="161"/>
      <c r="D19" s="161"/>
      <c r="E19" s="161"/>
      <c r="F19" s="161"/>
      <c r="G19" s="161"/>
    </row>
    <row r="20" spans="1:8" ht="22">
      <c r="B20" s="68" t="s">
        <v>84</v>
      </c>
      <c r="C20" s="60">
        <f>C5</f>
        <v>2026</v>
      </c>
      <c r="D20" s="60">
        <f>D5</f>
        <v>2027</v>
      </c>
      <c r="E20" s="60">
        <f>E5</f>
        <v>2028</v>
      </c>
      <c r="F20" s="60">
        <f>F5</f>
        <v>2029</v>
      </c>
      <c r="G20" s="60">
        <f>G5</f>
        <v>2030</v>
      </c>
    </row>
    <row r="21" spans="1:8">
      <c r="A21" s="160" t="s">
        <v>65</v>
      </c>
      <c r="B21" s="160"/>
      <c r="C21" s="160"/>
      <c r="D21" s="160"/>
      <c r="E21" s="160"/>
      <c r="F21" s="160"/>
      <c r="G21" s="160"/>
    </row>
    <row r="22" spans="1:8">
      <c r="A22" s="8" t="s">
        <v>95</v>
      </c>
      <c r="B22" s="26">
        <f t="shared" ref="B22:G22" si="0">B38-B26</f>
        <v>358795675</v>
      </c>
      <c r="C22" s="26">
        <f t="shared" si="0"/>
        <v>297718397.48388976</v>
      </c>
      <c r="D22" s="26">
        <f t="shared" si="0"/>
        <v>287782535.96777952</v>
      </c>
      <c r="E22" s="26">
        <f t="shared" si="0"/>
        <v>291866856.25476944</v>
      </c>
      <c r="F22" s="26">
        <f t="shared" si="0"/>
        <v>317386317.40981734</v>
      </c>
      <c r="G22" s="26">
        <f t="shared" si="0"/>
        <v>381307008.89711118</v>
      </c>
    </row>
    <row r="23" spans="1:8">
      <c r="A23" s="8" t="s">
        <v>93</v>
      </c>
      <c r="B23" s="26">
        <f>'2'!C4</f>
        <v>0</v>
      </c>
      <c r="C23" s="26">
        <f t="shared" ref="C23:G24" si="1">B23</f>
        <v>0</v>
      </c>
      <c r="D23" s="26">
        <f t="shared" si="1"/>
        <v>0</v>
      </c>
      <c r="E23" s="26">
        <f t="shared" si="1"/>
        <v>0</v>
      </c>
      <c r="F23" s="26">
        <f t="shared" si="1"/>
        <v>0</v>
      </c>
      <c r="G23" s="26">
        <f t="shared" si="1"/>
        <v>0</v>
      </c>
      <c r="H23" s="26"/>
    </row>
    <row r="24" spans="1:8">
      <c r="A24" s="8" t="s">
        <v>94</v>
      </c>
      <c r="B24" s="26">
        <f>'2'!C12-'2'!C4</f>
        <v>31383000</v>
      </c>
      <c r="C24" s="26">
        <f t="shared" si="1"/>
        <v>31383000</v>
      </c>
      <c r="D24" s="26">
        <f t="shared" si="1"/>
        <v>31383000</v>
      </c>
      <c r="E24" s="26">
        <f t="shared" si="1"/>
        <v>31383000</v>
      </c>
      <c r="F24" s="26">
        <f t="shared" si="1"/>
        <v>31383000</v>
      </c>
      <c r="G24" s="26">
        <f t="shared" si="1"/>
        <v>31383000</v>
      </c>
      <c r="H24" s="26"/>
    </row>
    <row r="25" spans="1:8">
      <c r="A25" s="8" t="s">
        <v>87</v>
      </c>
      <c r="B25" s="26">
        <v>0</v>
      </c>
      <c r="C25" s="26">
        <f>C12</f>
        <v>5122300</v>
      </c>
      <c r="D25" s="26">
        <f>D12+C12</f>
        <v>10244600</v>
      </c>
      <c r="E25" s="26">
        <f>E12+D12+C12</f>
        <v>15366900</v>
      </c>
      <c r="F25" s="26">
        <f>F12+E12+D12+C12</f>
        <v>20489200</v>
      </c>
      <c r="G25" s="26">
        <f>F25+G12</f>
        <v>25611500</v>
      </c>
      <c r="H25" s="26"/>
    </row>
    <row r="26" spans="1:8">
      <c r="A26" s="8" t="s">
        <v>88</v>
      </c>
      <c r="B26" s="26">
        <f t="shared" ref="B26:G26" si="2">B23+(B24-B25)</f>
        <v>31383000</v>
      </c>
      <c r="C26" s="26">
        <f t="shared" si="2"/>
        <v>26260700</v>
      </c>
      <c r="D26" s="26">
        <f t="shared" si="2"/>
        <v>21138400</v>
      </c>
      <c r="E26" s="26">
        <f t="shared" si="2"/>
        <v>16016100</v>
      </c>
      <c r="F26" s="26">
        <f t="shared" si="2"/>
        <v>10893800</v>
      </c>
      <c r="G26" s="26">
        <f t="shared" si="2"/>
        <v>5771500</v>
      </c>
      <c r="H26" s="26"/>
    </row>
    <row r="27" spans="1:8" ht="16" thickBot="1">
      <c r="A27" s="62" t="s">
        <v>85</v>
      </c>
      <c r="B27" s="69">
        <f t="shared" ref="B27:G27" si="3">B22+B26</f>
        <v>390178675</v>
      </c>
      <c r="C27" s="69">
        <f t="shared" si="3"/>
        <v>323979097.48388976</v>
      </c>
      <c r="D27" s="69">
        <f t="shared" si="3"/>
        <v>308920935.96777952</v>
      </c>
      <c r="E27" s="69">
        <f t="shared" si="3"/>
        <v>307882956.25476944</v>
      </c>
      <c r="F27" s="69">
        <f t="shared" si="3"/>
        <v>328280117.40981734</v>
      </c>
      <c r="G27" s="69">
        <f t="shared" si="3"/>
        <v>387078508.89711118</v>
      </c>
      <c r="H27" s="26"/>
    </row>
    <row r="28" spans="1:8" ht="16" thickTop="1">
      <c r="A28" s="160" t="s">
        <v>75</v>
      </c>
      <c r="B28" s="160"/>
      <c r="C28" s="160"/>
      <c r="D28" s="160"/>
      <c r="E28" s="160"/>
      <c r="F28" s="160"/>
      <c r="G28" s="160"/>
    </row>
    <row r="29" spans="1:8">
      <c r="A29" s="8" t="s">
        <v>76</v>
      </c>
      <c r="B29" s="8">
        <v>0</v>
      </c>
      <c r="C29" s="65">
        <f>C16</f>
        <v>0</v>
      </c>
      <c r="D29" s="65">
        <f>D16</f>
        <v>7840014.8340149447</v>
      </c>
      <c r="E29" s="65">
        <f>E16</f>
        <v>30649466.519252561</v>
      </c>
      <c r="F29" s="65">
        <f>F16</f>
        <v>65132311.533572912</v>
      </c>
      <c r="G29" s="65">
        <f>G16</f>
        <v>117977478.11398895</v>
      </c>
    </row>
    <row r="30" spans="1:8">
      <c r="A30" s="8" t="s">
        <v>77</v>
      </c>
      <c r="B30" s="65">
        <f t="shared" ref="B30:G30" si="4">B29</f>
        <v>0</v>
      </c>
      <c r="C30" s="65">
        <f t="shared" si="4"/>
        <v>0</v>
      </c>
      <c r="D30" s="65">
        <f t="shared" si="4"/>
        <v>7840014.8340149447</v>
      </c>
      <c r="E30" s="65">
        <f t="shared" si="4"/>
        <v>30649466.519252561</v>
      </c>
      <c r="F30" s="65">
        <f t="shared" si="4"/>
        <v>65132311.533572912</v>
      </c>
      <c r="G30" s="65">
        <f t="shared" si="4"/>
        <v>117977478.11398895</v>
      </c>
    </row>
    <row r="31" spans="1:8">
      <c r="A31" s="8" t="s">
        <v>78</v>
      </c>
      <c r="B31" s="25">
        <f>'3'!J8</f>
        <v>340178675</v>
      </c>
      <c r="C31" s="25">
        <f>'3'!J9</f>
        <v>292629233.98388976</v>
      </c>
      <c r="D31" s="25">
        <f>'3'!J10</f>
        <v>236520893.5848797</v>
      </c>
      <c r="E31" s="25">
        <f>'3'!J11</f>
        <v>170313051.91404781</v>
      </c>
      <c r="F31" s="25">
        <f>'3'!J12</f>
        <v>92187798.742466182</v>
      </c>
      <c r="G31" s="25">
        <f>'3'!J13</f>
        <v>-1.3411045074462891E-7</v>
      </c>
    </row>
    <row r="32" spans="1:8" ht="16" thickBot="1">
      <c r="A32" s="62" t="s">
        <v>75</v>
      </c>
      <c r="B32" s="69">
        <f t="shared" ref="B32:G32" si="5">B30+B31</f>
        <v>340178675</v>
      </c>
      <c r="C32" s="69">
        <f t="shared" si="5"/>
        <v>292629233.98388976</v>
      </c>
      <c r="D32" s="69">
        <f t="shared" si="5"/>
        <v>244360908.41889465</v>
      </c>
      <c r="E32" s="69">
        <f t="shared" si="5"/>
        <v>200962518.43330038</v>
      </c>
      <c r="F32" s="69">
        <f t="shared" si="5"/>
        <v>157320110.27603909</v>
      </c>
      <c r="G32" s="69">
        <f t="shared" si="5"/>
        <v>117977478.11398882</v>
      </c>
    </row>
    <row r="33" spans="1:7" ht="16" thickTop="1">
      <c r="A33" s="160" t="s">
        <v>79</v>
      </c>
      <c r="B33" s="160"/>
      <c r="C33" s="160"/>
      <c r="D33" s="160"/>
      <c r="E33" s="160"/>
      <c r="F33" s="160"/>
      <c r="G33" s="160"/>
    </row>
    <row r="34" spans="1:7">
      <c r="A34" s="8" t="s">
        <v>80</v>
      </c>
      <c r="B34" s="26">
        <f>'3'!D15</f>
        <v>50000000</v>
      </c>
      <c r="C34" s="26">
        <f>B34</f>
        <v>50000000</v>
      </c>
      <c r="D34" s="26">
        <f>C34</f>
        <v>50000000</v>
      </c>
      <c r="E34" s="26">
        <f>D34</f>
        <v>50000000</v>
      </c>
      <c r="F34" s="26">
        <f>E34</f>
        <v>50000000</v>
      </c>
      <c r="G34" s="26">
        <f>F34</f>
        <v>50000000</v>
      </c>
    </row>
    <row r="35" spans="1:7">
      <c r="A35" s="8" t="s">
        <v>81</v>
      </c>
      <c r="B35" s="8">
        <v>0</v>
      </c>
      <c r="C35" s="65">
        <f>C17</f>
        <v>-18650136.5</v>
      </c>
      <c r="D35" s="65">
        <f>D17</f>
        <v>14560027.548884898</v>
      </c>
      <c r="E35" s="65">
        <f>E17</f>
        <v>56920437.821469046</v>
      </c>
      <c r="F35" s="65">
        <f>F17</f>
        <v>120960007.13377827</v>
      </c>
      <c r="G35" s="65">
        <f>G17</f>
        <v>219101030.78312236</v>
      </c>
    </row>
    <row r="36" spans="1:7" ht="16" thickBot="1">
      <c r="A36" s="62" t="s">
        <v>82</v>
      </c>
      <c r="B36" s="69">
        <f t="shared" ref="B36:G36" si="6">B34+B35</f>
        <v>50000000</v>
      </c>
      <c r="C36" s="69">
        <f t="shared" si="6"/>
        <v>31349863.5</v>
      </c>
      <c r="D36" s="69">
        <f t="shared" si="6"/>
        <v>64560027.548884898</v>
      </c>
      <c r="E36" s="69">
        <f t="shared" si="6"/>
        <v>106920437.82146904</v>
      </c>
      <c r="F36" s="69">
        <f t="shared" si="6"/>
        <v>170960007.13377827</v>
      </c>
      <c r="G36" s="69">
        <f t="shared" si="6"/>
        <v>269101030.78312236</v>
      </c>
    </row>
    <row r="37" spans="1:7" ht="16" thickTop="1"/>
    <row r="38" spans="1:7" ht="16" thickBot="1">
      <c r="A38" s="62" t="s">
        <v>83</v>
      </c>
      <c r="B38" s="69">
        <f t="shared" ref="B38:G38" si="7">B32+B36</f>
        <v>390178675</v>
      </c>
      <c r="C38" s="69">
        <f t="shared" si="7"/>
        <v>323979097.48388976</v>
      </c>
      <c r="D38" s="69">
        <f t="shared" si="7"/>
        <v>308920935.96777952</v>
      </c>
      <c r="E38" s="69">
        <f t="shared" si="7"/>
        <v>307882956.25476944</v>
      </c>
      <c r="F38" s="69">
        <f t="shared" si="7"/>
        <v>328280117.40981734</v>
      </c>
      <c r="G38" s="69">
        <f t="shared" si="7"/>
        <v>387078508.89711118</v>
      </c>
    </row>
    <row r="39" spans="1:7" ht="16" thickTop="1">
      <c r="A39" s="58" t="s">
        <v>90</v>
      </c>
      <c r="B39" s="70">
        <f t="shared" ref="B39:G39" si="8">B27-B38</f>
        <v>0</v>
      </c>
      <c r="C39" s="70">
        <f t="shared" si="8"/>
        <v>0</v>
      </c>
      <c r="D39" s="70">
        <f t="shared" si="8"/>
        <v>0</v>
      </c>
      <c r="E39" s="70">
        <f t="shared" si="8"/>
        <v>0</v>
      </c>
      <c r="F39" s="70">
        <f t="shared" si="8"/>
        <v>0</v>
      </c>
      <c r="G39" s="70">
        <f t="shared" si="8"/>
        <v>0</v>
      </c>
    </row>
    <row r="41" spans="1:7" ht="16">
      <c r="A41" s="161" t="s">
        <v>96</v>
      </c>
      <c r="B41" s="161"/>
      <c r="C41" s="161"/>
      <c r="D41" s="161"/>
      <c r="E41" s="161"/>
      <c r="F41" s="161"/>
      <c r="G41" s="161"/>
    </row>
    <row r="42" spans="1:7">
      <c r="A42" s="160" t="s">
        <v>97</v>
      </c>
      <c r="B42" s="160"/>
      <c r="C42" s="160"/>
      <c r="D42" s="160"/>
      <c r="E42" s="160"/>
      <c r="F42" s="160"/>
      <c r="G42" s="160"/>
    </row>
    <row r="43" spans="1:7" ht="22">
      <c r="A43" s="11"/>
      <c r="B43" s="68" t="s">
        <v>84</v>
      </c>
      <c r="C43" s="60">
        <f>C20</f>
        <v>2026</v>
      </c>
      <c r="D43" s="60">
        <f>D20</f>
        <v>2027</v>
      </c>
      <c r="E43" s="60">
        <f>E20</f>
        <v>2028</v>
      </c>
      <c r="F43" s="60">
        <f>F20</f>
        <v>2029</v>
      </c>
      <c r="G43" s="60">
        <f>G20</f>
        <v>2030</v>
      </c>
    </row>
    <row r="44" spans="1:7">
      <c r="A44" s="1" t="s">
        <v>98</v>
      </c>
      <c r="B44" s="2">
        <f t="shared" ref="B44:G44" si="9">B22</f>
        <v>358795675</v>
      </c>
      <c r="C44" s="2">
        <f t="shared" si="9"/>
        <v>297718397.48388976</v>
      </c>
      <c r="D44" s="2">
        <f t="shared" si="9"/>
        <v>287782535.96777952</v>
      </c>
      <c r="E44" s="2">
        <f t="shared" si="9"/>
        <v>291866856.25476944</v>
      </c>
      <c r="F44" s="2">
        <f t="shared" si="9"/>
        <v>317386317.40981734</v>
      </c>
      <c r="G44" s="2">
        <f t="shared" si="9"/>
        <v>381307008.89711118</v>
      </c>
    </row>
    <row r="45" spans="1:7" ht="16" thickBot="1">
      <c r="A45" s="1" t="s">
        <v>99</v>
      </c>
      <c r="B45" s="3">
        <f t="shared" ref="B45:G45" si="10">B29</f>
        <v>0</v>
      </c>
      <c r="C45" s="3">
        <f t="shared" si="10"/>
        <v>0</v>
      </c>
      <c r="D45" s="3">
        <f t="shared" si="10"/>
        <v>7840014.8340149447</v>
      </c>
      <c r="E45" s="3">
        <f t="shared" si="10"/>
        <v>30649466.519252561</v>
      </c>
      <c r="F45" s="3">
        <f t="shared" si="10"/>
        <v>65132311.533572912</v>
      </c>
      <c r="G45" s="3">
        <f t="shared" si="10"/>
        <v>117977478.11398895</v>
      </c>
    </row>
    <row r="46" spans="1:7" ht="16" thickTop="1">
      <c r="A46" s="4" t="s">
        <v>100</v>
      </c>
      <c r="B46" s="5">
        <f t="shared" ref="B46:G46" si="11">B44-B45</f>
        <v>358795675</v>
      </c>
      <c r="C46" s="5">
        <f t="shared" si="11"/>
        <v>297718397.48388976</v>
      </c>
      <c r="D46" s="5">
        <f t="shared" si="11"/>
        <v>279942521.13376456</v>
      </c>
      <c r="E46" s="5">
        <f t="shared" si="11"/>
        <v>261217389.73551688</v>
      </c>
      <c r="F46" s="5">
        <f t="shared" si="11"/>
        <v>252254005.87624443</v>
      </c>
      <c r="G46" s="5">
        <f t="shared" si="11"/>
        <v>263329530.78312224</v>
      </c>
    </row>
    <row r="47" spans="1:7">
      <c r="A47" s="1"/>
      <c r="B47" s="2"/>
      <c r="C47" s="2"/>
      <c r="D47" s="2"/>
      <c r="E47" s="2"/>
      <c r="F47" s="2"/>
      <c r="G47" s="2"/>
    </row>
    <row r="48" spans="1:7">
      <c r="A48" s="4" t="s">
        <v>101</v>
      </c>
      <c r="B48" s="2">
        <f t="shared" ref="B48:G48" si="12">B26</f>
        <v>31383000</v>
      </c>
      <c r="C48" s="2">
        <f t="shared" si="12"/>
        <v>26260700</v>
      </c>
      <c r="D48" s="2">
        <f t="shared" si="12"/>
        <v>21138400</v>
      </c>
      <c r="E48" s="2">
        <f t="shared" si="12"/>
        <v>16016100</v>
      </c>
      <c r="F48" s="2">
        <f t="shared" si="12"/>
        <v>10893800</v>
      </c>
      <c r="G48" s="2">
        <f t="shared" si="12"/>
        <v>5771500</v>
      </c>
    </row>
    <row r="49" spans="1:7" ht="16" thickBot="1">
      <c r="A49" s="1" t="s">
        <v>102</v>
      </c>
      <c r="B49" s="3">
        <f t="shared" ref="B49:G49" si="13">B25</f>
        <v>0</v>
      </c>
      <c r="C49" s="3">
        <f t="shared" si="13"/>
        <v>5122300</v>
      </c>
      <c r="D49" s="3">
        <f t="shared" si="13"/>
        <v>10244600</v>
      </c>
      <c r="E49" s="3">
        <f t="shared" si="13"/>
        <v>15366900</v>
      </c>
      <c r="F49" s="3">
        <f t="shared" si="13"/>
        <v>20489200</v>
      </c>
      <c r="G49" s="3">
        <f t="shared" si="13"/>
        <v>25611500</v>
      </c>
    </row>
    <row r="50" spans="1:7" ht="16" thickTop="1">
      <c r="A50" s="4" t="s">
        <v>103</v>
      </c>
      <c r="B50" s="5">
        <f t="shared" ref="B50:G50" si="14">B48+B49</f>
        <v>31383000</v>
      </c>
      <c r="C50" s="5">
        <f t="shared" si="14"/>
        <v>31383000</v>
      </c>
      <c r="D50" s="5">
        <f t="shared" si="14"/>
        <v>31383000</v>
      </c>
      <c r="E50" s="5">
        <f t="shared" si="14"/>
        <v>31383000</v>
      </c>
      <c r="F50" s="5">
        <f t="shared" si="14"/>
        <v>31383000</v>
      </c>
      <c r="G50" s="5">
        <f t="shared" si="14"/>
        <v>31383000</v>
      </c>
    </row>
    <row r="51" spans="1:7">
      <c r="A51" s="1"/>
      <c r="B51" s="2"/>
      <c r="C51" s="2"/>
      <c r="D51" s="2"/>
      <c r="E51" s="2"/>
      <c r="F51" s="2"/>
      <c r="G51" s="2"/>
    </row>
    <row r="52" spans="1:7" ht="16" thickBot="1">
      <c r="A52" s="12" t="s">
        <v>104</v>
      </c>
      <c r="B52" s="6">
        <f t="shared" ref="B52:G52" si="15">B46+B48</f>
        <v>390178675</v>
      </c>
      <c r="C52" s="6">
        <f t="shared" si="15"/>
        <v>323979097.48388976</v>
      </c>
      <c r="D52" s="6">
        <f t="shared" si="15"/>
        <v>301080921.13376456</v>
      </c>
      <c r="E52" s="6">
        <f t="shared" si="15"/>
        <v>277233489.73551691</v>
      </c>
      <c r="F52" s="6">
        <f t="shared" si="15"/>
        <v>263147805.87624443</v>
      </c>
      <c r="G52" s="6">
        <f t="shared" si="15"/>
        <v>269101030.78312224</v>
      </c>
    </row>
    <row r="53" spans="1:7" ht="16" thickTop="1">
      <c r="A53" s="7"/>
      <c r="B53" s="2"/>
      <c r="C53" s="2"/>
      <c r="D53" s="2"/>
      <c r="E53" s="2"/>
      <c r="F53" s="2"/>
      <c r="G53" s="2"/>
    </row>
    <row r="54" spans="1:7">
      <c r="A54" s="159" t="s">
        <v>105</v>
      </c>
      <c r="B54" s="159"/>
      <c r="C54" s="159"/>
      <c r="D54" s="159"/>
      <c r="E54" s="159"/>
      <c r="F54" s="159"/>
      <c r="G54" s="159"/>
    </row>
    <row r="55" spans="1:7">
      <c r="A55" s="1" t="s">
        <v>106</v>
      </c>
      <c r="C55" s="9">
        <f>C13</f>
        <v>42582025</v>
      </c>
      <c r="D55" s="9">
        <f>D13</f>
        <v>75073304.5</v>
      </c>
      <c r="E55" s="9">
        <f>E13</f>
        <v>130143665.18599996</v>
      </c>
      <c r="F55" s="9">
        <f>F13</f>
        <v>216748668.0118798</v>
      </c>
      <c r="G55" s="9">
        <f>G13</f>
        <v>353672312.67075521</v>
      </c>
    </row>
    <row r="56" spans="1:7" ht="16" thickBot="1">
      <c r="A56" s="1" t="s">
        <v>107</v>
      </c>
      <c r="C56" s="10">
        <f>C55*'1'!$AB$7</f>
        <v>14903708.749999998</v>
      </c>
      <c r="D56" s="10">
        <f>D55*'1'!$AB$7</f>
        <v>26275656.574999999</v>
      </c>
      <c r="E56" s="10">
        <f>E55*'1'!$AB$7</f>
        <v>45550282.815099984</v>
      </c>
      <c r="F56" s="10">
        <f>F55*'1'!$AB$7</f>
        <v>75862033.804157928</v>
      </c>
      <c r="G56" s="10">
        <f>G55*'1'!$AB$7</f>
        <v>123785309.43476431</v>
      </c>
    </row>
    <row r="57" spans="1:7" ht="16" thickTop="1">
      <c r="A57" s="4" t="s">
        <v>108</v>
      </c>
      <c r="C57" s="9">
        <f>C55-C56</f>
        <v>27678316.25</v>
      </c>
      <c r="D57" s="9">
        <f>D55-D56</f>
        <v>48797647.924999997</v>
      </c>
      <c r="E57" s="9">
        <f>E55-E56</f>
        <v>84593382.370899975</v>
      </c>
      <c r="F57" s="9">
        <f>F55-F56</f>
        <v>140886634.20772189</v>
      </c>
      <c r="G57" s="9">
        <f>G55-G56</f>
        <v>229887003.23599088</v>
      </c>
    </row>
    <row r="58" spans="1:7" ht="16" thickBot="1">
      <c r="A58" s="1" t="s">
        <v>109</v>
      </c>
      <c r="C58" s="10">
        <f>-(C52-B52)</f>
        <v>66199577.516110241</v>
      </c>
      <c r="D58" s="10">
        <f>-(D52-C52)</f>
        <v>22898176.350125194</v>
      </c>
      <c r="E58" s="10">
        <f>-(E52-D52)</f>
        <v>23847431.398247659</v>
      </c>
      <c r="F58" s="10">
        <f>-(F52-E52)</f>
        <v>14085683.85927248</v>
      </c>
      <c r="G58" s="10">
        <f>-(G52-F52)</f>
        <v>-5953224.9068778157</v>
      </c>
    </row>
    <row r="59" spans="1:7" ht="17" thickTop="1" thickBot="1">
      <c r="A59" s="57" t="s">
        <v>110</v>
      </c>
      <c r="B59" s="58"/>
      <c r="C59" s="59">
        <f>SUM(C57:C58)</f>
        <v>93877893.766110241</v>
      </c>
      <c r="D59" s="59">
        <f>SUM(D57:D58)</f>
        <v>71695824.275125191</v>
      </c>
      <c r="E59" s="59">
        <f>SUM(E57:E58)</f>
        <v>108440813.76914763</v>
      </c>
      <c r="F59" s="59">
        <f>SUM(F57:F58)</f>
        <v>154972318.06699437</v>
      </c>
      <c r="G59" s="59">
        <f>SUM(G57:G58)</f>
        <v>223933778.32911307</v>
      </c>
    </row>
    <row r="60" spans="1:7" ht="16" thickTop="1"/>
  </sheetData>
  <sheetProtection algorithmName="SHA-512" hashValue="TYHGZqyfeKPksQ+YyU56HAa+uc4V6QC8USGqZy1r1EQCOq1fg2lL/+R8R91CNJr1ktaR53KOgDtZE1jjCJMdxg==" saltValue="UO6NieQnziBRyJGZGrguBQ==" spinCount="100000" sheet="1" formatCells="0" formatColumns="0" formatRows="0"/>
  <mergeCells count="10">
    <mergeCell ref="A1:G1"/>
    <mergeCell ref="A2:G2"/>
    <mergeCell ref="A4:G4"/>
    <mergeCell ref="A41:G41"/>
    <mergeCell ref="A42:G42"/>
    <mergeCell ref="A54:G54"/>
    <mergeCell ref="A21:G21"/>
    <mergeCell ref="A28:G28"/>
    <mergeCell ref="A33:G33"/>
    <mergeCell ref="A19:G19"/>
  </mergeCells>
  <conditionalFormatting sqref="B22:G22">
    <cfRule type="cellIs" dxfId="9" priority="2" operator="lessThan">
      <formula>0</formula>
    </cfRule>
  </conditionalFormatting>
  <conditionalFormatting sqref="C17:G17">
    <cfRule type="cellIs" dxfId="8" priority="3" operator="lessThan">
      <formula>0</formula>
    </cfRule>
  </conditionalFormatting>
  <conditionalFormatting sqref="C59:G59">
    <cfRule type="cellIs" dxfId="7" priority="1" operator="lessThan">
      <formula>0</formula>
    </cfRule>
  </conditionalFormatting>
  <pageMargins left="0.7" right="0.7" top="0.75" bottom="0.75" header="0.3" footer="0.3"/>
  <drawing r:id="rId1"/>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B2:P66"/>
  <sheetViews>
    <sheetView showGridLines="0" topLeftCell="A2" zoomScale="93" zoomScaleNormal="80" workbookViewId="0">
      <selection activeCell="D7" sqref="D7"/>
    </sheetView>
  </sheetViews>
  <sheetFormatPr baseColWidth="10" defaultColWidth="11.5" defaultRowHeight="15"/>
  <cols>
    <col min="1" max="1" width="11.5" style="8"/>
    <col min="2" max="2" width="32.5" style="8" customWidth="1"/>
    <col min="3" max="3" width="24.5" style="8" bestFit="1" customWidth="1"/>
    <col min="4" max="4" width="36.5" style="8" bestFit="1" customWidth="1"/>
    <col min="5" max="5" width="27.1640625" style="8" bestFit="1" customWidth="1"/>
    <col min="6" max="6" width="26" style="8" customWidth="1"/>
    <col min="7" max="8" width="20.83203125" style="8" bestFit="1" customWidth="1"/>
    <col min="9" max="9" width="11.6640625" style="8" bestFit="1" customWidth="1"/>
    <col min="10" max="10" width="14" style="8" bestFit="1" customWidth="1"/>
    <col min="11" max="14" width="11.5" style="8"/>
    <col min="15" max="15" width="15.33203125" style="8" bestFit="1" customWidth="1"/>
    <col min="16" max="16" width="21.5" style="8" bestFit="1" customWidth="1"/>
    <col min="17" max="16384" width="11.5" style="8"/>
  </cols>
  <sheetData>
    <row r="2" spans="2:16" ht="38.25" customHeight="1">
      <c r="B2" s="148" t="s">
        <v>131</v>
      </c>
      <c r="C2" s="148"/>
      <c r="D2" s="148"/>
      <c r="E2" s="148"/>
      <c r="F2" s="148"/>
      <c r="G2" s="148"/>
      <c r="H2" s="148"/>
    </row>
    <row r="3" spans="2:16" ht="15.75" customHeight="1">
      <c r="B3" s="167" t="s">
        <v>157</v>
      </c>
      <c r="C3" s="167"/>
      <c r="D3" s="167"/>
      <c r="E3" s="168">
        <v>0.25</v>
      </c>
      <c r="F3" s="168"/>
    </row>
    <row r="4" spans="2:16" ht="16.5" customHeight="1">
      <c r="B4" s="167"/>
      <c r="C4" s="167"/>
      <c r="D4" s="167"/>
      <c r="E4" s="168"/>
      <c r="F4" s="168"/>
      <c r="O4" s="100"/>
    </row>
    <row r="5" spans="2:16" ht="16.5" customHeight="1">
      <c r="B5" s="165"/>
      <c r="C5" s="165"/>
      <c r="D5" s="165"/>
      <c r="E5" s="138"/>
      <c r="F5" s="138"/>
      <c r="O5" s="100"/>
    </row>
    <row r="6" spans="2:16" ht="16" thickBot="1">
      <c r="O6" s="100"/>
      <c r="P6" s="103"/>
    </row>
    <row r="7" spans="2:16" ht="22">
      <c r="B7" s="99" t="s">
        <v>111</v>
      </c>
      <c r="C7" s="83" t="s">
        <v>112</v>
      </c>
      <c r="D7" s="84">
        <f>'4'!C20</f>
        <v>2026</v>
      </c>
      <c r="E7" s="84">
        <f>'4'!D20</f>
        <v>2027</v>
      </c>
      <c r="F7" s="84">
        <f>'4'!E20</f>
        <v>2028</v>
      </c>
      <c r="G7" s="84">
        <f>'4'!F20</f>
        <v>2029</v>
      </c>
      <c r="H7" s="85">
        <f>'4'!G20</f>
        <v>2030</v>
      </c>
      <c r="O7" s="100"/>
      <c r="P7" s="102"/>
    </row>
    <row r="8" spans="2:16" ht="20" thickBot="1">
      <c r="B8" s="86"/>
      <c r="C8" s="108">
        <f>-'3'!D14</f>
        <v>-390178675</v>
      </c>
      <c r="D8" s="108">
        <f>'4'!C59</f>
        <v>93877893.766110241</v>
      </c>
      <c r="E8" s="108">
        <f>'4'!D59</f>
        <v>71695824.275125191</v>
      </c>
      <c r="F8" s="108">
        <f>'4'!E59</f>
        <v>108440813.76914763</v>
      </c>
      <c r="G8" s="108">
        <f>'4'!F59</f>
        <v>154972318.06699437</v>
      </c>
      <c r="H8" s="109">
        <f>'4'!G59</f>
        <v>223933778.32911307</v>
      </c>
      <c r="O8" s="100"/>
      <c r="P8" s="102"/>
    </row>
    <row r="9" spans="2:16" ht="16" thickBot="1">
      <c r="C9" s="71">
        <f>C8/(1+$E$3)^0</f>
        <v>-390178675</v>
      </c>
      <c r="D9" s="71">
        <f>D8/(1+$E$3)^1</f>
        <v>75102315.012888193</v>
      </c>
      <c r="E9" s="71">
        <f>E8/(1+$E$3)^2</f>
        <v>45885327.536080122</v>
      </c>
      <c r="F9" s="71">
        <f>F8/(1+$E$3)^3</f>
        <v>55521696.649803586</v>
      </c>
      <c r="G9" s="71">
        <f>G8/(1+$E$3)^4</f>
        <v>63476661.480240896</v>
      </c>
      <c r="H9" s="71">
        <f>H8/(1+$E$3)^5</f>
        <v>73378620.482883766</v>
      </c>
      <c r="O9" s="100"/>
      <c r="P9" s="102"/>
    </row>
    <row r="10" spans="2:16" ht="25" thickBot="1">
      <c r="B10" s="30" t="s">
        <v>113</v>
      </c>
      <c r="C10" s="31"/>
      <c r="D10" s="110">
        <f>NPV(E3,D8:H8)+$C$8</f>
        <v>-76814053.838103414</v>
      </c>
      <c r="O10" s="100"/>
      <c r="P10" s="102"/>
    </row>
    <row r="11" spans="2:16" ht="28" thickBot="1">
      <c r="B11" s="107" t="s">
        <v>114</v>
      </c>
      <c r="C11" s="31"/>
      <c r="D11" s="111">
        <f>IF(ISERROR(IRR(C8:H8)),"NO_APLICA",(IRR(C8:H8)))</f>
        <v>0.16527093466275011</v>
      </c>
      <c r="F11" s="104" t="s">
        <v>136</v>
      </c>
      <c r="G11" s="31"/>
      <c r="H11" s="105">
        <f>IF(ISERROR(-C9/AVERAGE(D9:H9)),"NO_APLICA",(-C9/AVERAGE(D9:H9)))</f>
        <v>6.2256337928846524</v>
      </c>
      <c r="I11" s="106" t="s">
        <v>63</v>
      </c>
      <c r="P11" s="101"/>
    </row>
    <row r="13" spans="2:16" ht="17">
      <c r="B13" s="169" t="s">
        <v>118</v>
      </c>
      <c r="C13" s="169"/>
      <c r="D13" s="169"/>
      <c r="E13" s="169"/>
      <c r="F13" s="169"/>
      <c r="G13" s="169"/>
      <c r="H13" s="169"/>
    </row>
    <row r="14" spans="2:16" ht="25">
      <c r="B14" s="87" t="str">
        <f>'1'!B2</f>
        <v>NOMBRE DEL PRODUCTO O SERVICIO</v>
      </c>
      <c r="C14" s="87" t="s">
        <v>119</v>
      </c>
      <c r="D14" s="87" t="s">
        <v>120</v>
      </c>
      <c r="E14" s="87" t="s">
        <v>121</v>
      </c>
      <c r="F14" s="87" t="s">
        <v>123</v>
      </c>
      <c r="H14" s="71"/>
      <c r="I14" s="71"/>
      <c r="J14" s="71" t="s">
        <v>127</v>
      </c>
    </row>
    <row r="15" spans="2:16">
      <c r="B15" s="92" t="str">
        <f>'1'!B3</f>
        <v>Emprendedor</v>
      </c>
      <c r="C15" s="88">
        <f>'1'!D3-'1'!D17</f>
        <v>400000</v>
      </c>
      <c r="D15" s="89">
        <f>'1'!F3</f>
        <v>2.9520295202952029E-2</v>
      </c>
      <c r="E15" s="88">
        <f>C15*D15</f>
        <v>11808.118081180812</v>
      </c>
      <c r="F15" s="90">
        <f t="shared" ref="F15:F24" si="0">$E$28*D15</f>
        <v>5.5742085435275612</v>
      </c>
      <c r="G15" s="38" t="s">
        <v>122</v>
      </c>
      <c r="H15" s="72">
        <f>'1'!D3</f>
        <v>600000</v>
      </c>
      <c r="I15" s="91">
        <f t="shared" ref="I15:I24" si="1">$B$35*D15</f>
        <v>11.148417087055122</v>
      </c>
      <c r="J15" s="72">
        <f>'1'!D17</f>
        <v>200000</v>
      </c>
    </row>
    <row r="16" spans="2:16">
      <c r="B16" s="92" t="str">
        <f>'1'!B4</f>
        <v>Empresarial 1</v>
      </c>
      <c r="C16" s="88">
        <f>'1'!D4-'1'!D18</f>
        <v>1000000</v>
      </c>
      <c r="D16" s="89">
        <f>'1'!F4</f>
        <v>9.2250922509225092E-2</v>
      </c>
      <c r="E16" s="88">
        <f t="shared" ref="E16:E24" si="2">C16*D16</f>
        <v>92250.922509225085</v>
      </c>
      <c r="F16" s="90">
        <f t="shared" si="0"/>
        <v>17.419401698523629</v>
      </c>
      <c r="G16" s="38" t="str">
        <f>G15</f>
        <v>UNIDADES</v>
      </c>
      <c r="H16" s="72">
        <f>'1'!D4</f>
        <v>1500000</v>
      </c>
      <c r="I16" s="91">
        <f t="shared" si="1"/>
        <v>34.838803397047258</v>
      </c>
      <c r="J16" s="72">
        <f>'1'!D18</f>
        <v>500000</v>
      </c>
    </row>
    <row r="17" spans="2:10">
      <c r="B17" s="92" t="str">
        <f>'1'!B5</f>
        <v>Empresarial 2</v>
      </c>
      <c r="C17" s="88">
        <f>'1'!D5-'1'!D19</f>
        <v>1500000</v>
      </c>
      <c r="D17" s="89">
        <f>'1'!F5</f>
        <v>0.12300123001230012</v>
      </c>
      <c r="E17" s="88">
        <f t="shared" si="2"/>
        <v>184501.84501845017</v>
      </c>
      <c r="F17" s="90">
        <f t="shared" si="0"/>
        <v>23.22586893136484</v>
      </c>
      <c r="G17" s="38" t="str">
        <f t="shared" ref="G17:G24" si="3">G16</f>
        <v>UNIDADES</v>
      </c>
      <c r="H17" s="72">
        <f>'1'!D5</f>
        <v>2000000</v>
      </c>
      <c r="I17" s="91">
        <f t="shared" si="1"/>
        <v>46.451737862729679</v>
      </c>
      <c r="J17" s="72">
        <f>'1'!D19</f>
        <v>500000</v>
      </c>
    </row>
    <row r="18" spans="2:10">
      <c r="B18" s="92" t="str">
        <f>'1'!B6</f>
        <v>Renta Persona Natural (PN)</v>
      </c>
      <c r="C18" s="88">
        <f>'1'!D6-'1'!D20</f>
        <v>500000</v>
      </c>
      <c r="D18" s="89">
        <f>'1'!F6</f>
        <v>2.9520295202952029E-2</v>
      </c>
      <c r="E18" s="88">
        <f t="shared" si="2"/>
        <v>14760.147601476014</v>
      </c>
      <c r="F18" s="90">
        <f t="shared" si="0"/>
        <v>5.5742085435275612</v>
      </c>
      <c r="G18" s="38" t="str">
        <f t="shared" si="3"/>
        <v>UNIDADES</v>
      </c>
      <c r="H18" s="72">
        <f>'1'!D6</f>
        <v>600000</v>
      </c>
      <c r="I18" s="91">
        <f t="shared" si="1"/>
        <v>11.148417087055122</v>
      </c>
      <c r="J18" s="72">
        <f>'1'!D20</f>
        <v>100000</v>
      </c>
    </row>
    <row r="19" spans="2:10">
      <c r="B19" s="92" t="str">
        <f>'1'!B7</f>
        <v>Renta Persona Jurídica (PJ)</v>
      </c>
      <c r="C19" s="88">
        <f>'1'!D7-'1'!D21</f>
        <v>1687500</v>
      </c>
      <c r="D19" s="89">
        <f>'1'!F7</f>
        <v>0.24600246002460024</v>
      </c>
      <c r="E19" s="88">
        <f t="shared" si="2"/>
        <v>415129.15129151288</v>
      </c>
      <c r="F19" s="90">
        <f t="shared" si="0"/>
        <v>46.451737862729679</v>
      </c>
      <c r="G19" s="38" t="str">
        <f t="shared" si="3"/>
        <v>UNIDADES</v>
      </c>
      <c r="H19" s="72">
        <f>'1'!D7</f>
        <v>2000000</v>
      </c>
      <c r="I19" s="91">
        <f t="shared" si="1"/>
        <v>92.903475725459359</v>
      </c>
      <c r="J19" s="72">
        <f>'1'!D21</f>
        <v>312500</v>
      </c>
    </row>
    <row r="20" spans="2:10">
      <c r="B20" s="92" t="str">
        <f>'1'!B8</f>
        <v>Exógena Nacional (PJ)</v>
      </c>
      <c r="C20" s="88">
        <f>'1'!D8-'1'!D22</f>
        <v>1687500</v>
      </c>
      <c r="D20" s="89">
        <f>'1'!F8</f>
        <v>0.24600246002460024</v>
      </c>
      <c r="E20" s="88">
        <f t="shared" si="2"/>
        <v>415129.15129151288</v>
      </c>
      <c r="F20" s="90">
        <f t="shared" si="0"/>
        <v>46.451737862729679</v>
      </c>
      <c r="G20" s="38" t="str">
        <f t="shared" si="3"/>
        <v>UNIDADES</v>
      </c>
      <c r="H20" s="72">
        <f>'1'!D8</f>
        <v>2000000</v>
      </c>
      <c r="I20" s="91">
        <f t="shared" si="1"/>
        <v>92.903475725459359</v>
      </c>
      <c r="J20" s="72">
        <f>'1'!D22</f>
        <v>312500</v>
      </c>
    </row>
    <row r="21" spans="2:10">
      <c r="B21" s="92" t="str">
        <f>'1'!B9</f>
        <v>Exógena Distrital (PJ)</v>
      </c>
      <c r="C21" s="88">
        <f>'1'!D9-'1'!D23</f>
        <v>687500</v>
      </c>
      <c r="D21" s="89">
        <f>'1'!F9</f>
        <v>0.12300123001230012</v>
      </c>
      <c r="E21" s="88">
        <f t="shared" si="2"/>
        <v>84563.345633456338</v>
      </c>
      <c r="F21" s="90">
        <f t="shared" si="0"/>
        <v>23.22586893136484</v>
      </c>
      <c r="G21" s="38" t="str">
        <f t="shared" si="3"/>
        <v>UNIDADES</v>
      </c>
      <c r="H21" s="72">
        <f>'1'!D9</f>
        <v>1000000</v>
      </c>
      <c r="I21" s="91">
        <f t="shared" si="1"/>
        <v>46.451737862729679</v>
      </c>
      <c r="J21" s="72">
        <f>'1'!D23</f>
        <v>312500</v>
      </c>
    </row>
    <row r="22" spans="2:10">
      <c r="B22" s="92" t="str">
        <f>'1'!B10</f>
        <v>Apoyo Implementación ERP Odoo</v>
      </c>
      <c r="C22" s="88">
        <f>'1'!D10-'1'!D24</f>
        <v>1000000</v>
      </c>
      <c r="D22" s="89">
        <f>'1'!F10</f>
        <v>0.11070110701107011</v>
      </c>
      <c r="E22" s="88">
        <f t="shared" si="2"/>
        <v>110701.10701107011</v>
      </c>
      <c r="F22" s="90">
        <f t="shared" si="0"/>
        <v>20.903282038228355</v>
      </c>
      <c r="G22" s="38" t="str">
        <f t="shared" si="3"/>
        <v>UNIDADES</v>
      </c>
      <c r="H22" s="72">
        <f>'1'!D10</f>
        <v>3000000</v>
      </c>
      <c r="I22" s="91">
        <f t="shared" si="1"/>
        <v>41.806564076456709</v>
      </c>
      <c r="J22" s="72">
        <f>'1'!D24</f>
        <v>2000000</v>
      </c>
    </row>
    <row r="23" spans="2:10">
      <c r="B23" s="92">
        <f>'1'!B11</f>
        <v>0</v>
      </c>
      <c r="C23" s="88">
        <f>'1'!D11-'1'!D25</f>
        <v>0</v>
      </c>
      <c r="D23" s="89">
        <f>'1'!F11</f>
        <v>0</v>
      </c>
      <c r="E23" s="88">
        <f t="shared" si="2"/>
        <v>0</v>
      </c>
      <c r="F23" s="90">
        <f t="shared" si="0"/>
        <v>0</v>
      </c>
      <c r="G23" s="38" t="str">
        <f t="shared" si="3"/>
        <v>UNIDADES</v>
      </c>
      <c r="H23" s="72">
        <f>'1'!D11</f>
        <v>0</v>
      </c>
      <c r="I23" s="91">
        <f t="shared" si="1"/>
        <v>0</v>
      </c>
      <c r="J23" s="72">
        <f>'1'!D25</f>
        <v>0</v>
      </c>
    </row>
    <row r="24" spans="2:10">
      <c r="B24" s="92">
        <f>'1'!B12</f>
        <v>0</v>
      </c>
      <c r="C24" s="88">
        <f>'1'!D12-'1'!D26</f>
        <v>0</v>
      </c>
      <c r="D24" s="89">
        <f>'1'!F12</f>
        <v>0</v>
      </c>
      <c r="E24" s="88">
        <f t="shared" si="2"/>
        <v>0</v>
      </c>
      <c r="F24" s="90">
        <f t="shared" si="0"/>
        <v>0</v>
      </c>
      <c r="G24" s="38" t="str">
        <f t="shared" si="3"/>
        <v>UNIDADES</v>
      </c>
      <c r="H24" s="72">
        <f>'1'!D12</f>
        <v>0</v>
      </c>
      <c r="I24" s="91">
        <f t="shared" si="1"/>
        <v>0</v>
      </c>
      <c r="J24" s="72">
        <f>'1'!D26</f>
        <v>0</v>
      </c>
    </row>
    <row r="25" spans="2:10" ht="26">
      <c r="C25" s="26"/>
      <c r="D25" s="93"/>
      <c r="E25" s="26"/>
      <c r="F25" s="94">
        <f>SUM(F15:F24)</f>
        <v>188.82631441199615</v>
      </c>
      <c r="G25" s="8" t="str">
        <f>G24</f>
        <v>UNIDADES</v>
      </c>
      <c r="H25" s="72"/>
      <c r="I25" s="91"/>
      <c r="J25" s="72"/>
    </row>
    <row r="26" spans="2:10" ht="12.75" customHeight="1">
      <c r="C26" s="26"/>
      <c r="D26" s="93"/>
      <c r="E26" s="26"/>
      <c r="F26" s="94"/>
      <c r="H26" s="72"/>
      <c r="I26" s="91"/>
      <c r="J26" s="72"/>
    </row>
    <row r="27" spans="2:10" ht="21" customHeight="1">
      <c r="B27" s="166" t="s">
        <v>130</v>
      </c>
      <c r="C27" s="166"/>
      <c r="D27" s="166"/>
      <c r="E27" s="95">
        <f>SUM(E15:E24)</f>
        <v>1328843.7884378841</v>
      </c>
      <c r="H27" s="71"/>
      <c r="I27" s="71"/>
      <c r="J27" s="71"/>
    </row>
    <row r="28" spans="2:10" ht="19.5" customHeight="1">
      <c r="B28" s="166" t="s">
        <v>129</v>
      </c>
      <c r="C28" s="166"/>
      <c r="D28" s="166"/>
      <c r="E28" s="94">
        <f>IF(E27=0,0,('2'!C23+'2'!F31+'2'!C25)/'5'!E27)</f>
        <v>188.82631441199615</v>
      </c>
      <c r="F28" s="96" t="s">
        <v>122</v>
      </c>
      <c r="H28" s="97"/>
    </row>
    <row r="29" spans="2:10" ht="26">
      <c r="B29" s="166" t="s">
        <v>151</v>
      </c>
      <c r="C29" s="166"/>
      <c r="D29" s="166"/>
      <c r="E29" s="95">
        <f>E49</f>
        <v>351012557.15971678</v>
      </c>
    </row>
    <row r="30" spans="2:10">
      <c r="B30" s="133"/>
      <c r="C30" s="133"/>
      <c r="D30" s="133"/>
      <c r="E30" s="133"/>
      <c r="F30" s="133"/>
      <c r="G30" s="133"/>
    </row>
    <row r="31" spans="2:10" s="71" customFormat="1"/>
    <row r="32" spans="2:10" s="71" customFormat="1">
      <c r="C32" s="71" t="s">
        <v>124</v>
      </c>
      <c r="D32" s="71" t="s">
        <v>125</v>
      </c>
      <c r="E32" s="71" t="s">
        <v>128</v>
      </c>
      <c r="F32" s="71" t="s">
        <v>126</v>
      </c>
    </row>
    <row r="33" spans="2:6" s="71" customFormat="1">
      <c r="B33" s="71">
        <v>0</v>
      </c>
      <c r="C33" s="72">
        <f>'2'!C25+'2'!F31+'2'!C23</f>
        <v>250920675</v>
      </c>
      <c r="D33" s="71">
        <f>0</f>
        <v>0</v>
      </c>
      <c r="E33" s="71">
        <v>0</v>
      </c>
      <c r="F33" s="72">
        <f>C33+E33</f>
        <v>250920675</v>
      </c>
    </row>
    <row r="34" spans="2:6" s="71" customFormat="1">
      <c r="B34" s="91">
        <f>F25</f>
        <v>188.82631441199615</v>
      </c>
      <c r="C34" s="72">
        <f>C33</f>
        <v>250920675</v>
      </c>
      <c r="D34" s="134">
        <f>SUMPRODUCT(F15:F24,H15:H24)</f>
        <v>351012557.15971678</v>
      </c>
      <c r="E34" s="134">
        <f>SUMPRODUCT(F15:F24,J15:J24)</f>
        <v>100091882.15971678</v>
      </c>
      <c r="F34" s="72">
        <f>C34+E34</f>
        <v>351012557.15971678</v>
      </c>
    </row>
    <row r="35" spans="2:6" s="71" customFormat="1">
      <c r="B35" s="91">
        <f>B34*2</f>
        <v>377.6526288239923</v>
      </c>
      <c r="C35" s="72">
        <f>C34</f>
        <v>250920675</v>
      </c>
      <c r="D35" s="134">
        <f>SUMPRODUCT(H15:H24,I15:I24)</f>
        <v>702025114.31943357</v>
      </c>
      <c r="E35" s="134">
        <f>SUMPRODUCT(I15:I24,J15:J24)</f>
        <v>200183764.31943357</v>
      </c>
      <c r="F35" s="72">
        <f>C35+E35</f>
        <v>451104439.31943357</v>
      </c>
    </row>
    <row r="36" spans="2:6" s="71" customFormat="1">
      <c r="C36" s="72"/>
    </row>
    <row r="37" spans="2:6" s="71" customFormat="1">
      <c r="C37" s="72"/>
    </row>
    <row r="38" spans="2:6" s="71" customFormat="1">
      <c r="C38" s="135" t="s">
        <v>149</v>
      </c>
      <c r="D38" s="71" t="s">
        <v>122</v>
      </c>
      <c r="E38" s="71" t="s">
        <v>150</v>
      </c>
    </row>
    <row r="39" spans="2:6" s="71" customFormat="1">
      <c r="B39" s="71">
        <v>1</v>
      </c>
      <c r="C39" s="72">
        <f>'1'!D3</f>
        <v>600000</v>
      </c>
      <c r="D39" s="91">
        <f>F15</f>
        <v>5.5742085435275612</v>
      </c>
      <c r="E39" s="71">
        <f>C39*D39</f>
        <v>3344525.1261165366</v>
      </c>
    </row>
    <row r="40" spans="2:6" s="71" customFormat="1">
      <c r="B40" s="71">
        <f>B39+1</f>
        <v>2</v>
      </c>
      <c r="C40" s="72">
        <f>'1'!D4</f>
        <v>1500000</v>
      </c>
      <c r="D40" s="91">
        <f t="shared" ref="D40:D48" si="4">F16</f>
        <v>17.419401698523629</v>
      </c>
      <c r="E40" s="71">
        <f t="shared" ref="E40:E48" si="5">C40*D40</f>
        <v>26129102.547785442</v>
      </c>
    </row>
    <row r="41" spans="2:6" s="71" customFormat="1">
      <c r="B41" s="71">
        <f t="shared" ref="B41:B48" si="6">B40+1</f>
        <v>3</v>
      </c>
      <c r="C41" s="72">
        <f>'1'!D5</f>
        <v>2000000</v>
      </c>
      <c r="D41" s="91">
        <f t="shared" si="4"/>
        <v>23.22586893136484</v>
      </c>
      <c r="E41" s="71">
        <f t="shared" si="5"/>
        <v>46451737.862729676</v>
      </c>
    </row>
    <row r="42" spans="2:6" s="71" customFormat="1">
      <c r="B42" s="71">
        <f t="shared" si="6"/>
        <v>4</v>
      </c>
      <c r="C42" s="72">
        <f>'1'!D6</f>
        <v>600000</v>
      </c>
      <c r="D42" s="91">
        <f t="shared" si="4"/>
        <v>5.5742085435275612</v>
      </c>
      <c r="E42" s="71">
        <f t="shared" si="5"/>
        <v>3344525.1261165366</v>
      </c>
    </row>
    <row r="43" spans="2:6" s="71" customFormat="1">
      <c r="B43" s="71">
        <f t="shared" si="6"/>
        <v>5</v>
      </c>
      <c r="C43" s="72">
        <f>'1'!D7</f>
        <v>2000000</v>
      </c>
      <c r="D43" s="91">
        <f t="shared" si="4"/>
        <v>46.451737862729679</v>
      </c>
      <c r="E43" s="71">
        <f t="shared" si="5"/>
        <v>92903475.725459352</v>
      </c>
    </row>
    <row r="44" spans="2:6" s="71" customFormat="1">
      <c r="B44" s="71">
        <f t="shared" si="6"/>
        <v>6</v>
      </c>
      <c r="C44" s="72">
        <f>'1'!D8</f>
        <v>2000000</v>
      </c>
      <c r="D44" s="91">
        <f t="shared" si="4"/>
        <v>46.451737862729679</v>
      </c>
      <c r="E44" s="71">
        <f t="shared" si="5"/>
        <v>92903475.725459352</v>
      </c>
    </row>
    <row r="45" spans="2:6" s="71" customFormat="1">
      <c r="B45" s="71">
        <f t="shared" si="6"/>
        <v>7</v>
      </c>
      <c r="C45" s="72">
        <f>'1'!D9</f>
        <v>1000000</v>
      </c>
      <c r="D45" s="91">
        <f t="shared" si="4"/>
        <v>23.22586893136484</v>
      </c>
      <c r="E45" s="71">
        <f t="shared" si="5"/>
        <v>23225868.931364838</v>
      </c>
    </row>
    <row r="46" spans="2:6" s="71" customFormat="1">
      <c r="B46" s="71">
        <f t="shared" si="6"/>
        <v>8</v>
      </c>
      <c r="C46" s="72">
        <f>'1'!D10</f>
        <v>3000000</v>
      </c>
      <c r="D46" s="91">
        <f t="shared" si="4"/>
        <v>20.903282038228355</v>
      </c>
      <c r="E46" s="71">
        <f t="shared" si="5"/>
        <v>62709846.114685066</v>
      </c>
    </row>
    <row r="47" spans="2:6" s="71" customFormat="1">
      <c r="B47" s="71">
        <f t="shared" si="6"/>
        <v>9</v>
      </c>
      <c r="C47" s="72">
        <f>'1'!D11</f>
        <v>0</v>
      </c>
      <c r="D47" s="91">
        <f t="shared" si="4"/>
        <v>0</v>
      </c>
      <c r="E47" s="71">
        <f t="shared" si="5"/>
        <v>0</v>
      </c>
    </row>
    <row r="48" spans="2:6" s="71" customFormat="1">
      <c r="B48" s="71">
        <f t="shared" si="6"/>
        <v>10</v>
      </c>
      <c r="C48" s="72">
        <f>'1'!D12</f>
        <v>0</v>
      </c>
      <c r="D48" s="91">
        <f t="shared" si="4"/>
        <v>0</v>
      </c>
      <c r="E48" s="71">
        <f t="shared" si="5"/>
        <v>0</v>
      </c>
    </row>
    <row r="49" spans="2:8" s="71" customFormat="1">
      <c r="C49" s="72"/>
      <c r="E49" s="136">
        <f>SUM(E39:E48)</f>
        <v>351012557.15971678</v>
      </c>
    </row>
    <row r="50" spans="2:8" s="71" customFormat="1"/>
    <row r="51" spans="2:8" s="71" customFormat="1">
      <c r="C51" s="72"/>
    </row>
    <row r="52" spans="2:8" s="71" customFormat="1">
      <c r="B52" s="164"/>
      <c r="C52" s="164"/>
      <c r="D52" s="164"/>
      <c r="G52" s="71" t="s">
        <v>152</v>
      </c>
      <c r="H52" s="137">
        <f>'4'!B32/'4'!B27</f>
        <v>0.87185358092673826</v>
      </c>
    </row>
    <row r="53" spans="2:8" s="71" customFormat="1">
      <c r="C53" s="72"/>
      <c r="G53" s="71" t="s">
        <v>153</v>
      </c>
      <c r="H53" s="137">
        <f>'4'!B36/'4'!B27</f>
        <v>0.12814641907326177</v>
      </c>
    </row>
    <row r="54" spans="2:8" s="71" customFormat="1">
      <c r="G54" s="71" t="s">
        <v>154</v>
      </c>
      <c r="H54" s="71">
        <f>'1'!AB7</f>
        <v>0.35</v>
      </c>
    </row>
    <row r="55" spans="2:8" s="71" customFormat="1">
      <c r="G55" s="71" t="s">
        <v>155</v>
      </c>
      <c r="H55" s="137">
        <f>'3'!F4</f>
        <v>0.18</v>
      </c>
    </row>
    <row r="56" spans="2:8" s="71" customFormat="1">
      <c r="G56" s="71" t="s">
        <v>156</v>
      </c>
    </row>
    <row r="57" spans="2:8" s="71" customFormat="1"/>
    <row r="58" spans="2:8" s="71" customFormat="1"/>
    <row r="59" spans="2:8" s="71" customFormat="1"/>
    <row r="60" spans="2:8" s="71" customFormat="1"/>
    <row r="61" spans="2:8" s="71" customFormat="1"/>
    <row r="62" spans="2:8">
      <c r="B62" s="133"/>
      <c r="C62" s="133"/>
      <c r="D62" s="133"/>
      <c r="E62" s="133"/>
      <c r="F62" s="133"/>
      <c r="G62" s="133"/>
    </row>
    <row r="63" spans="2:8">
      <c r="B63" s="133"/>
      <c r="C63" s="133"/>
      <c r="D63" s="133"/>
      <c r="E63" s="133"/>
      <c r="F63" s="133"/>
      <c r="G63" s="133"/>
    </row>
    <row r="64" spans="2:8">
      <c r="B64" s="133"/>
      <c r="C64" s="133"/>
      <c r="D64" s="133"/>
      <c r="E64" s="133"/>
      <c r="F64" s="133"/>
      <c r="G64" s="133"/>
    </row>
    <row r="65" spans="2:7">
      <c r="B65" s="133"/>
      <c r="C65" s="133"/>
      <c r="D65" s="133"/>
      <c r="E65" s="133"/>
      <c r="F65" s="133"/>
      <c r="G65" s="133"/>
    </row>
    <row r="66" spans="2:7">
      <c r="B66" s="133"/>
      <c r="C66" s="133"/>
      <c r="D66" s="133"/>
      <c r="E66" s="133"/>
      <c r="F66" s="133"/>
      <c r="G66" s="133"/>
    </row>
  </sheetData>
  <sheetProtection algorithmName="SHA-512" hashValue="moE6vkfzJ2/plS6QaAdzkQxb14QdB460QBAc3HmrFG0ryFmW05kTv+aMYJ1d6g/Yc3JKYjmDdomYwTZ9tQpztw==" saltValue="SIKXKXO1TjOxERs8DMAPeg==" spinCount="100000" sheet="1" formatCells="0" formatColumns="0" formatRows="0"/>
  <mergeCells count="10">
    <mergeCell ref="B2:F2"/>
    <mergeCell ref="G2:H2"/>
    <mergeCell ref="B3:D4"/>
    <mergeCell ref="E3:F4"/>
    <mergeCell ref="B13:H13"/>
    <mergeCell ref="B52:D52"/>
    <mergeCell ref="B5:D5"/>
    <mergeCell ref="B29:D29"/>
    <mergeCell ref="B27:D27"/>
    <mergeCell ref="B28:D28"/>
  </mergeCells>
  <conditionalFormatting sqref="D10:D11">
    <cfRule type="cellIs" dxfId="6" priority="4" operator="lessThan">
      <formula>0</formula>
    </cfRule>
  </conditionalFormatting>
  <conditionalFormatting sqref="D11">
    <cfRule type="containsText" dxfId="5" priority="2" operator="containsText" text="NO_APLICA">
      <formula>NOT(ISERROR(SEARCH("NO_APLICA",D11)))</formula>
    </cfRule>
    <cfRule type="cellIs" dxfId="4" priority="6" operator="equal">
      <formula>$E$3</formula>
    </cfRule>
    <cfRule type="cellIs" dxfId="3" priority="7" operator="greaterThan">
      <formula>$E$3</formula>
    </cfRule>
    <cfRule type="cellIs" dxfId="2" priority="8" operator="lessThan">
      <formula>$E$3</formula>
    </cfRule>
  </conditionalFormatting>
  <conditionalFormatting sqref="H11">
    <cfRule type="containsText" dxfId="1" priority="1" operator="containsText" text="NO_APLICA">
      <formula>NOT(ISERROR(SEARCH("NO_APLICA",H11)))</formula>
    </cfRule>
    <cfRule type="cellIs" dxfId="0" priority="3" operator="lessThan">
      <formula>0</formula>
    </cfRule>
  </conditionalFormatting>
  <pageMargins left="0.7" right="0.7" top="0.75" bottom="0.75" header="0.3" footer="0.3"/>
  <pageSetup orientation="portrait" r:id="rId1"/>
  <drawing r:id="rId2"/>
  <legacyDrawing r:id="rId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lcf76f155ced4ddcb4097134ff3c332f xmlns="faea0560-57f8-4e67-affd-11eeb8a3a5ff">
      <Terms xmlns="http://schemas.microsoft.com/office/infopath/2007/PartnerControls"/>
    </lcf76f155ced4ddcb4097134ff3c332f>
    <TaxCatchAll xmlns="944d15c3-0d39-4686-8cd1-b2b4f2848351" xsi:nil="true"/>
  </documentManagement>
</p:properties>
</file>

<file path=customXml/item3.xml><?xml version="1.0" encoding="utf-8"?>
<ct:contentTypeSchema xmlns:ct="http://schemas.microsoft.com/office/2006/metadata/contentType" xmlns:ma="http://schemas.microsoft.com/office/2006/metadata/properties/metaAttributes" ct:_="" ma:_="" ma:contentTypeName="Documento" ma:contentTypeID="0x010100C98EB4D23B81064EAD85894B9539C304" ma:contentTypeVersion="16" ma:contentTypeDescription="Crear nuevo documento." ma:contentTypeScope="" ma:versionID="a944bc5d6d51d2758cafc83e95224e98">
  <xsd:schema xmlns:xsd="http://www.w3.org/2001/XMLSchema" xmlns:xs="http://www.w3.org/2001/XMLSchema" xmlns:p="http://schemas.microsoft.com/office/2006/metadata/properties" xmlns:ns2="944d15c3-0d39-4686-8cd1-b2b4f2848351" xmlns:ns3="faea0560-57f8-4e67-affd-11eeb8a3a5ff" targetNamespace="http://schemas.microsoft.com/office/2006/metadata/properties" ma:root="true" ma:fieldsID="332d056ef5c266a940ae0bcbe4189ed2" ns2:_="" ns3:_="">
    <xsd:import namespace="944d15c3-0d39-4686-8cd1-b2b4f2848351"/>
    <xsd:import namespace="faea0560-57f8-4e67-affd-11eeb8a3a5ff"/>
    <xsd:element name="properties">
      <xsd:complexType>
        <xsd:sequence>
          <xsd:element name="documentManagement">
            <xsd:complexType>
              <xsd:all>
                <xsd:element ref="ns2:SharedWithUsers" minOccurs="0"/>
                <xsd:element ref="ns2:SharedWithDetails" minOccurs="0"/>
                <xsd:element ref="ns3:MediaServiceMetadata" minOccurs="0"/>
                <xsd:element ref="ns3:MediaServiceFastMetadata" minOccurs="0"/>
                <xsd:element ref="ns3:MediaServiceAutoTags" minOccurs="0"/>
                <xsd:element ref="ns3:MediaServiceGenerationTime" minOccurs="0"/>
                <xsd:element ref="ns3:MediaServiceEventHashCode" minOccurs="0"/>
                <xsd:element ref="ns3:MediaServiceDateTaken" minOccurs="0"/>
                <xsd:element ref="ns3:MediaServiceOCR" minOccurs="0"/>
                <xsd:element ref="ns3:MediaServiceAutoKeyPoints" minOccurs="0"/>
                <xsd:element ref="ns3:MediaServiceKeyPoints" minOccurs="0"/>
                <xsd:element ref="ns3:MediaServiceLocation" minOccurs="0"/>
                <xsd:element ref="ns3:MediaLengthInSeconds" minOccurs="0"/>
                <xsd:element ref="ns3:lcf76f155ced4ddcb4097134ff3c332f" minOccurs="0"/>
                <xsd:element ref="ns2:TaxCatchAll"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944d15c3-0d39-4686-8cd1-b2b4f2848351" elementFormDefault="qualified">
    <xsd:import namespace="http://schemas.microsoft.com/office/2006/documentManagement/types"/>
    <xsd:import namespace="http://schemas.microsoft.com/office/infopath/2007/PartnerControls"/>
    <xsd:element name="SharedWithUsers" ma:index="8" nillable="true" ma:displayName="Compartid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Detalles de uso compartido" ma:internalName="SharedWithDetails" ma:readOnly="true">
      <xsd:simpleType>
        <xsd:restriction base="dms:Note">
          <xsd:maxLength value="255"/>
        </xsd:restriction>
      </xsd:simpleType>
    </xsd:element>
    <xsd:element name="TaxCatchAll" ma:index="23" nillable="true" ma:displayName="Taxonomy Catch All Column" ma:hidden="true" ma:list="{5b04f8d1-4efb-4553-a1ee-4016253cbe20}" ma:internalName="TaxCatchAll" ma:showField="CatchAllData" ma:web="944d15c3-0d39-4686-8cd1-b2b4f2848351">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faea0560-57f8-4e67-affd-11eeb8a3a5ff" elementFormDefault="qualified">
    <xsd:import namespace="http://schemas.microsoft.com/office/2006/documentManagement/types"/>
    <xsd:import namespace="http://schemas.microsoft.com/office/infopath/2007/PartnerControls"/>
    <xsd:element name="MediaServiceMetadata" ma:index="10" nillable="true" ma:displayName="MediaServiceMetadata" ma:hidden="true" ma:internalName="MediaServiceMetadata" ma:readOnly="true">
      <xsd:simpleType>
        <xsd:restriction base="dms:Note"/>
      </xsd:simpleType>
    </xsd:element>
    <xsd:element name="MediaServiceFastMetadata" ma:index="11" nillable="true" ma:displayName="MediaServiceFastMetadata" ma:hidden="true" ma:internalName="MediaServiceFastMetadata" ma:readOnly="true">
      <xsd:simpleType>
        <xsd:restriction base="dms:Note"/>
      </xsd:simpleType>
    </xsd:element>
    <xsd:element name="MediaServiceAutoTags" ma:index="12" nillable="true" ma:displayName="Tags" ma:internalName="MediaServiceAutoTags" ma:readOnly="true">
      <xsd:simpleType>
        <xsd:restriction base="dms:Text"/>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ServiceDateTaken" ma:index="15" nillable="true" ma:displayName="MediaServiceDateTaken" ma:hidden="true" ma:internalName="MediaServiceDateTaken"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element name="MediaServiceAutoKeyPoints" ma:index="17" nillable="true" ma:displayName="MediaServiceAutoKeyPoints" ma:hidden="true" ma:internalName="MediaServiceAutoKeyPoints" ma:readOnly="true">
      <xsd:simpleType>
        <xsd:restriction base="dms:Note"/>
      </xsd:simpleType>
    </xsd:element>
    <xsd:element name="MediaServiceKeyPoints" ma:index="18" nillable="true" ma:displayName="KeyPoints" ma:internalName="MediaServiceKeyPoints" ma:readOnly="true">
      <xsd:simpleType>
        <xsd:restriction base="dms:Note">
          <xsd:maxLength value="255"/>
        </xsd:restriction>
      </xsd:simpleType>
    </xsd:element>
    <xsd:element name="MediaServiceLocation" ma:index="19" nillable="true" ma:displayName="Location" ma:internalName="MediaServiceLocation" ma:readOnly="true">
      <xsd:simpleType>
        <xsd:restriction base="dms:Text"/>
      </xsd:simpleType>
    </xsd:element>
    <xsd:element name="MediaLengthInSeconds" ma:index="20" nillable="true" ma:displayName="Length (seconds)" ma:internalName="MediaLengthInSeconds" ma:readOnly="true">
      <xsd:simpleType>
        <xsd:restriction base="dms:Unknown"/>
      </xsd:simpleType>
    </xsd:element>
    <xsd:element name="lcf76f155ced4ddcb4097134ff3c332f" ma:index="22" nillable="true" ma:taxonomy="true" ma:internalName="lcf76f155ced4ddcb4097134ff3c332f" ma:taxonomyFieldName="MediaServiceImageTags" ma:displayName="Etiquetas de imagen" ma:readOnly="false" ma:fieldId="{5cf76f15-5ced-4ddc-b409-7134ff3c332f}" ma:taxonomyMulti="true" ma:sspId="d57cae01-22d1-4383-a0bf-52a8c550124d" ma:termSetId="09814cd3-568e-fe90-9814-8d621ff8fb84" ma:anchorId="fba54fb3-c3e1-fe81-a776-ca4b69148c4d" ma:open="true" ma:isKeyword="false">
      <xsd:complexType>
        <xsd:sequence>
          <xsd:element ref="pc:Terms" minOccurs="0" maxOccurs="1"/>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E3F79531-CEC7-4F54-A318-A71EEF1ED699}">
  <ds:schemaRefs>
    <ds:schemaRef ds:uri="http://schemas.microsoft.com/sharepoint/v3/contenttype/forms"/>
  </ds:schemaRefs>
</ds:datastoreItem>
</file>

<file path=customXml/itemProps2.xml><?xml version="1.0" encoding="utf-8"?>
<ds:datastoreItem xmlns:ds="http://schemas.openxmlformats.org/officeDocument/2006/customXml" ds:itemID="{423A8E22-FC22-4483-B8D3-F8A048E274A2}">
  <ds:schemaRefs>
    <ds:schemaRef ds:uri="http://schemas.microsoft.com/office/2006/metadata/properties"/>
    <ds:schemaRef ds:uri="http://schemas.microsoft.com/office/infopath/2007/PartnerControls"/>
    <ds:schemaRef ds:uri="faea0560-57f8-4e67-affd-11eeb8a3a5ff"/>
    <ds:schemaRef ds:uri="944d15c3-0d39-4686-8cd1-b2b4f2848351"/>
  </ds:schemaRefs>
</ds:datastoreItem>
</file>

<file path=customXml/itemProps3.xml><?xml version="1.0" encoding="utf-8"?>
<ds:datastoreItem xmlns:ds="http://schemas.openxmlformats.org/officeDocument/2006/customXml" ds:itemID="{1D8774E8-A7D7-478E-A609-928BDEF2BB65}">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944d15c3-0d39-4686-8cd1-b2b4f2848351"/>
    <ds:schemaRef ds:uri="faea0560-57f8-4e67-affd-11eeb8a3a5ff"/>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4" baseType="variant">
      <vt:variant>
        <vt:lpstr>Hojas de cálculo</vt:lpstr>
      </vt:variant>
      <vt:variant>
        <vt:i4>6</vt:i4>
      </vt:variant>
      <vt:variant>
        <vt:lpstr>Rangos con nombre</vt:lpstr>
      </vt:variant>
      <vt:variant>
        <vt:i4>1</vt:i4>
      </vt:variant>
    </vt:vector>
  </HeadingPairs>
  <TitlesOfParts>
    <vt:vector size="7" baseType="lpstr">
      <vt:lpstr>Menú</vt:lpstr>
      <vt:lpstr>1</vt:lpstr>
      <vt:lpstr>2</vt:lpstr>
      <vt:lpstr>3</vt:lpstr>
      <vt:lpstr>4</vt:lpstr>
      <vt:lpstr>5</vt:lpstr>
      <vt:lpstr>Menú!Área_de_impresión</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DARIO MAURICIO REYES GIRALDO</dc:creator>
  <cp:lastModifiedBy>july paola hernandez</cp:lastModifiedBy>
  <dcterms:created xsi:type="dcterms:W3CDTF">2013-07-30T17:19:59Z</dcterms:created>
  <dcterms:modified xsi:type="dcterms:W3CDTF">2025-09-08T05:22:06Z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0x010100C98EB4D23B81064EAD85894B9539C304</vt:lpwstr>
  </property>
</Properties>
</file>