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inal_Agosto_2025\Final_20072025\Final_20072025\"/>
    </mc:Choice>
  </mc:AlternateContent>
  <xr:revisionPtr revIDLastSave="0" documentId="13_ncr:1_{32AD1E4E-695F-433A-A382-650841E6086D}" xr6:coauthVersionLast="47" xr6:coauthVersionMax="47" xr10:uidLastSave="{00000000-0000-0000-0000-000000000000}"/>
  <bookViews>
    <workbookView xWindow="-108" yWindow="-108" windowWidth="23256" windowHeight="12456" tabRatio="724" firstSheet="1" activeTab="4" xr2:uid="{3B4939C2-7E23-4C55-8917-AEFA4B07A26B}"/>
  </bookViews>
  <sheets>
    <sheet name="Calculos de cosecha" sheetId="1" r:id="rId1"/>
    <sheet name="Calculo de Solidos" sheetId="2" r:id="rId2"/>
    <sheet name="Costos Biodigestor" sheetId="3" r:id="rId3"/>
    <sheet name="Calculo de Digestato" sheetId="4" r:id="rId4"/>
    <sheet name="Variables-Indicadores" sheetId="10" r:id="rId5"/>
    <sheet name="Gas-Electricidad" sheetId="6" r:id="rId6"/>
    <sheet name="Analisis Financiero" sheetId="7" r:id="rId7"/>
    <sheet name="Analisis Financiero Estado-Base" sheetId="8" r:id="rId8"/>
    <sheet name="Analisis Financiero Estado opt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9" l="1"/>
  <c r="C12" i="9"/>
  <c r="D12" i="9" s="1"/>
  <c r="E12" i="9" s="1"/>
  <c r="F12" i="9" s="1"/>
  <c r="G12" i="9" s="1"/>
  <c r="H12" i="9" s="1"/>
  <c r="I12" i="9" s="1"/>
  <c r="J12" i="9" s="1"/>
  <c r="K12" i="9" s="1"/>
  <c r="L12" i="9" s="1"/>
  <c r="D11" i="9"/>
  <c r="D13" i="9" s="1"/>
  <c r="C11" i="9"/>
  <c r="C9" i="9"/>
  <c r="C15" i="9" s="1"/>
  <c r="D8" i="9"/>
  <c r="E8" i="9" s="1"/>
  <c r="F8" i="9" s="1"/>
  <c r="G8" i="9" s="1"/>
  <c r="H8" i="9" s="1"/>
  <c r="I8" i="9" s="1"/>
  <c r="J8" i="9" s="1"/>
  <c r="K8" i="9" s="1"/>
  <c r="L8" i="9" s="1"/>
  <c r="C8" i="9"/>
  <c r="C7" i="9"/>
  <c r="D7" i="9" s="1"/>
  <c r="D4" i="9"/>
  <c r="C3" i="9"/>
  <c r="C2" i="9"/>
  <c r="C5" i="9" s="1"/>
  <c r="D4" i="8"/>
  <c r="C21" i="7"/>
  <c r="C5" i="8"/>
  <c r="C12" i="8"/>
  <c r="D12" i="8" s="1"/>
  <c r="E12" i="8" s="1"/>
  <c r="F12" i="8" s="1"/>
  <c r="G12" i="8" s="1"/>
  <c r="H12" i="8" s="1"/>
  <c r="I12" i="8" s="1"/>
  <c r="J12" i="8" s="1"/>
  <c r="K12" i="8" s="1"/>
  <c r="L12" i="8" s="1"/>
  <c r="C11" i="8"/>
  <c r="D11" i="8" s="1"/>
  <c r="C8" i="8"/>
  <c r="D8" i="8" s="1"/>
  <c r="E8" i="8" s="1"/>
  <c r="F8" i="8" s="1"/>
  <c r="G8" i="8" s="1"/>
  <c r="H8" i="8" s="1"/>
  <c r="I8" i="8" s="1"/>
  <c r="J8" i="8" s="1"/>
  <c r="K8" i="8" s="1"/>
  <c r="L8" i="8" s="1"/>
  <c r="C7" i="8"/>
  <c r="C9" i="8" s="1"/>
  <c r="C3" i="8"/>
  <c r="C2" i="8"/>
  <c r="C17" i="7"/>
  <c r="B12" i="7"/>
  <c r="C11" i="7"/>
  <c r="D11" i="7" s="1"/>
  <c r="E11" i="7" s="1"/>
  <c r="F11" i="7" s="1"/>
  <c r="G11" i="7" s="1"/>
  <c r="H11" i="7" s="1"/>
  <c r="I11" i="7" s="1"/>
  <c r="J11" i="7" s="1"/>
  <c r="K11" i="7" s="1"/>
  <c r="L11" i="7" s="1"/>
  <c r="B15" i="6"/>
  <c r="B21" i="6"/>
  <c r="B23" i="6" s="1"/>
  <c r="C7" i="7" s="1"/>
  <c r="D7" i="7" s="1"/>
  <c r="E7" i="7" s="1"/>
  <c r="F7" i="7" s="1"/>
  <c r="G7" i="7" s="1"/>
  <c r="H7" i="7" s="1"/>
  <c r="I7" i="7" s="1"/>
  <c r="J7" i="7" s="1"/>
  <c r="K7" i="7" s="1"/>
  <c r="L7" i="7" s="1"/>
  <c r="C6" i="7"/>
  <c r="D6" i="7" s="1"/>
  <c r="E6" i="7" s="1"/>
  <c r="F6" i="7" s="1"/>
  <c r="G6" i="7" s="1"/>
  <c r="H6" i="7" s="1"/>
  <c r="I6" i="7" s="1"/>
  <c r="J6" i="7" s="1"/>
  <c r="K6" i="7" s="1"/>
  <c r="L6" i="7" s="1"/>
  <c r="C2" i="7"/>
  <c r="C7" i="6"/>
  <c r="B7" i="6"/>
  <c r="C3" i="7" s="1"/>
  <c r="B5" i="4"/>
  <c r="B4" i="4"/>
  <c r="B17" i="3"/>
  <c r="C10" i="7" s="1"/>
  <c r="D10" i="7" s="1"/>
  <c r="B9" i="3"/>
  <c r="C25" i="2"/>
  <c r="C24" i="2"/>
  <c r="B14" i="1"/>
  <c r="C11" i="2"/>
  <c r="C13" i="2" s="1"/>
  <c r="C16" i="2" s="1"/>
  <c r="C12" i="2"/>
  <c r="C14" i="2" s="1"/>
  <c r="C17" i="2" s="1"/>
  <c r="B16" i="1"/>
  <c r="B5" i="1"/>
  <c r="B6" i="1" s="1"/>
  <c r="B8" i="1" s="1"/>
  <c r="B9" i="1" s="1"/>
  <c r="B11" i="1" s="1"/>
  <c r="B13" i="9" l="1"/>
  <c r="E7" i="9"/>
  <c r="D9" i="9"/>
  <c r="D15" i="9" s="1"/>
  <c r="E11" i="9"/>
  <c r="C15" i="8"/>
  <c r="C13" i="8"/>
  <c r="B13" i="8"/>
  <c r="E11" i="8"/>
  <c r="D13" i="8"/>
  <c r="D7" i="8"/>
  <c r="D12" i="7"/>
  <c r="E10" i="7"/>
  <c r="F10" i="7" s="1"/>
  <c r="G10" i="7" s="1"/>
  <c r="H10" i="7" s="1"/>
  <c r="I10" i="7" s="1"/>
  <c r="J10" i="7" s="1"/>
  <c r="K10" i="7" s="1"/>
  <c r="L10" i="7" s="1"/>
  <c r="D8" i="7"/>
  <c r="E8" i="7"/>
  <c r="C12" i="7"/>
  <c r="C8" i="7"/>
  <c r="C14" i="7" s="1"/>
  <c r="C4" i="7"/>
  <c r="C18" i="2"/>
  <c r="C20" i="2" s="1"/>
  <c r="C21" i="2" s="1"/>
  <c r="C15" i="2"/>
  <c r="E9" i="9" l="1"/>
  <c r="F7" i="9"/>
  <c r="F11" i="9"/>
  <c r="E13" i="9"/>
  <c r="D9" i="8"/>
  <c r="D15" i="8" s="1"/>
  <c r="E7" i="8"/>
  <c r="F11" i="8"/>
  <c r="E13" i="8"/>
  <c r="D14" i="7"/>
  <c r="E12" i="7"/>
  <c r="E14" i="7" s="1"/>
  <c r="F8" i="7"/>
  <c r="G11" i="9" l="1"/>
  <c r="F13" i="9"/>
  <c r="F9" i="9"/>
  <c r="F15" i="9" s="1"/>
  <c r="G7" i="9"/>
  <c r="E15" i="9"/>
  <c r="G11" i="8"/>
  <c r="F13" i="8"/>
  <c r="E9" i="8"/>
  <c r="E15" i="8" s="1"/>
  <c r="F7" i="8"/>
  <c r="F12" i="7"/>
  <c r="F14" i="7" s="1"/>
  <c r="G8" i="7"/>
  <c r="G9" i="9" l="1"/>
  <c r="H7" i="9"/>
  <c r="H11" i="9"/>
  <c r="G13" i="9"/>
  <c r="F9" i="8"/>
  <c r="F15" i="8" s="1"/>
  <c r="G7" i="8"/>
  <c r="H11" i="8"/>
  <c r="G13" i="8"/>
  <c r="G12" i="7"/>
  <c r="G14" i="7" s="1"/>
  <c r="H8" i="7"/>
  <c r="H9" i="9" l="1"/>
  <c r="I7" i="9"/>
  <c r="I11" i="9"/>
  <c r="H13" i="9"/>
  <c r="G15" i="9"/>
  <c r="H13" i="8"/>
  <c r="I11" i="8"/>
  <c r="H7" i="8"/>
  <c r="G9" i="8"/>
  <c r="G15" i="8" s="1"/>
  <c r="H12" i="7"/>
  <c r="H14" i="7" s="1"/>
  <c r="I8" i="7"/>
  <c r="J11" i="9" l="1"/>
  <c r="I13" i="9"/>
  <c r="I9" i="9"/>
  <c r="I15" i="9" s="1"/>
  <c r="J7" i="9"/>
  <c r="H15" i="9"/>
  <c r="I13" i="8"/>
  <c r="J11" i="8"/>
  <c r="I7" i="8"/>
  <c r="H9" i="8"/>
  <c r="H15" i="8" s="1"/>
  <c r="I12" i="7"/>
  <c r="I14" i="7" s="1"/>
  <c r="J8" i="7"/>
  <c r="K11" i="9" l="1"/>
  <c r="J13" i="9"/>
  <c r="K7" i="9"/>
  <c r="J9" i="9"/>
  <c r="J15" i="9" s="1"/>
  <c r="J7" i="8"/>
  <c r="I9" i="8"/>
  <c r="I15" i="8" s="1"/>
  <c r="J13" i="8"/>
  <c r="K11" i="8"/>
  <c r="J12" i="7"/>
  <c r="J14" i="7" s="1"/>
  <c r="L8" i="7"/>
  <c r="K8" i="7"/>
  <c r="L7" i="9" l="1"/>
  <c r="L9" i="9" s="1"/>
  <c r="K9" i="9"/>
  <c r="K13" i="9"/>
  <c r="L11" i="9"/>
  <c r="L13" i="9" s="1"/>
  <c r="C18" i="9" s="1"/>
  <c r="K13" i="8"/>
  <c r="L11" i="8"/>
  <c r="L13" i="8" s="1"/>
  <c r="K7" i="8"/>
  <c r="J9" i="8"/>
  <c r="J15" i="8" s="1"/>
  <c r="L12" i="7"/>
  <c r="L14" i="7" s="1"/>
  <c r="K12" i="7"/>
  <c r="K14" i="7" s="1"/>
  <c r="K15" i="9" l="1"/>
  <c r="L15" i="9"/>
  <c r="L7" i="8"/>
  <c r="L9" i="8" s="1"/>
  <c r="L15" i="8" s="1"/>
  <c r="K9" i="8"/>
  <c r="K15" i="8" s="1"/>
  <c r="C18" i="8"/>
  <c r="C19" i="7"/>
  <c r="C16" i="7"/>
  <c r="C18" i="7"/>
  <c r="C20" i="9" l="1"/>
  <c r="C19" i="9"/>
  <c r="C17" i="9"/>
  <c r="C19" i="8"/>
  <c r="C17" i="8"/>
  <c r="C20" i="8"/>
</calcChain>
</file>

<file path=xl/sharedStrings.xml><?xml version="1.0" encoding="utf-8"?>
<sst xmlns="http://schemas.openxmlformats.org/spreadsheetml/2006/main" count="307" uniqueCount="217">
  <si>
    <t>Promedio anual</t>
  </si>
  <si>
    <t>(ICA, 2023)</t>
  </si>
  <si>
    <t>Peso promedio Coco Tumaco</t>
  </si>
  <si>
    <t>Cantidad en Kg / peso de coco unitario</t>
  </si>
  <si>
    <t>Cocos al año Ha</t>
  </si>
  <si>
    <t>Cocos cada ciclo de 52 días Ha</t>
  </si>
  <si>
    <t>Cocos al año Ha / 7 ciclos de cosecha al año</t>
  </si>
  <si>
    <t>Cantidad de palmas por Ha</t>
  </si>
  <si>
    <t>Cantidad de cocos por palma por Ha</t>
  </si>
  <si>
    <t>Cocos cada ciclo / Palmas por Ha</t>
  </si>
  <si>
    <t>Encuesta para Productores de Coco en Tumaco - Agrosvia y Universidad EAN 2024</t>
  </si>
  <si>
    <t>Cocos por Ha por ciclo de coseha</t>
  </si>
  <si>
    <t>Peso promedio Coco Tumaco pelado</t>
  </si>
  <si>
    <t>Cocos por Ha * Promedio de cocos por palma</t>
  </si>
  <si>
    <t>(Estacio &amp; Cárdenas, 2024)</t>
  </si>
  <si>
    <t>Residuo organico Mesocarpio</t>
  </si>
  <si>
    <t xml:space="preserve">Residuo organico Endocarpio </t>
  </si>
  <si>
    <t>Peso coco peledo por Ha</t>
  </si>
  <si>
    <t>Descripción</t>
  </si>
  <si>
    <t>Cantidad</t>
  </si>
  <si>
    <t>Explicación</t>
  </si>
  <si>
    <t>Fuente</t>
  </si>
  <si>
    <t>UM</t>
  </si>
  <si>
    <t>No aplica</t>
  </si>
  <si>
    <t>Kg</t>
  </si>
  <si>
    <t>Kg/ha</t>
  </si>
  <si>
    <t>t/ha</t>
  </si>
  <si>
    <t xml:space="preserve">(ESCE, 2019) </t>
  </si>
  <si>
    <t>Cantidad de ha seis consejos comunitarios</t>
  </si>
  <si>
    <t>Ha</t>
  </si>
  <si>
    <t>Total de residuo organico consejos comunitarios</t>
  </si>
  <si>
    <t>Total de residuo organico concha y estopa por Ha por ciclo</t>
  </si>
  <si>
    <t xml:space="preserve">Precio por docena de Coco pelado promedio </t>
  </si>
  <si>
    <t>COP</t>
  </si>
  <si>
    <t>Sólidos Totales (ST) (%)</t>
  </si>
  <si>
    <t>Sólidos Volátiles (SV % ST)</t>
  </si>
  <si>
    <t>Parámetro</t>
  </si>
  <si>
    <t>Coconut Husk (Mesocarpio)</t>
  </si>
  <si>
    <t>Coconut Shell (Endocarpio)</t>
  </si>
  <si>
    <t>Humedad (%)</t>
  </si>
  <si>
    <t>Cenizas (% ST)</t>
  </si>
  <si>
    <t>Carbono (% base seca)</t>
  </si>
  <si>
    <t>Nitrógeno (% base seca)</t>
  </si>
  <si>
    <t>Relación C/N estimada</t>
  </si>
  <si>
    <t>Total de residuo organico concha y estopa por Ha por ciclo = 194,6 Kg</t>
  </si>
  <si>
    <t>~75,6</t>
  </si>
  <si>
    <t>~75,2</t>
  </si>
  <si>
    <t>Sólidos Totales (ST)</t>
  </si>
  <si>
    <t>Calculo de los Sólidos Totales (ST) en  62,264 kg de Mesocarpio</t>
  </si>
  <si>
    <t>Calculo de los Sólidos Totales (ST) en  132,311 kg de Endocarpio</t>
  </si>
  <si>
    <t>Calculo de los Sólidos Volátiles en Mesocarpio</t>
  </si>
  <si>
    <t>Calculo de los Sólidos Volátiles (SV) en Endocarpio</t>
  </si>
  <si>
    <t>Sólidos Volatiles (SV)</t>
  </si>
  <si>
    <t>Calculo del volumen total de biogás generado (m³) en 52 días</t>
  </si>
  <si>
    <t>Biogás por kilogramo de sólidos volátiles (SV) m³/kg</t>
  </si>
  <si>
    <t>% de residuo organico Mesocarpio</t>
  </si>
  <si>
    <t xml:space="preserve">% de residuo organico Endocarpio </t>
  </si>
  <si>
    <t>Potencial de biogás (m³) con 1.327 Ha (seis consejos comunitarios)</t>
  </si>
  <si>
    <t>Consumo y transformación local . (Cámara de Comercio de Tumaco, 2023)</t>
  </si>
  <si>
    <t xml:space="preserve">Ha totales Tumaco (ICA, 2023). </t>
  </si>
  <si>
    <t>Potencial ajustado de biogás (m³) con 1.327 Ha (seis consejos comunitarios)</t>
  </si>
  <si>
    <t>Porcentaje seis consejos comunitarios del total de hectareas sembradas</t>
  </si>
  <si>
    <t>Costo estimado por unidad (COP)</t>
  </si>
  <si>
    <t>Total para 2 biodigestores (COP)</t>
  </si>
  <si>
    <t>Diseño técnico y estudios preliminares</t>
  </si>
  <si>
    <t>Bolsa plástica reforzada (22 m³)</t>
  </si>
  <si>
    <t>Estructura de soporte elevada (clima húmedo, nivel freático alto)</t>
  </si>
  <si>
    <t>Tuberías, válvulas, antirretornos</t>
  </si>
  <si>
    <t>Sistema de recolección y pretratamiento (triturado de coco)</t>
  </si>
  <si>
    <t>Sistema de almacenamiento o uso del gas (cocina, caldera)</t>
  </si>
  <si>
    <t>Mano de obra e instalación</t>
  </si>
  <si>
    <t>Total estimado</t>
  </si>
  <si>
    <t>Concepto</t>
  </si>
  <si>
    <t>Costo por año (COP)</t>
  </si>
  <si>
    <t>Mano de obra (1 operador capacitado)</t>
  </si>
  <si>
    <t>Insumos (agua, lubricantes, etc.)</t>
  </si>
  <si>
    <t>Monitoreo (pH, presión, válvulas)</t>
  </si>
  <si>
    <t>Total anual</t>
  </si>
  <si>
    <t>Mantenimiento anual</t>
  </si>
  <si>
    <t>Volumen biodigestor</t>
  </si>
  <si>
    <t>m3</t>
  </si>
  <si>
    <t>TRH</t>
  </si>
  <si>
    <t>días</t>
  </si>
  <si>
    <t xml:space="preserve">Volumen diario de digestato </t>
  </si>
  <si>
    <t>m³/día</t>
  </si>
  <si>
    <t>Valor</t>
  </si>
  <si>
    <t xml:space="preserve">Volumen semanal de digestato </t>
  </si>
  <si>
    <t>m³/semana</t>
  </si>
  <si>
    <t>Ambiental</t>
  </si>
  <si>
    <t>Ahorro por sustitución de fertilizantes</t>
  </si>
  <si>
    <t>Función</t>
  </si>
  <si>
    <t>Protege el motor del azufre y el agua</t>
  </si>
  <si>
    <t>Almacena energía para uso nocturno o intermitente</t>
  </si>
  <si>
    <t>Generador a biogás (1–3 kW)</t>
  </si>
  <si>
    <t>Elemento</t>
  </si>
  <si>
    <t>Costo aproximado (COP)</t>
  </si>
  <si>
    <t>Filtro y sistema de presión</t>
  </si>
  <si>
    <t>Banco de baterías + inversor</t>
  </si>
  <si>
    <t>Instalación y cableado</t>
  </si>
  <si>
    <t>Convierte biogás en electricidad</t>
  </si>
  <si>
    <t xml:space="preserve">Gasómetro </t>
  </si>
  <si>
    <t>Almacenamiento</t>
  </si>
  <si>
    <t>Área m²</t>
  </si>
  <si>
    <t>Biodigestor</t>
  </si>
  <si>
    <t>Mantenimiento anual biodigestor</t>
  </si>
  <si>
    <t>Conversión gas electricidad</t>
  </si>
  <si>
    <t>Mantenimiento anual (COP)</t>
  </si>
  <si>
    <t>Gasómetro</t>
  </si>
  <si>
    <t>Total estimado anual</t>
  </si>
  <si>
    <t>Mantenimiento anual generador</t>
  </si>
  <si>
    <t>Inversión inicial</t>
  </si>
  <si>
    <t>Venta de energía (2,74 kWh/día)</t>
  </si>
  <si>
    <t>Venta de digestato anual (5,13 m³/semana)</t>
  </si>
  <si>
    <t>Ingresos por año</t>
  </si>
  <si>
    <t xml:space="preserve">Mantenimiento básico </t>
  </si>
  <si>
    <t>Biogas diario m3</t>
  </si>
  <si>
    <t xml:space="preserve">Poder calorífico del biogás kwh/m3 </t>
  </si>
  <si>
    <t>Eficiencia en la conversión eléctrica (motor/generador</t>
  </si>
  <si>
    <t xml:space="preserve">kWh/día </t>
  </si>
  <si>
    <t>Valor COP kWh</t>
  </si>
  <si>
    <t>Total mensual COP</t>
  </si>
  <si>
    <t>Flujo neto anual</t>
  </si>
  <si>
    <t>VAN (12%, 10 años)</t>
  </si>
  <si>
    <t>TIR (Tasa Interna de Retorno)</t>
  </si>
  <si>
    <t>ROI (Retorno sobre inversión)</t>
  </si>
  <si>
    <t>Punto de equilibrio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</si>
  <si>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</si>
  <si>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</si>
  <si>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</si>
  <si>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</si>
  <si>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</si>
  <si>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</si>
  <si>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</si>
  <si>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</si>
  <si>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</si>
  <si>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</si>
  <si>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El proyecto pierde valor: no recupera la inversión con una rentabilidad esperada del 12%. Un VAN negativo indica que no es rentable bajo ese criterio.</t>
  </si>
  <si>
    <t>Es la rentabilidad real del proyecto. Como está muy por debajo del 12%, no cumple con los estándares de inversión más exigentes.</t>
  </si>
  <si>
    <t>El proyecto genera ganancia neta del 3,65% sobre lo invertido, lo cual es positivo, aunque modesto.</t>
  </si>
  <si>
    <t>Se necesita casi 10 años para recuperar la inversión inicial. Esto es justo el límite del análisis (10 años), lo que lo vuelve poco atractivo para muchos inversionistas.</t>
  </si>
  <si>
    <t>Subsidio del estado</t>
  </si>
  <si>
    <t>El VAN es positivo, lo que indica que el proyecto es rentable y genera más valor del que cuesta, por lo tanto, debería aceptarse.</t>
  </si>
  <si>
    <t>El proyecto tiene un alto retorno, lo cual es muy favorable y atractivo para los inversionistas.</t>
  </si>
  <si>
    <t>El proyecto recupera su inversión después de 5,55 años</t>
  </si>
  <si>
    <t>El proyecto rinde un 16,2% anual. El proyecto rinde un 16,2% anual. La TIR es mayor que el 12%, significa que el rendimiento esperado supera el costo de oportunidad del capital.</t>
  </si>
  <si>
    <t>El proyecto rinde un 51,8% anual. El proyecto rinde un 51,8% anual. La TIR es mayor que el 12%, significa que el rendimiento esperado supera el costo de oportunidad del capital.</t>
  </si>
  <si>
    <t>El proyecto recupera su inversión después de 1,93</t>
  </si>
  <si>
    <t>Categoría</t>
  </si>
  <si>
    <t>Variable</t>
  </si>
  <si>
    <t>Tipo (D/I)</t>
  </si>
  <si>
    <t>Definición conceptual</t>
  </si>
  <si>
    <t>Definición operacional</t>
  </si>
  <si>
    <t>Indicadores</t>
  </si>
  <si>
    <t>Técnica analítica</t>
  </si>
  <si>
    <t>Variable de contexto</t>
  </si>
  <si>
    <t>Técnica</t>
  </si>
  <si>
    <t>Producción de biogás diaria (m³/día)</t>
  </si>
  <si>
    <t>Dependiente</t>
  </si>
  <si>
    <t>Cantidad de biogás generado por la biodigestión del endocarpio.</t>
  </si>
  <si>
    <t>Medición del volumen de biogás capturado por el biodigestor.</t>
  </si>
  <si>
    <t>Volumen promedio diario de biogás producido</t>
  </si>
  <si>
    <t>Medición volumétrica directa; análisis estadístico descriptivo</t>
  </si>
  <si>
    <t>Infraestructura eléctrica local</t>
  </si>
  <si>
    <t>Volumen de digestato (m³/semana)</t>
  </si>
  <si>
    <t>Subproducto líquido o sólido generado en la biodigestión.</t>
  </si>
  <si>
    <t>Medición semanal del volumen de digestato recolectado.</t>
  </si>
  <si>
    <t>Litros o m³ de digestato generado</t>
  </si>
  <si>
    <t>Medición de volumen; análisis descriptivo</t>
  </si>
  <si>
    <t>Disponibilidad de tierras agrícolas</t>
  </si>
  <si>
    <t>Área requerida para el sistema</t>
  </si>
  <si>
    <t>Independiente</t>
  </si>
  <si>
    <t>Superficie física necesaria para instalar y operar el sistema.</t>
  </si>
  <si>
    <t>Cálculo del espacio ocupado por biodigestores y equipos auxiliares.</t>
  </si>
  <si>
    <t>m²</t>
  </si>
  <si>
    <t>Área total utilizada</t>
  </si>
  <si>
    <t>Levantamiento topográfico; análisis comparativo</t>
  </si>
  <si>
    <t>Condiciones del predio (uso de suelo, acceso)</t>
  </si>
  <si>
    <t>Reducción de residuos (%)</t>
  </si>
  <si>
    <t>Proporción del residuo del coco tratado respecto al total disponible.</t>
  </si>
  <si>
    <t>Cálculo: (residuo tratado / residuo generado) × 100.</t>
  </si>
  <si>
    <t>%</t>
  </si>
  <si>
    <t>% de reducción de residuos</t>
  </si>
  <si>
    <t>Cálculo porcentual; análisis de eficiencia</t>
  </si>
  <si>
    <t>Gestión municipal de residuos sólidos</t>
  </si>
  <si>
    <t>Emisiones evitadas de CH₄ y CO₂ (kg CO₂e)</t>
  </si>
  <si>
    <t>Cantidad de emisiones de GEI evitadas por el uso del biogás.</t>
  </si>
  <si>
    <t>Estimación con factores de emisión IPCC y volumen de biogás utilizado.</t>
  </si>
  <si>
    <t>kg CO₂e/año</t>
  </si>
  <si>
    <t>Toneladas de CO₂e evitadas</t>
  </si>
  <si>
    <t>Cálculo con factores de conversión IPCC; análisis de ciclo de vida</t>
  </si>
  <si>
    <t>Económica</t>
  </si>
  <si>
    <t>Ahorro energético (COP/año)</t>
  </si>
  <si>
    <t>Reducción de costos por sustituir energía convencional con biogás.</t>
  </si>
  <si>
    <t>Diferencia entre gasto en energía convencional y gasto usando biogás.</t>
  </si>
  <si>
    <t>COP/año</t>
  </si>
  <si>
    <t>% de ahorro en costos energéticos</t>
  </si>
  <si>
    <t>Análisis costo-beneficio; comparativo anual</t>
  </si>
  <si>
    <t>Precio de la energía convencional</t>
  </si>
  <si>
    <t>Valor económico del digestato usado como fertilizante.</t>
  </si>
  <si>
    <t>Cálculo: volumen digestato × precio mercado de fertilizante equivalente.</t>
  </si>
  <si>
    <t>Valor de fertilizantes sustituidos</t>
  </si>
  <si>
    <t>Análisis de precios de mercado; equivalencias técnicas</t>
  </si>
  <si>
    <t>Precio de insumos agrícolas</t>
  </si>
  <si>
    <t>Costo por m³ de biogás generado (COP/m³)</t>
  </si>
  <si>
    <t>Costo unitario de producir un m³ de biogás.</t>
  </si>
  <si>
    <t>Relación entre costo total de operación y volumen generado.</t>
  </si>
  <si>
    <t>COP/m³</t>
  </si>
  <si>
    <t>Costo unitario promedio</t>
  </si>
  <si>
    <t>Contabilidad de costos; análisis financiero</t>
  </si>
  <si>
    <t>Tasa de inflación / costos de mantenimiento</t>
  </si>
  <si>
    <t>Retorno sobre la inversión (ROI)</t>
  </si>
  <si>
    <t>Indicador de rentabilidad del modelo económico.</t>
  </si>
  <si>
    <t>Cálculo: (Beneficio neto / Inversión inicial) × 100.</t>
  </si>
  <si>
    <t>ROI anual</t>
  </si>
  <si>
    <t>Modelación financiera: VAN, TIR, punto de equilibrio</t>
  </si>
  <si>
    <t>Acceso a créditos o subsidios verdes</t>
  </si>
  <si>
    <r>
      <t>Existencia de incentivos normativos</t>
    </r>
    <r>
      <rPr>
        <sz val="11"/>
        <color theme="1"/>
        <rFont val="Aptos Narrow"/>
        <family val="2"/>
        <scheme val="minor"/>
      </rPr>
      <t xml:space="preserve"> (ej. bonos de carbono, Ley 2099 de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</si>
</sst>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43" formatCode="_-* #,##0.00_-;\-* #,##0.00_-;_-* &quot;-&quot;??_-;_-@_-"/>
    <numFmt numFmtId="164" formatCode="0.000"/>
    <numFmt numFmtId="165" formatCode="0.0"/>
    <numFmt numFmtId="166" formatCode="#,##0.000"/>
    <numFmt numFmtId="167" formatCode="_-* #,##0_-;\-* #,##0_-;_-* &quot;-&quot;??_-;_-@_-"/>
    <numFmt numFmtId="168" formatCode="0.0%"/>
    <numFmt numFmtId="169" formatCode="&quot;$&quot;\ #,##0.0;[Red]\-&quot;$&quot;\ #,##0.0"/>
    <numFmt numFmtId="170" formatCode="&quot;$&quot;\ #,##0.0000;[Red]\-&quot;$&quot;\ #,##0.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9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67" fontId="0" fillId="0" borderId="1" xfId="1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0" fillId="0" borderId="1" xfId="2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8" fontId="0" fillId="0" borderId="1" xfId="2" applyNumberFormat="1" applyFont="1" applyBorder="1" applyAlignment="1">
      <alignment horizontal="center"/>
    </xf>
    <xf numFmtId="6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6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6" fontId="2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167" fontId="0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43" fontId="0" fillId="0" borderId="1" xfId="1" applyFont="1" applyBorder="1" applyAlignment="1">
      <alignment horizontal="right" vertical="center" wrapText="1"/>
    </xf>
    <xf numFmtId="43" fontId="2" fillId="0" borderId="1" xfId="1" applyFont="1" applyBorder="1" applyAlignment="1">
      <alignment horizontal="right" vertical="center" wrapText="1"/>
    </xf>
    <xf numFmtId="9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70" fontId="0" fillId="0" borderId="0" xfId="0" applyNumberFormat="1"/>
    <xf numFmtId="6" fontId="0" fillId="0" borderId="1" xfId="0" applyNumberFormat="1" applyBorder="1"/>
    <xf numFmtId="167" fontId="0" fillId="0" borderId="1" xfId="1" applyNumberFormat="1" applyFont="1" applyBorder="1"/>
    <xf numFmtId="6" fontId="2" fillId="0" borderId="1" xfId="0" applyNumberFormat="1" applyFont="1" applyBorder="1"/>
    <xf numFmtId="169" fontId="0" fillId="0" borderId="1" xfId="0" applyNumberFormat="1" applyBorder="1"/>
    <xf numFmtId="168" fontId="0" fillId="0" borderId="1" xfId="0" applyNumberFormat="1" applyBorder="1"/>
    <xf numFmtId="10" fontId="0" fillId="0" borderId="1" xfId="2" applyNumberFormat="1" applyFont="1" applyBorder="1"/>
    <xf numFmtId="2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6" fontId="0" fillId="0" borderId="1" xfId="0" applyNumberFormat="1" applyBorder="1" applyAlignment="1">
      <alignment horizontal="right" vertical="center" wrapText="1"/>
    </xf>
    <xf numFmtId="6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8F27-CD98-40FF-A41F-282F30DF4BA4}">
  <dimension ref="A1:E17"/>
  <sheetViews>
    <sheetView workbookViewId="0">
      <selection activeCell="B12" sqref="B12:B13"/>
    </sheetView>
  </sheetViews>
  <sheetFormatPr baseColWidth="10" defaultRowHeight="14.4" x14ac:dyDescent="0.3"/>
  <cols>
    <col min="1" max="1" width="51.21875" style="3" customWidth="1"/>
    <col min="2" max="2" width="11.5546875" style="3"/>
    <col min="3" max="3" width="11.5546875" style="4"/>
    <col min="4" max="4" width="23.33203125" style="5" customWidth="1"/>
    <col min="5" max="5" width="40.109375" style="3" customWidth="1"/>
    <col min="6" max="16384" width="11.5546875" style="3"/>
  </cols>
  <sheetData>
    <row r="1" spans="1:5" x14ac:dyDescent="0.3">
      <c r="A1" s="6" t="s">
        <v>18</v>
      </c>
      <c r="B1" s="6" t="s">
        <v>19</v>
      </c>
      <c r="C1" s="7" t="s">
        <v>22</v>
      </c>
      <c r="D1" s="11" t="s">
        <v>20</v>
      </c>
      <c r="E1" s="6" t="s">
        <v>21</v>
      </c>
    </row>
    <row r="2" spans="1:5" x14ac:dyDescent="0.3">
      <c r="A2" s="56" t="s">
        <v>0</v>
      </c>
      <c r="B2" s="8">
        <v>6.41</v>
      </c>
      <c r="C2" s="7" t="s">
        <v>26</v>
      </c>
      <c r="D2" s="57" t="s">
        <v>23</v>
      </c>
      <c r="E2" s="58" t="s">
        <v>1</v>
      </c>
    </row>
    <row r="3" spans="1:5" x14ac:dyDescent="0.3">
      <c r="A3" s="56"/>
      <c r="B3" s="17">
        <v>6410</v>
      </c>
      <c r="C3" s="7" t="s">
        <v>25</v>
      </c>
      <c r="D3" s="57"/>
      <c r="E3" s="58"/>
    </row>
    <row r="4" spans="1:5" x14ac:dyDescent="0.3">
      <c r="A4" s="7" t="s">
        <v>2</v>
      </c>
      <c r="B4" s="18">
        <v>1.125</v>
      </c>
      <c r="C4" s="7" t="s">
        <v>24</v>
      </c>
      <c r="D4" s="11"/>
      <c r="E4" s="7" t="s">
        <v>14</v>
      </c>
    </row>
    <row r="5" spans="1:5" ht="28.8" x14ac:dyDescent="0.3">
      <c r="A5" s="7" t="s">
        <v>4</v>
      </c>
      <c r="B5" s="10">
        <f>6410/1.125</f>
        <v>5697.7777777777774</v>
      </c>
      <c r="C5" s="14"/>
      <c r="D5" s="19" t="s">
        <v>3</v>
      </c>
      <c r="E5" s="6"/>
    </row>
    <row r="6" spans="1:5" ht="28.8" x14ac:dyDescent="0.3">
      <c r="A6" s="7" t="s">
        <v>5</v>
      </c>
      <c r="B6" s="10">
        <f>+B5/7</f>
        <v>813.96825396825386</v>
      </c>
      <c r="C6" s="14"/>
      <c r="D6" s="19" t="s">
        <v>6</v>
      </c>
      <c r="E6" s="6"/>
    </row>
    <row r="7" spans="1:5" ht="43.2" x14ac:dyDescent="0.3">
      <c r="A7" s="7" t="s">
        <v>7</v>
      </c>
      <c r="B7" s="6">
        <v>215</v>
      </c>
      <c r="C7" s="7"/>
      <c r="D7" s="11"/>
      <c r="E7" s="11" t="s">
        <v>10</v>
      </c>
    </row>
    <row r="8" spans="1:5" ht="28.8" x14ac:dyDescent="0.3">
      <c r="A8" s="7" t="s">
        <v>8</v>
      </c>
      <c r="B8" s="12">
        <f>ROUNDUP(B6/B7,0)</f>
        <v>4</v>
      </c>
      <c r="C8" s="15"/>
      <c r="D8" s="11" t="s">
        <v>9</v>
      </c>
      <c r="E8" s="6"/>
    </row>
    <row r="9" spans="1:5" ht="28.8" x14ac:dyDescent="0.3">
      <c r="A9" s="7" t="s">
        <v>11</v>
      </c>
      <c r="B9" s="6">
        <f>+B7*B8</f>
        <v>860</v>
      </c>
      <c r="C9" s="7"/>
      <c r="D9" s="11" t="s">
        <v>13</v>
      </c>
      <c r="E9" s="6"/>
    </row>
    <row r="10" spans="1:5" x14ac:dyDescent="0.3">
      <c r="A10" s="7" t="s">
        <v>12</v>
      </c>
      <c r="B10" s="8">
        <v>0.90500000000000003</v>
      </c>
      <c r="C10" s="7" t="s">
        <v>24</v>
      </c>
      <c r="D10" s="11"/>
      <c r="E10" s="7" t="s">
        <v>14</v>
      </c>
    </row>
    <row r="11" spans="1:5" x14ac:dyDescent="0.3">
      <c r="A11" s="7" t="s">
        <v>17</v>
      </c>
      <c r="B11" s="6">
        <f>+B9*0.905</f>
        <v>778.30000000000007</v>
      </c>
      <c r="C11" s="7" t="s">
        <v>24</v>
      </c>
      <c r="D11" s="11"/>
      <c r="E11" s="6"/>
    </row>
    <row r="12" spans="1:5" x14ac:dyDescent="0.3">
      <c r="A12" s="7" t="s">
        <v>15</v>
      </c>
      <c r="B12" s="13">
        <v>0.08</v>
      </c>
      <c r="C12" s="16"/>
      <c r="D12" s="11"/>
      <c r="E12" s="7" t="s">
        <v>14</v>
      </c>
    </row>
    <row r="13" spans="1:5" x14ac:dyDescent="0.3">
      <c r="A13" s="7" t="s">
        <v>16</v>
      </c>
      <c r="B13" s="13">
        <v>0.17</v>
      </c>
      <c r="C13" s="16"/>
      <c r="D13" s="11"/>
      <c r="E13" s="7" t="s">
        <v>14</v>
      </c>
    </row>
    <row r="14" spans="1:5" x14ac:dyDescent="0.3">
      <c r="A14" s="7" t="s">
        <v>31</v>
      </c>
      <c r="B14" s="21">
        <f>+(B12+B13)*B11</f>
        <v>194.57500000000002</v>
      </c>
      <c r="C14" s="7" t="s">
        <v>24</v>
      </c>
      <c r="D14" s="11"/>
      <c r="E14" s="6"/>
    </row>
    <row r="15" spans="1:5" x14ac:dyDescent="0.3">
      <c r="A15" s="6" t="s">
        <v>28</v>
      </c>
      <c r="B15" s="20">
        <v>1327</v>
      </c>
      <c r="C15" s="7" t="s">
        <v>29</v>
      </c>
      <c r="D15" s="11"/>
      <c r="E15" s="6" t="s">
        <v>27</v>
      </c>
    </row>
    <row r="16" spans="1:5" x14ac:dyDescent="0.3">
      <c r="A16" s="7" t="s">
        <v>30</v>
      </c>
      <c r="B16" s="20">
        <f>+B14*B15</f>
        <v>258201.02500000002</v>
      </c>
      <c r="C16" s="7" t="s">
        <v>24</v>
      </c>
      <c r="D16" s="11"/>
      <c r="E16" s="6"/>
    </row>
    <row r="17" spans="1:5" ht="28.8" x14ac:dyDescent="0.3">
      <c r="A17" s="6" t="s">
        <v>32</v>
      </c>
      <c r="B17" s="20">
        <v>34000</v>
      </c>
      <c r="C17" s="7" t="s">
        <v>33</v>
      </c>
      <c r="D17" s="11"/>
      <c r="E17" s="11" t="s">
        <v>10</v>
      </c>
    </row>
  </sheetData>
  <mergeCells count="3">
    <mergeCell ref="A2:A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94FA-0718-420D-A588-1E743145D496}">
  <dimension ref="A1:C25"/>
  <sheetViews>
    <sheetView topLeftCell="A6" workbookViewId="0">
      <selection activeCell="D20" sqref="D20"/>
    </sheetView>
  </sheetViews>
  <sheetFormatPr baseColWidth="10" defaultColWidth="18.5546875" defaultRowHeight="14.4" x14ac:dyDescent="0.3"/>
  <cols>
    <col min="1" max="2" width="33.44140625" customWidth="1"/>
  </cols>
  <sheetData>
    <row r="1" spans="1:3" ht="28.8" x14ac:dyDescent="0.3">
      <c r="A1" s="23" t="s">
        <v>36</v>
      </c>
      <c r="B1" s="23" t="s">
        <v>37</v>
      </c>
      <c r="C1" s="23" t="s">
        <v>38</v>
      </c>
    </row>
    <row r="2" spans="1:3" x14ac:dyDescent="0.3">
      <c r="A2" s="23" t="s">
        <v>39</v>
      </c>
      <c r="B2" s="23">
        <v>5.39</v>
      </c>
      <c r="C2" s="23">
        <v>8.49</v>
      </c>
    </row>
    <row r="3" spans="1:3" x14ac:dyDescent="0.3">
      <c r="A3" s="23" t="s">
        <v>34</v>
      </c>
      <c r="B3" s="23">
        <v>94.88</v>
      </c>
      <c r="C3" s="23">
        <v>92.17</v>
      </c>
    </row>
    <row r="4" spans="1:3" x14ac:dyDescent="0.3">
      <c r="A4" s="23" t="s">
        <v>35</v>
      </c>
      <c r="B4" s="23">
        <v>85.24</v>
      </c>
      <c r="C4" s="23">
        <v>87.91</v>
      </c>
    </row>
    <row r="5" spans="1:3" x14ac:dyDescent="0.3">
      <c r="A5" s="23" t="s">
        <v>40</v>
      </c>
      <c r="B5" s="23">
        <v>10.16</v>
      </c>
      <c r="C5" s="23">
        <v>4.62</v>
      </c>
    </row>
    <row r="6" spans="1:3" x14ac:dyDescent="0.3">
      <c r="A6" s="23" t="s">
        <v>41</v>
      </c>
      <c r="B6" s="23">
        <v>45.4</v>
      </c>
      <c r="C6" s="23">
        <v>50.37</v>
      </c>
    </row>
    <row r="7" spans="1:3" x14ac:dyDescent="0.3">
      <c r="A7" s="23" t="s">
        <v>42</v>
      </c>
      <c r="B7" s="23">
        <v>0.6</v>
      </c>
      <c r="C7" s="23">
        <v>0.67</v>
      </c>
    </row>
    <row r="8" spans="1:3" x14ac:dyDescent="0.3">
      <c r="A8" s="23" t="s">
        <v>43</v>
      </c>
      <c r="B8" s="23" t="s">
        <v>45</v>
      </c>
      <c r="C8" s="23" t="s">
        <v>46</v>
      </c>
    </row>
    <row r="10" spans="1:3" x14ac:dyDescent="0.3">
      <c r="A10" s="60" t="s">
        <v>44</v>
      </c>
      <c r="B10" s="61"/>
      <c r="C10" s="62"/>
    </row>
    <row r="11" spans="1:3" x14ac:dyDescent="0.3">
      <c r="A11" s="9" t="s">
        <v>55</v>
      </c>
      <c r="B11" s="25">
        <v>0.32</v>
      </c>
      <c r="C11" s="27">
        <f>+'Calculos de cosecha'!B14*B11</f>
        <v>62.26400000000001</v>
      </c>
    </row>
    <row r="12" spans="1:3" x14ac:dyDescent="0.3">
      <c r="A12" s="9" t="s">
        <v>56</v>
      </c>
      <c r="B12" s="25">
        <v>0.68</v>
      </c>
      <c r="C12" s="27">
        <f>+'Calculos de cosecha'!B14*B12</f>
        <v>132.31100000000001</v>
      </c>
    </row>
    <row r="13" spans="1:3" x14ac:dyDescent="0.3">
      <c r="A13" s="59" t="s">
        <v>48</v>
      </c>
      <c r="B13" s="59"/>
      <c r="C13" s="27">
        <f>+C11*(B3/100)</f>
        <v>59.076083200000006</v>
      </c>
    </row>
    <row r="14" spans="1:3" x14ac:dyDescent="0.3">
      <c r="A14" s="59" t="s">
        <v>49</v>
      </c>
      <c r="B14" s="59"/>
      <c r="C14" s="27">
        <f>+C12*(C3/100)</f>
        <v>121.9510487</v>
      </c>
    </row>
    <row r="15" spans="1:3" x14ac:dyDescent="0.3">
      <c r="A15" s="59" t="s">
        <v>47</v>
      </c>
      <c r="B15" s="59"/>
      <c r="C15" s="27">
        <f>SUM(C13:C14)</f>
        <v>181.0271319</v>
      </c>
    </row>
    <row r="16" spans="1:3" x14ac:dyDescent="0.3">
      <c r="A16" s="59" t="s">
        <v>50</v>
      </c>
      <c r="B16" s="59"/>
      <c r="C16" s="27">
        <f>+C13*B4/100</f>
        <v>50.356453319680007</v>
      </c>
    </row>
    <row r="17" spans="1:3" x14ac:dyDescent="0.3">
      <c r="A17" s="59" t="s">
        <v>51</v>
      </c>
      <c r="B17" s="59"/>
      <c r="C17" s="27">
        <f>+C14*C4/100</f>
        <v>107.20716691217</v>
      </c>
    </row>
    <row r="18" spans="1:3" x14ac:dyDescent="0.3">
      <c r="A18" s="59" t="s">
        <v>52</v>
      </c>
      <c r="B18" s="59"/>
      <c r="C18" s="27">
        <f>SUM(C16:C17)</f>
        <v>157.56362023185</v>
      </c>
    </row>
    <row r="19" spans="1:3" x14ac:dyDescent="0.3">
      <c r="A19" s="59" t="s">
        <v>54</v>
      </c>
      <c r="B19" s="59"/>
      <c r="C19" s="26">
        <v>0.5</v>
      </c>
    </row>
    <row r="20" spans="1:3" x14ac:dyDescent="0.3">
      <c r="A20" s="59" t="s">
        <v>53</v>
      </c>
      <c r="B20" s="59"/>
      <c r="C20" s="27">
        <f>+C19*C18</f>
        <v>78.781810115924998</v>
      </c>
    </row>
    <row r="21" spans="1:3" x14ac:dyDescent="0.3">
      <c r="A21" s="59" t="s">
        <v>57</v>
      </c>
      <c r="B21" s="59"/>
      <c r="C21" s="28">
        <f>+C20*1327</f>
        <v>104543.46202383247</v>
      </c>
    </row>
    <row r="22" spans="1:3" x14ac:dyDescent="0.3">
      <c r="A22" s="61" t="s">
        <v>59</v>
      </c>
      <c r="B22" s="61"/>
      <c r="C22" s="30">
        <v>6800</v>
      </c>
    </row>
    <row r="23" spans="1:3" x14ac:dyDescent="0.3">
      <c r="A23" s="59" t="s">
        <v>58</v>
      </c>
      <c r="B23" s="59"/>
      <c r="C23" s="29">
        <v>0.12</v>
      </c>
    </row>
    <row r="24" spans="1:3" x14ac:dyDescent="0.3">
      <c r="A24" s="59" t="s">
        <v>61</v>
      </c>
      <c r="B24" s="59"/>
      <c r="C24" s="32">
        <f>1327/C22</f>
        <v>0.19514705882352942</v>
      </c>
    </row>
    <row r="25" spans="1:3" x14ac:dyDescent="0.3">
      <c r="A25" s="60" t="s">
        <v>60</v>
      </c>
      <c r="B25" s="62"/>
      <c r="C25" s="31">
        <f>+C21*C24</f>
        <v>20401.349133180251</v>
      </c>
    </row>
  </sheetData>
  <mergeCells count="14">
    <mergeCell ref="A21:B21"/>
    <mergeCell ref="A23:B23"/>
    <mergeCell ref="A24:B24"/>
    <mergeCell ref="A22:B22"/>
    <mergeCell ref="A25:B25"/>
    <mergeCell ref="A18:B18"/>
    <mergeCell ref="A20:B20"/>
    <mergeCell ref="A19:B19"/>
    <mergeCell ref="A10:C10"/>
    <mergeCell ref="A13:B13"/>
    <mergeCell ref="A14:B14"/>
    <mergeCell ref="A15:B15"/>
    <mergeCell ref="A16:B16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96671-FD4B-40BE-938A-3384DF03CDC4}">
  <dimension ref="A1:C17"/>
  <sheetViews>
    <sheetView workbookViewId="0">
      <selection activeCell="B15" sqref="B15"/>
    </sheetView>
  </sheetViews>
  <sheetFormatPr baseColWidth="10" defaultColWidth="31.33203125" defaultRowHeight="14.4" x14ac:dyDescent="0.3"/>
  <cols>
    <col min="1" max="1" width="57.109375" customWidth="1"/>
    <col min="2" max="2" width="19.21875" customWidth="1"/>
    <col min="3" max="3" width="18.88671875" customWidth="1"/>
  </cols>
  <sheetData>
    <row r="1" spans="1:3" ht="28.8" x14ac:dyDescent="0.3">
      <c r="A1" s="34" t="s">
        <v>72</v>
      </c>
      <c r="B1" s="22" t="s">
        <v>62</v>
      </c>
      <c r="C1" s="22" t="s">
        <v>63</v>
      </c>
    </row>
    <row r="2" spans="1:3" x14ac:dyDescent="0.3">
      <c r="A2" s="11" t="s">
        <v>64</v>
      </c>
      <c r="B2" s="63">
        <v>2000000</v>
      </c>
      <c r="C2" s="63"/>
    </row>
    <row r="3" spans="1:3" x14ac:dyDescent="0.3">
      <c r="A3" s="11" t="s">
        <v>65</v>
      </c>
      <c r="B3" s="35">
        <v>4500000</v>
      </c>
      <c r="C3" s="35">
        <v>9000000</v>
      </c>
    </row>
    <row r="4" spans="1:3" x14ac:dyDescent="0.3">
      <c r="A4" s="11" t="s">
        <v>66</v>
      </c>
      <c r="B4" s="35">
        <v>2500000</v>
      </c>
      <c r="C4" s="35">
        <v>5000000</v>
      </c>
    </row>
    <row r="5" spans="1:3" x14ac:dyDescent="0.3">
      <c r="A5" s="11" t="s">
        <v>67</v>
      </c>
      <c r="B5" s="35">
        <v>1200000</v>
      </c>
      <c r="C5" s="35">
        <v>2400000</v>
      </c>
    </row>
    <row r="6" spans="1:3" x14ac:dyDescent="0.3">
      <c r="A6" s="11" t="s">
        <v>68</v>
      </c>
      <c r="B6" s="63">
        <v>2000000</v>
      </c>
      <c r="C6" s="63"/>
    </row>
    <row r="7" spans="1:3" x14ac:dyDescent="0.3">
      <c r="A7" s="11" t="s">
        <v>69</v>
      </c>
      <c r="B7" s="35">
        <v>1500000</v>
      </c>
      <c r="C7" s="35">
        <v>3000000</v>
      </c>
    </row>
    <row r="8" spans="1:3" x14ac:dyDescent="0.3">
      <c r="A8" s="11" t="s">
        <v>70</v>
      </c>
      <c r="B8" s="35">
        <v>1800000</v>
      </c>
      <c r="C8" s="35">
        <v>3600000</v>
      </c>
    </row>
    <row r="9" spans="1:3" x14ac:dyDescent="0.3">
      <c r="A9" s="36" t="s">
        <v>71</v>
      </c>
      <c r="B9" s="64">
        <f>+B2+C3+C4+C5+B6+C7+C8</f>
        <v>27000000</v>
      </c>
      <c r="C9" s="65"/>
    </row>
    <row r="11" spans="1:3" x14ac:dyDescent="0.3">
      <c r="A11" s="59" t="s">
        <v>78</v>
      </c>
      <c r="B11" s="59"/>
    </row>
    <row r="12" spans="1:3" x14ac:dyDescent="0.3">
      <c r="A12" s="22" t="s">
        <v>72</v>
      </c>
      <c r="B12" s="22" t="s">
        <v>73</v>
      </c>
    </row>
    <row r="13" spans="1:3" x14ac:dyDescent="0.3">
      <c r="A13" s="11" t="s">
        <v>74</v>
      </c>
      <c r="B13" s="35">
        <v>600000</v>
      </c>
    </row>
    <row r="14" spans="1:3" x14ac:dyDescent="0.3">
      <c r="A14" s="11" t="s">
        <v>114</v>
      </c>
      <c r="B14" s="35">
        <v>1000000</v>
      </c>
    </row>
    <row r="15" spans="1:3" x14ac:dyDescent="0.3">
      <c r="A15" s="11" t="s">
        <v>75</v>
      </c>
      <c r="B15" s="35">
        <v>800000</v>
      </c>
    </row>
    <row r="16" spans="1:3" x14ac:dyDescent="0.3">
      <c r="A16" s="11" t="s">
        <v>76</v>
      </c>
      <c r="B16" s="35">
        <v>1200000</v>
      </c>
    </row>
    <row r="17" spans="1:2" x14ac:dyDescent="0.3">
      <c r="A17" s="36" t="s">
        <v>77</v>
      </c>
      <c r="B17" s="38">
        <f>SUM(B13:B16)</f>
        <v>3600000</v>
      </c>
    </row>
  </sheetData>
  <mergeCells count="4">
    <mergeCell ref="B6:C6"/>
    <mergeCell ref="B2:C2"/>
    <mergeCell ref="B9:C9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D-B1D3-44B9-A24E-4B0CEC415D76}">
  <dimension ref="A1:C5"/>
  <sheetViews>
    <sheetView workbookViewId="0">
      <selection activeCell="C5" sqref="C5"/>
    </sheetView>
  </sheetViews>
  <sheetFormatPr baseColWidth="10" defaultRowHeight="14.4" x14ac:dyDescent="0.3"/>
  <cols>
    <col min="1" max="1" width="32.44140625" bestFit="1" customWidth="1"/>
  </cols>
  <sheetData>
    <row r="1" spans="1:3" x14ac:dyDescent="0.3">
      <c r="A1" s="26" t="s">
        <v>72</v>
      </c>
      <c r="B1" s="26" t="s">
        <v>85</v>
      </c>
      <c r="C1" s="26" t="s">
        <v>22</v>
      </c>
    </row>
    <row r="2" spans="1:3" x14ac:dyDescent="0.3">
      <c r="A2" s="26" t="s">
        <v>79</v>
      </c>
      <c r="B2" s="26">
        <v>22</v>
      </c>
      <c r="C2" s="26" t="s">
        <v>80</v>
      </c>
    </row>
    <row r="3" spans="1:3" x14ac:dyDescent="0.3">
      <c r="A3" s="26" t="s">
        <v>81</v>
      </c>
      <c r="B3" s="26">
        <v>30</v>
      </c>
      <c r="C3" s="26" t="s">
        <v>82</v>
      </c>
    </row>
    <row r="4" spans="1:3" x14ac:dyDescent="0.3">
      <c r="A4" s="26" t="s">
        <v>83</v>
      </c>
      <c r="B4" s="39">
        <f>+B2/B3</f>
        <v>0.73333333333333328</v>
      </c>
      <c r="C4" s="26" t="s">
        <v>84</v>
      </c>
    </row>
    <row r="5" spans="1:3" x14ac:dyDescent="0.3">
      <c r="A5" s="26" t="s">
        <v>86</v>
      </c>
      <c r="B5" s="27">
        <f>+B4*7</f>
        <v>5.1333333333333329</v>
      </c>
      <c r="C5" s="26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52F2-780A-4606-B68C-411C1BF6E0AB}">
  <dimension ref="A1:I10"/>
  <sheetViews>
    <sheetView tabSelected="1" workbookViewId="0">
      <selection activeCell="G10" sqref="G10"/>
    </sheetView>
  </sheetViews>
  <sheetFormatPr baseColWidth="10" defaultColWidth="26.77734375" defaultRowHeight="14.4" x14ac:dyDescent="0.3"/>
  <cols>
    <col min="1" max="1" width="10" style="2" bestFit="1" customWidth="1"/>
    <col min="2" max="2" width="23.44140625" style="2" bestFit="1" customWidth="1"/>
    <col min="3" max="3" width="12.44140625" style="2" bestFit="1" customWidth="1"/>
    <col min="4" max="4" width="24.44140625" style="2" customWidth="1"/>
    <col min="5" max="5" width="26.44140625" style="2" bestFit="1" customWidth="1"/>
    <col min="6" max="6" width="11" style="2" bestFit="1" customWidth="1"/>
    <col min="7" max="7" width="26.5546875" style="2" bestFit="1" customWidth="1"/>
    <col min="8" max="8" width="26.6640625" style="2" bestFit="1" customWidth="1"/>
    <col min="9" max="16384" width="26.77734375" style="2"/>
  </cols>
  <sheetData>
    <row r="1" spans="1:9" x14ac:dyDescent="0.3">
      <c r="A1" s="23" t="s">
        <v>147</v>
      </c>
      <c r="B1" s="23" t="s">
        <v>148</v>
      </c>
      <c r="C1" s="23" t="s">
        <v>149</v>
      </c>
      <c r="D1" s="23" t="s">
        <v>150</v>
      </c>
      <c r="E1" s="23" t="s">
        <v>151</v>
      </c>
      <c r="F1" s="23" t="s">
        <v>22</v>
      </c>
      <c r="G1" s="23" t="s">
        <v>152</v>
      </c>
      <c r="H1" s="23" t="s">
        <v>153</v>
      </c>
      <c r="I1" s="23" t="s">
        <v>154</v>
      </c>
    </row>
    <row r="2" spans="1:9" ht="43.2" x14ac:dyDescent="0.3">
      <c r="A2" s="23" t="s">
        <v>155</v>
      </c>
      <c r="B2" s="23" t="s">
        <v>156</v>
      </c>
      <c r="C2" s="23" t="s">
        <v>157</v>
      </c>
      <c r="D2" s="23" t="s">
        <v>158</v>
      </c>
      <c r="E2" s="23" t="s">
        <v>159</v>
      </c>
      <c r="F2" s="23" t="s">
        <v>84</v>
      </c>
      <c r="G2" s="23" t="s">
        <v>160</v>
      </c>
      <c r="H2" s="23" t="s">
        <v>161</v>
      </c>
      <c r="I2" s="23" t="s">
        <v>162</v>
      </c>
    </row>
    <row r="3" spans="1:9" ht="28.8" x14ac:dyDescent="0.3">
      <c r="A3" s="23" t="s">
        <v>155</v>
      </c>
      <c r="B3" s="23" t="s">
        <v>163</v>
      </c>
      <c r="C3" s="23" t="s">
        <v>157</v>
      </c>
      <c r="D3" s="23" t="s">
        <v>164</v>
      </c>
      <c r="E3" s="23" t="s">
        <v>165</v>
      </c>
      <c r="F3" s="23" t="s">
        <v>87</v>
      </c>
      <c r="G3" s="23" t="s">
        <v>166</v>
      </c>
      <c r="H3" s="23" t="s">
        <v>167</v>
      </c>
      <c r="I3" s="23" t="s">
        <v>168</v>
      </c>
    </row>
    <row r="4" spans="1:9" ht="43.2" x14ac:dyDescent="0.3">
      <c r="A4" s="23" t="s">
        <v>155</v>
      </c>
      <c r="B4" s="23" t="s">
        <v>169</v>
      </c>
      <c r="C4" s="23" t="s">
        <v>170</v>
      </c>
      <c r="D4" s="23" t="s">
        <v>171</v>
      </c>
      <c r="E4" s="23" t="s">
        <v>172</v>
      </c>
      <c r="F4" s="23" t="s">
        <v>173</v>
      </c>
      <c r="G4" s="23" t="s">
        <v>174</v>
      </c>
      <c r="H4" s="23" t="s">
        <v>175</v>
      </c>
      <c r="I4" s="23" t="s">
        <v>176</v>
      </c>
    </row>
    <row r="5" spans="1:9" ht="43.2" x14ac:dyDescent="0.3">
      <c r="A5" s="23" t="s">
        <v>88</v>
      </c>
      <c r="B5" s="23" t="s">
        <v>177</v>
      </c>
      <c r="C5" s="23" t="s">
        <v>157</v>
      </c>
      <c r="D5" s="23" t="s">
        <v>178</v>
      </c>
      <c r="E5" s="23" t="s">
        <v>179</v>
      </c>
      <c r="F5" s="23" t="s">
        <v>180</v>
      </c>
      <c r="G5" s="23" t="s">
        <v>181</v>
      </c>
      <c r="H5" s="23" t="s">
        <v>182</v>
      </c>
      <c r="I5" s="23" t="s">
        <v>183</v>
      </c>
    </row>
    <row r="6" spans="1:9" ht="43.2" x14ac:dyDescent="0.3">
      <c r="A6" s="23" t="s">
        <v>88</v>
      </c>
      <c r="B6" s="23" t="s">
        <v>184</v>
      </c>
      <c r="C6" s="23" t="s">
        <v>157</v>
      </c>
      <c r="D6" s="23" t="s">
        <v>185</v>
      </c>
      <c r="E6" s="23" t="s">
        <v>186</v>
      </c>
      <c r="F6" s="23" t="s">
        <v>187</v>
      </c>
      <c r="G6" s="23" t="s">
        <v>188</v>
      </c>
      <c r="H6" s="23" t="s">
        <v>189</v>
      </c>
      <c r="I6" s="23" t="s">
        <v>216</v>
      </c>
    </row>
    <row r="7" spans="1:9" ht="43.2" x14ac:dyDescent="0.3">
      <c r="A7" s="23" t="s">
        <v>190</v>
      </c>
      <c r="B7" s="23" t="s">
        <v>191</v>
      </c>
      <c r="C7" s="23" t="s">
        <v>157</v>
      </c>
      <c r="D7" s="23" t="s">
        <v>192</v>
      </c>
      <c r="E7" s="23" t="s">
        <v>193</v>
      </c>
      <c r="F7" s="23" t="s">
        <v>194</v>
      </c>
      <c r="G7" s="23" t="s">
        <v>195</v>
      </c>
      <c r="H7" s="23" t="s">
        <v>196</v>
      </c>
      <c r="I7" s="23" t="s">
        <v>197</v>
      </c>
    </row>
    <row r="8" spans="1:9" ht="43.2" x14ac:dyDescent="0.3">
      <c r="A8" s="23" t="s">
        <v>190</v>
      </c>
      <c r="B8" s="23" t="s">
        <v>89</v>
      </c>
      <c r="C8" s="23" t="s">
        <v>157</v>
      </c>
      <c r="D8" s="23" t="s">
        <v>198</v>
      </c>
      <c r="E8" s="23" t="s">
        <v>199</v>
      </c>
      <c r="F8" s="23" t="s">
        <v>194</v>
      </c>
      <c r="G8" s="23" t="s">
        <v>200</v>
      </c>
      <c r="H8" s="23" t="s">
        <v>201</v>
      </c>
      <c r="I8" s="23" t="s">
        <v>202</v>
      </c>
    </row>
    <row r="9" spans="1:9" ht="28.8" x14ac:dyDescent="0.3">
      <c r="A9" s="23" t="s">
        <v>190</v>
      </c>
      <c r="B9" s="23" t="s">
        <v>203</v>
      </c>
      <c r="C9" s="23" t="s">
        <v>170</v>
      </c>
      <c r="D9" s="23" t="s">
        <v>204</v>
      </c>
      <c r="E9" s="23" t="s">
        <v>205</v>
      </c>
      <c r="F9" s="23" t="s">
        <v>206</v>
      </c>
      <c r="G9" s="23" t="s">
        <v>207</v>
      </c>
      <c r="H9" s="23" t="s">
        <v>208</v>
      </c>
      <c r="I9" s="23" t="s">
        <v>209</v>
      </c>
    </row>
    <row r="10" spans="1:9" ht="28.8" x14ac:dyDescent="0.3">
      <c r="A10" s="23" t="s">
        <v>190</v>
      </c>
      <c r="B10" s="23" t="s">
        <v>210</v>
      </c>
      <c r="C10" s="23" t="s">
        <v>157</v>
      </c>
      <c r="D10" s="23" t="s">
        <v>211</v>
      </c>
      <c r="E10" s="23" t="s">
        <v>212</v>
      </c>
      <c r="F10" s="23" t="s">
        <v>180</v>
      </c>
      <c r="G10" s="23" t="s">
        <v>213</v>
      </c>
      <c r="H10" s="23" t="s">
        <v>214</v>
      </c>
      <c r="I10" s="23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FA2C-EAAE-42CA-BCB8-7B7803841E47}">
  <dimension ref="A1:D23"/>
  <sheetViews>
    <sheetView topLeftCell="A11" zoomScaleNormal="100" workbookViewId="0">
      <selection activeCell="A16" sqref="A16:XFD16"/>
    </sheetView>
  </sheetViews>
  <sheetFormatPr baseColWidth="10" defaultColWidth="35.44140625" defaultRowHeight="14.4" x14ac:dyDescent="0.3"/>
  <cols>
    <col min="1" max="1" width="33.44140625" customWidth="1"/>
    <col min="2" max="2" width="22.44140625" style="1" customWidth="1"/>
    <col min="3" max="3" width="17.21875" style="1" customWidth="1"/>
    <col min="4" max="4" width="38.33203125" style="1" customWidth="1"/>
  </cols>
  <sheetData>
    <row r="1" spans="1:4" x14ac:dyDescent="0.3">
      <c r="A1" s="22" t="s">
        <v>94</v>
      </c>
      <c r="B1" s="37" t="s">
        <v>95</v>
      </c>
      <c r="C1" s="37" t="s">
        <v>102</v>
      </c>
      <c r="D1" s="22" t="s">
        <v>90</v>
      </c>
    </row>
    <row r="2" spans="1:4" x14ac:dyDescent="0.3">
      <c r="A2" s="23" t="s">
        <v>93</v>
      </c>
      <c r="B2" s="44">
        <v>15000000</v>
      </c>
      <c r="C2" s="44">
        <v>2</v>
      </c>
      <c r="D2" s="26" t="s">
        <v>99</v>
      </c>
    </row>
    <row r="3" spans="1:4" x14ac:dyDescent="0.3">
      <c r="A3" s="23" t="s">
        <v>96</v>
      </c>
      <c r="B3" s="44">
        <v>1500000</v>
      </c>
      <c r="C3" s="44">
        <v>1</v>
      </c>
      <c r="D3" s="23" t="s">
        <v>91</v>
      </c>
    </row>
    <row r="4" spans="1:4" x14ac:dyDescent="0.3">
      <c r="A4" s="23" t="s">
        <v>100</v>
      </c>
      <c r="B4" s="44">
        <v>2000000</v>
      </c>
      <c r="C4" s="44">
        <v>2.5</v>
      </c>
      <c r="D4" s="26" t="s">
        <v>101</v>
      </c>
    </row>
    <row r="5" spans="1:4" ht="28.8" x14ac:dyDescent="0.3">
      <c r="A5" s="23" t="s">
        <v>97</v>
      </c>
      <c r="B5" s="44">
        <v>10000000</v>
      </c>
      <c r="C5" s="44">
        <v>1.5</v>
      </c>
      <c r="D5" s="23" t="s">
        <v>92</v>
      </c>
    </row>
    <row r="6" spans="1:4" x14ac:dyDescent="0.3">
      <c r="A6" s="23" t="s">
        <v>98</v>
      </c>
      <c r="B6" s="44">
        <v>2000000</v>
      </c>
      <c r="C6" s="44"/>
      <c r="D6" s="26"/>
    </row>
    <row r="7" spans="1:4" x14ac:dyDescent="0.3">
      <c r="A7" s="22" t="s">
        <v>71</v>
      </c>
      <c r="B7" s="45">
        <f>SUM(B2:B6)</f>
        <v>30500000</v>
      </c>
      <c r="C7" s="45">
        <f>SUM(C2:C6)</f>
        <v>7</v>
      </c>
      <c r="D7" s="26"/>
    </row>
    <row r="9" spans="1:4" ht="28.8" x14ac:dyDescent="0.3">
      <c r="A9" s="22" t="s">
        <v>94</v>
      </c>
      <c r="B9" s="22" t="s">
        <v>106</v>
      </c>
    </row>
    <row r="10" spans="1:4" x14ac:dyDescent="0.3">
      <c r="A10" s="11" t="s">
        <v>93</v>
      </c>
      <c r="B10" s="35">
        <v>750000</v>
      </c>
    </row>
    <row r="11" spans="1:4" x14ac:dyDescent="0.3">
      <c r="A11" s="11" t="s">
        <v>96</v>
      </c>
      <c r="B11" s="35">
        <v>45000</v>
      </c>
    </row>
    <row r="12" spans="1:4" x14ac:dyDescent="0.3">
      <c r="A12" s="11" t="s">
        <v>107</v>
      </c>
      <c r="B12" s="35">
        <v>80000</v>
      </c>
    </row>
    <row r="13" spans="1:4" x14ac:dyDescent="0.3">
      <c r="A13" s="11" t="s">
        <v>97</v>
      </c>
      <c r="B13" s="35">
        <v>700000</v>
      </c>
    </row>
    <row r="14" spans="1:4" x14ac:dyDescent="0.3">
      <c r="A14" s="11" t="s">
        <v>98</v>
      </c>
      <c r="B14" s="35">
        <v>40000</v>
      </c>
    </row>
    <row r="15" spans="1:4" x14ac:dyDescent="0.3">
      <c r="A15" s="36" t="s">
        <v>108</v>
      </c>
      <c r="B15" s="35">
        <f>SUM(B10:B14)</f>
        <v>1615000</v>
      </c>
    </row>
    <row r="16" spans="1:4" x14ac:dyDescent="0.3">
      <c r="B16" s="38"/>
    </row>
    <row r="17" spans="1:2" x14ac:dyDescent="0.3">
      <c r="A17" s="11" t="s">
        <v>115</v>
      </c>
    </row>
    <row r="18" spans="1:2" x14ac:dyDescent="0.3">
      <c r="A18" s="11" t="s">
        <v>116</v>
      </c>
      <c r="B18" s="43">
        <v>1.52</v>
      </c>
    </row>
    <row r="19" spans="1:2" ht="28.8" x14ac:dyDescent="0.3">
      <c r="A19" s="11" t="s">
        <v>117</v>
      </c>
      <c r="B19" s="43">
        <v>6</v>
      </c>
    </row>
    <row r="20" spans="1:2" x14ac:dyDescent="0.3">
      <c r="A20" s="11" t="s">
        <v>118</v>
      </c>
      <c r="B20" s="46">
        <v>0.3</v>
      </c>
    </row>
    <row r="21" spans="1:2" x14ac:dyDescent="0.3">
      <c r="A21" s="11" t="s">
        <v>119</v>
      </c>
      <c r="B21" s="47">
        <f>+B18*B19*B20</f>
        <v>2.7360000000000002</v>
      </c>
    </row>
    <row r="22" spans="1:2" x14ac:dyDescent="0.3">
      <c r="A22" s="11" t="s">
        <v>120</v>
      </c>
      <c r="B22" s="43">
        <v>532.49</v>
      </c>
    </row>
    <row r="23" spans="1:2" x14ac:dyDescent="0.3">
      <c r="B23" s="42">
        <f>+B21*30*B22</f>
        <v>43706.779200000004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2B39-0EF9-4868-9658-6846A1934EC4}">
  <dimension ref="A1:M21"/>
  <sheetViews>
    <sheetView workbookViewId="0">
      <selection activeCell="D17" sqref="D17:L17"/>
    </sheetView>
  </sheetViews>
  <sheetFormatPr baseColWidth="10" defaultRowHeight="14.4" x14ac:dyDescent="0.3"/>
  <cols>
    <col min="1" max="1" width="38.44140625" bestFit="1" customWidth="1"/>
    <col min="2" max="2" width="13.109375" customWidth="1"/>
    <col min="3" max="3" width="14.6640625" bestFit="1" customWidth="1"/>
    <col min="4" max="4" width="14" bestFit="1" customWidth="1"/>
    <col min="8" max="8" width="11.44140625" bestFit="1" customWidth="1"/>
  </cols>
  <sheetData>
    <row r="1" spans="1:13" x14ac:dyDescent="0.3">
      <c r="A1" s="40" t="s">
        <v>18</v>
      </c>
      <c r="B1" s="40"/>
      <c r="C1" s="43" t="s">
        <v>126</v>
      </c>
      <c r="D1" s="43" t="s">
        <v>127</v>
      </c>
      <c r="E1" s="43" t="s">
        <v>128</v>
      </c>
      <c r="F1" s="43" t="s">
        <v>129</v>
      </c>
      <c r="G1" s="43" t="s">
        <v>130</v>
      </c>
      <c r="H1" s="43" t="s">
        <v>131</v>
      </c>
      <c r="I1" s="43" t="s">
        <v>132</v>
      </c>
      <c r="J1" s="43" t="s">
        <v>133</v>
      </c>
      <c r="K1" s="43" t="s">
        <v>134</v>
      </c>
      <c r="L1" s="43" t="s">
        <v>135</v>
      </c>
    </row>
    <row r="2" spans="1:13" x14ac:dyDescent="0.3">
      <c r="A2" s="40" t="s">
        <v>103</v>
      </c>
      <c r="B2" s="40"/>
      <c r="C2" s="49">
        <f>+'Costos Biodigestor'!B9</f>
        <v>27000000</v>
      </c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3">
      <c r="A3" s="40" t="s">
        <v>105</v>
      </c>
      <c r="B3" s="40"/>
      <c r="C3" s="49">
        <f>+'Gas-Electricidad'!B7</f>
        <v>30500000</v>
      </c>
      <c r="D3" s="40"/>
      <c r="E3" s="40"/>
      <c r="F3" s="40"/>
      <c r="G3" s="40"/>
      <c r="H3" s="40"/>
      <c r="I3" s="40"/>
      <c r="J3" s="40"/>
      <c r="K3" s="40"/>
      <c r="L3" s="40"/>
    </row>
    <row r="4" spans="1:13" x14ac:dyDescent="0.3">
      <c r="A4" s="41" t="s">
        <v>110</v>
      </c>
      <c r="B4" s="41"/>
      <c r="C4" s="51">
        <f>SUM(C2:C3)</f>
        <v>57500000</v>
      </c>
      <c r="D4" s="40"/>
      <c r="E4" s="40"/>
      <c r="F4" s="40"/>
      <c r="G4" s="40"/>
      <c r="H4" s="40"/>
      <c r="I4" s="40"/>
      <c r="J4" s="40"/>
      <c r="K4" s="40"/>
      <c r="L4" s="40"/>
    </row>
    <row r="6" spans="1:13" x14ac:dyDescent="0.3">
      <c r="A6" s="40" t="s">
        <v>112</v>
      </c>
      <c r="B6" s="40"/>
      <c r="C6" s="50">
        <f>10*5*4200*4*12</f>
        <v>10080000</v>
      </c>
      <c r="D6" s="50">
        <f>+C6*1.05</f>
        <v>10584000</v>
      </c>
      <c r="E6" s="50">
        <f t="shared" ref="E6:L6" si="0">+D6*1.05</f>
        <v>11113200</v>
      </c>
      <c r="F6" s="50">
        <f t="shared" si="0"/>
        <v>11668860</v>
      </c>
      <c r="G6" s="50">
        <f t="shared" si="0"/>
        <v>12252303</v>
      </c>
      <c r="H6" s="50">
        <f t="shared" si="0"/>
        <v>12864918.15</v>
      </c>
      <c r="I6" s="50">
        <f t="shared" si="0"/>
        <v>13508164.057500001</v>
      </c>
      <c r="J6" s="50">
        <f t="shared" si="0"/>
        <v>14183572.260375002</v>
      </c>
      <c r="K6" s="50">
        <f t="shared" si="0"/>
        <v>14892750.873393754</v>
      </c>
      <c r="L6" s="50">
        <f t="shared" si="0"/>
        <v>15637388.417063441</v>
      </c>
    </row>
    <row r="7" spans="1:13" x14ac:dyDescent="0.3">
      <c r="A7" s="40" t="s">
        <v>111</v>
      </c>
      <c r="B7" s="40"/>
      <c r="C7" s="50">
        <f>+'Gas-Electricidad'!B23*12</f>
        <v>524481.35040000011</v>
      </c>
      <c r="D7" s="50">
        <f>+C7*1.1</f>
        <v>576929.48544000019</v>
      </c>
      <c r="E7" s="50">
        <f t="shared" ref="E7:L7" si="1">+D7*1.1</f>
        <v>634622.43398400024</v>
      </c>
      <c r="F7" s="50">
        <f t="shared" si="1"/>
        <v>698084.67738240026</v>
      </c>
      <c r="G7" s="50">
        <f t="shared" si="1"/>
        <v>767893.1451206404</v>
      </c>
      <c r="H7" s="50">
        <f t="shared" si="1"/>
        <v>844682.4596327045</v>
      </c>
      <c r="I7" s="50">
        <f t="shared" si="1"/>
        <v>929150.70559597504</v>
      </c>
      <c r="J7" s="50">
        <f t="shared" si="1"/>
        <v>1022065.7761555726</v>
      </c>
      <c r="K7" s="50">
        <f t="shared" si="1"/>
        <v>1124272.3537711299</v>
      </c>
      <c r="L7" s="50">
        <f t="shared" si="1"/>
        <v>1236699.589148243</v>
      </c>
    </row>
    <row r="8" spans="1:13" s="24" customFormat="1" x14ac:dyDescent="0.3">
      <c r="A8" s="41" t="s">
        <v>113</v>
      </c>
      <c r="B8" s="41"/>
      <c r="C8" s="51">
        <f>SUM(C6:C7)</f>
        <v>10604481.350400001</v>
      </c>
      <c r="D8" s="51">
        <f>SUM(D6:D7)</f>
        <v>11160929.485440001</v>
      </c>
      <c r="E8" s="51">
        <f t="shared" ref="E8:L8" si="2">SUM(E6:E7)</f>
        <v>11747822.433984</v>
      </c>
      <c r="F8" s="51">
        <f t="shared" si="2"/>
        <v>12366944.6773824</v>
      </c>
      <c r="G8" s="51">
        <f t="shared" si="2"/>
        <v>13020196.145120641</v>
      </c>
      <c r="H8" s="51">
        <f t="shared" si="2"/>
        <v>13709600.609632704</v>
      </c>
      <c r="I8" s="51">
        <f t="shared" si="2"/>
        <v>14437314.763095977</v>
      </c>
      <c r="J8" s="51">
        <f t="shared" si="2"/>
        <v>15205638.036530575</v>
      </c>
      <c r="K8" s="51">
        <f t="shared" si="2"/>
        <v>16017023.227164883</v>
      </c>
      <c r="L8" s="51">
        <f t="shared" si="2"/>
        <v>16874088.006211683</v>
      </c>
    </row>
    <row r="10" spans="1:13" x14ac:dyDescent="0.3">
      <c r="A10" s="40" t="s">
        <v>104</v>
      </c>
      <c r="B10" s="40"/>
      <c r="C10" s="49">
        <f>+'Costos Biodigestor'!B17</f>
        <v>3600000</v>
      </c>
      <c r="D10" s="50">
        <f>+C10*1.08</f>
        <v>3888000.0000000005</v>
      </c>
      <c r="E10" s="50">
        <f t="shared" ref="E10:L10" si="3">+D10*1.08</f>
        <v>4199040.0000000009</v>
      </c>
      <c r="F10" s="50">
        <f t="shared" si="3"/>
        <v>4534963.2000000011</v>
      </c>
      <c r="G10" s="50">
        <f t="shared" si="3"/>
        <v>4897760.2560000019</v>
      </c>
      <c r="H10" s="50">
        <f t="shared" si="3"/>
        <v>5289581.0764800021</v>
      </c>
      <c r="I10" s="50">
        <f t="shared" si="3"/>
        <v>5712747.5625984026</v>
      </c>
      <c r="J10" s="50">
        <f t="shared" si="3"/>
        <v>6169767.3676062748</v>
      </c>
      <c r="K10" s="50">
        <f t="shared" si="3"/>
        <v>6663348.7570147775</v>
      </c>
      <c r="L10" s="50">
        <f t="shared" si="3"/>
        <v>7196416.6575759603</v>
      </c>
    </row>
    <row r="11" spans="1:13" x14ac:dyDescent="0.3">
      <c r="A11" s="40" t="s">
        <v>109</v>
      </c>
      <c r="B11" s="40"/>
      <c r="C11" s="49">
        <f>+'Gas-Electricidad'!B15</f>
        <v>1615000</v>
      </c>
      <c r="D11" s="50">
        <f>+C11*1.08</f>
        <v>1744200</v>
      </c>
      <c r="E11" s="50">
        <f t="shared" ref="E11:L11" si="4">+D11*1.08</f>
        <v>1883736.0000000002</v>
      </c>
      <c r="F11" s="50">
        <f t="shared" si="4"/>
        <v>2034434.8800000004</v>
      </c>
      <c r="G11" s="50">
        <f t="shared" si="4"/>
        <v>2197189.6704000006</v>
      </c>
      <c r="H11" s="50">
        <f t="shared" si="4"/>
        <v>2372964.8440320008</v>
      </c>
      <c r="I11" s="50">
        <f t="shared" si="4"/>
        <v>2562802.0315545611</v>
      </c>
      <c r="J11" s="50">
        <f t="shared" si="4"/>
        <v>2767826.194078926</v>
      </c>
      <c r="K11" s="50">
        <f t="shared" si="4"/>
        <v>2989252.2896052403</v>
      </c>
      <c r="L11" s="50">
        <f t="shared" si="4"/>
        <v>3228392.47277366</v>
      </c>
    </row>
    <row r="12" spans="1:13" s="24" customFormat="1" x14ac:dyDescent="0.3">
      <c r="A12" s="41" t="s">
        <v>78</v>
      </c>
      <c r="B12" s="51">
        <f>+-C4</f>
        <v>-57500000</v>
      </c>
      <c r="C12" s="51">
        <f>SUM(C10:C11)</f>
        <v>5215000</v>
      </c>
      <c r="D12" s="51">
        <f>SUM(D10:D11)</f>
        <v>5632200</v>
      </c>
      <c r="E12" s="51">
        <f t="shared" ref="E12:L12" si="5">SUM(E10:E11)</f>
        <v>6082776.0000000009</v>
      </c>
      <c r="F12" s="51">
        <f t="shared" si="5"/>
        <v>6569398.0800000019</v>
      </c>
      <c r="G12" s="51">
        <f t="shared" si="5"/>
        <v>7094949.9264000021</v>
      </c>
      <c r="H12" s="51">
        <f t="shared" si="5"/>
        <v>7662545.9205120029</v>
      </c>
      <c r="I12" s="51">
        <f t="shared" si="5"/>
        <v>8275549.5941529637</v>
      </c>
      <c r="J12" s="51">
        <f t="shared" si="5"/>
        <v>8937593.5616852008</v>
      </c>
      <c r="K12" s="51">
        <f t="shared" si="5"/>
        <v>9652601.0466200188</v>
      </c>
      <c r="L12" s="51">
        <f t="shared" si="5"/>
        <v>10424809.130349621</v>
      </c>
    </row>
    <row r="14" spans="1:13" x14ac:dyDescent="0.3">
      <c r="A14" s="40" t="s">
        <v>121</v>
      </c>
      <c r="B14" s="40"/>
      <c r="C14" s="49">
        <f>+C8-C12</f>
        <v>5389481.3504000008</v>
      </c>
      <c r="D14" s="49">
        <f t="shared" ref="D14:L14" si="6">+D8-D12</f>
        <v>5528729.4854400009</v>
      </c>
      <c r="E14" s="49">
        <f t="shared" si="6"/>
        <v>5665046.4339839993</v>
      </c>
      <c r="F14" s="49">
        <f t="shared" si="6"/>
        <v>5797546.5973823983</v>
      </c>
      <c r="G14" s="49">
        <f t="shared" si="6"/>
        <v>5925246.2187206391</v>
      </c>
      <c r="H14" s="49">
        <f t="shared" si="6"/>
        <v>6047054.6891207015</v>
      </c>
      <c r="I14" s="49">
        <f t="shared" si="6"/>
        <v>6161765.1689430131</v>
      </c>
      <c r="J14" s="49">
        <f t="shared" si="6"/>
        <v>6268044.474845374</v>
      </c>
      <c r="K14" s="49">
        <f t="shared" si="6"/>
        <v>6364422.1805448644</v>
      </c>
      <c r="L14" s="49">
        <f t="shared" si="6"/>
        <v>6449278.875862062</v>
      </c>
      <c r="M14" s="33"/>
    </row>
    <row r="15" spans="1:13" x14ac:dyDescent="0.3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28.2" customHeight="1" x14ac:dyDescent="0.3">
      <c r="A16" s="40" t="s">
        <v>122</v>
      </c>
      <c r="B16" s="40"/>
      <c r="C16" s="52">
        <f>+NPV(0.12,C14:L14)-C4</f>
        <v>-24447612.71793063</v>
      </c>
      <c r="D16" s="66" t="s">
        <v>136</v>
      </c>
      <c r="E16" s="66"/>
      <c r="F16" s="66"/>
      <c r="G16" s="66"/>
      <c r="H16" s="66"/>
      <c r="I16" s="66"/>
      <c r="J16" s="66"/>
      <c r="K16" s="66"/>
      <c r="L16" s="66"/>
      <c r="M16" s="48"/>
    </row>
    <row r="17" spans="1:12" ht="27" customHeight="1" x14ac:dyDescent="0.3">
      <c r="A17" s="40" t="s">
        <v>123</v>
      </c>
      <c r="B17" s="40"/>
      <c r="C17" s="53">
        <f>+IRR(B12:L12)</f>
        <v>4.7004351271054068E-2</v>
      </c>
      <c r="D17" s="66" t="s">
        <v>137</v>
      </c>
      <c r="E17" s="66"/>
      <c r="F17" s="66"/>
      <c r="G17" s="66"/>
      <c r="H17" s="66"/>
      <c r="I17" s="66"/>
      <c r="J17" s="66"/>
      <c r="K17" s="66"/>
      <c r="L17" s="66"/>
    </row>
    <row r="18" spans="1:12" x14ac:dyDescent="0.3">
      <c r="A18" s="40" t="s">
        <v>124</v>
      </c>
      <c r="B18" s="40"/>
      <c r="C18" s="54">
        <f>+(SUM(C14:L14)-C4)/C4</f>
        <v>3.6462877830313857E-2</v>
      </c>
      <c r="D18" s="59" t="s">
        <v>138</v>
      </c>
      <c r="E18" s="59"/>
      <c r="F18" s="59"/>
      <c r="G18" s="59"/>
      <c r="H18" s="59"/>
      <c r="I18" s="59"/>
      <c r="J18" s="59"/>
      <c r="K18" s="59"/>
      <c r="L18" s="59"/>
    </row>
    <row r="19" spans="1:12" x14ac:dyDescent="0.3">
      <c r="A19" s="40" t="s">
        <v>125</v>
      </c>
      <c r="B19" s="40"/>
      <c r="C19" s="55">
        <f>+C4/(SUM(C14:L14)/10)</f>
        <v>9.648198902148394</v>
      </c>
      <c r="D19" s="66" t="s">
        <v>139</v>
      </c>
      <c r="E19" s="66"/>
      <c r="F19" s="66"/>
      <c r="G19" s="66"/>
      <c r="H19" s="66"/>
      <c r="I19" s="66"/>
      <c r="J19" s="66"/>
      <c r="K19" s="66"/>
      <c r="L19" s="66"/>
    </row>
    <row r="21" spans="1:12" x14ac:dyDescent="0.3">
      <c r="C21">
        <f>+C4*0.42</f>
        <v>24150000</v>
      </c>
    </row>
  </sheetData>
  <mergeCells count="4">
    <mergeCell ref="D16:L16"/>
    <mergeCell ref="D17:L17"/>
    <mergeCell ref="D18:L18"/>
    <mergeCell ref="D19:L19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A017A-EDF1-45E7-B640-71DFD9B576F2}">
  <dimension ref="A1:M20"/>
  <sheetViews>
    <sheetView topLeftCell="A7" workbookViewId="0">
      <selection activeCell="D4" sqref="D4"/>
    </sheetView>
  </sheetViews>
  <sheetFormatPr baseColWidth="10" defaultRowHeight="14.4" x14ac:dyDescent="0.3"/>
  <cols>
    <col min="1" max="1" width="38.44140625" bestFit="1" customWidth="1"/>
    <col min="2" max="2" width="13.109375" customWidth="1"/>
    <col min="3" max="3" width="14.6640625" bestFit="1" customWidth="1"/>
    <col min="4" max="4" width="14" bestFit="1" customWidth="1"/>
    <col min="8" max="8" width="11.44140625" bestFit="1" customWidth="1"/>
  </cols>
  <sheetData>
    <row r="1" spans="1:13" x14ac:dyDescent="0.3">
      <c r="A1" s="40" t="s">
        <v>18</v>
      </c>
      <c r="B1" s="40"/>
      <c r="C1" s="43" t="s">
        <v>126</v>
      </c>
      <c r="D1" s="43" t="s">
        <v>127</v>
      </c>
      <c r="E1" s="43" t="s">
        <v>128</v>
      </c>
      <c r="F1" s="43" t="s">
        <v>129</v>
      </c>
      <c r="G1" s="43" t="s">
        <v>130</v>
      </c>
      <c r="H1" s="43" t="s">
        <v>131</v>
      </c>
      <c r="I1" s="43" t="s">
        <v>132</v>
      </c>
      <c r="J1" s="43" t="s">
        <v>133</v>
      </c>
      <c r="K1" s="43" t="s">
        <v>134</v>
      </c>
      <c r="L1" s="43" t="s">
        <v>135</v>
      </c>
    </row>
    <row r="2" spans="1:13" x14ac:dyDescent="0.3">
      <c r="A2" s="40" t="s">
        <v>103</v>
      </c>
      <c r="B2" s="40"/>
      <c r="C2" s="49">
        <f>+'Costos Biodigestor'!B9</f>
        <v>27000000</v>
      </c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3">
      <c r="A3" s="40" t="s">
        <v>105</v>
      </c>
      <c r="B3" s="40"/>
      <c r="C3" s="49">
        <f>+'Gas-Electricidad'!B7</f>
        <v>30500000</v>
      </c>
      <c r="D3" s="40"/>
      <c r="E3" s="40"/>
      <c r="F3" s="40"/>
      <c r="G3" s="40"/>
      <c r="H3" s="40"/>
      <c r="I3" s="40"/>
      <c r="J3" s="40"/>
      <c r="K3" s="40"/>
      <c r="L3" s="40"/>
    </row>
    <row r="4" spans="1:13" x14ac:dyDescent="0.3">
      <c r="A4" s="40" t="s">
        <v>140</v>
      </c>
      <c r="B4" s="40"/>
      <c r="C4" s="49">
        <v>24450000</v>
      </c>
      <c r="D4" s="54">
        <f>+C4/'Analisis Financiero'!C4</f>
        <v>0.42521739130434782</v>
      </c>
      <c r="E4" s="40"/>
      <c r="F4" s="40"/>
      <c r="G4" s="40"/>
      <c r="H4" s="40"/>
      <c r="I4" s="40"/>
      <c r="J4" s="40"/>
      <c r="K4" s="40"/>
      <c r="L4" s="40"/>
    </row>
    <row r="5" spans="1:13" x14ac:dyDescent="0.3">
      <c r="A5" s="41" t="s">
        <v>110</v>
      </c>
      <c r="B5" s="41"/>
      <c r="C5" s="51">
        <f>SUM(C2:C3)-C4</f>
        <v>33050000</v>
      </c>
      <c r="D5" s="40"/>
      <c r="E5" s="40"/>
      <c r="F5" s="40"/>
      <c r="G5" s="40"/>
      <c r="H5" s="40"/>
      <c r="I5" s="40"/>
      <c r="J5" s="40"/>
      <c r="K5" s="40"/>
      <c r="L5" s="40"/>
    </row>
    <row r="7" spans="1:13" x14ac:dyDescent="0.3">
      <c r="A7" s="40" t="s">
        <v>112</v>
      </c>
      <c r="B7" s="40"/>
      <c r="C7" s="50">
        <f>10*5*4200*4*12</f>
        <v>10080000</v>
      </c>
      <c r="D7" s="50">
        <f>+C7*1.05</f>
        <v>10584000</v>
      </c>
      <c r="E7" s="50">
        <f t="shared" ref="E7:L7" si="0">+D7*1.05</f>
        <v>11113200</v>
      </c>
      <c r="F7" s="50">
        <f t="shared" si="0"/>
        <v>11668860</v>
      </c>
      <c r="G7" s="50">
        <f t="shared" si="0"/>
        <v>12252303</v>
      </c>
      <c r="H7" s="50">
        <f t="shared" si="0"/>
        <v>12864918.15</v>
      </c>
      <c r="I7" s="50">
        <f t="shared" si="0"/>
        <v>13508164.057500001</v>
      </c>
      <c r="J7" s="50">
        <f t="shared" si="0"/>
        <v>14183572.260375002</v>
      </c>
      <c r="K7" s="50">
        <f t="shared" si="0"/>
        <v>14892750.873393754</v>
      </c>
      <c r="L7" s="50">
        <f t="shared" si="0"/>
        <v>15637388.417063441</v>
      </c>
    </row>
    <row r="8" spans="1:13" x14ac:dyDescent="0.3">
      <c r="A8" s="40" t="s">
        <v>111</v>
      </c>
      <c r="B8" s="40"/>
      <c r="C8" s="50">
        <f>+'Gas-Electricidad'!B23*12</f>
        <v>524481.35040000011</v>
      </c>
      <c r="D8" s="50">
        <f>+C8*1.1</f>
        <v>576929.48544000019</v>
      </c>
      <c r="E8" s="50">
        <f t="shared" ref="E8:L8" si="1">+D8*1.1</f>
        <v>634622.43398400024</v>
      </c>
      <c r="F8" s="50">
        <f t="shared" si="1"/>
        <v>698084.67738240026</v>
      </c>
      <c r="G8" s="50">
        <f t="shared" si="1"/>
        <v>767893.1451206404</v>
      </c>
      <c r="H8" s="50">
        <f t="shared" si="1"/>
        <v>844682.4596327045</v>
      </c>
      <c r="I8" s="50">
        <f t="shared" si="1"/>
        <v>929150.70559597504</v>
      </c>
      <c r="J8" s="50">
        <f t="shared" si="1"/>
        <v>1022065.7761555726</v>
      </c>
      <c r="K8" s="50">
        <f t="shared" si="1"/>
        <v>1124272.3537711299</v>
      </c>
      <c r="L8" s="50">
        <f t="shared" si="1"/>
        <v>1236699.589148243</v>
      </c>
    </row>
    <row r="9" spans="1:13" s="24" customFormat="1" x14ac:dyDescent="0.3">
      <c r="A9" s="41" t="s">
        <v>113</v>
      </c>
      <c r="B9" s="41"/>
      <c r="C9" s="51">
        <f>SUM(C7:C8)</f>
        <v>10604481.350400001</v>
      </c>
      <c r="D9" s="51">
        <f>SUM(D7:D8)</f>
        <v>11160929.485440001</v>
      </c>
      <c r="E9" s="51">
        <f t="shared" ref="E9:L9" si="2">SUM(E7:E8)</f>
        <v>11747822.433984</v>
      </c>
      <c r="F9" s="51">
        <f t="shared" si="2"/>
        <v>12366944.6773824</v>
      </c>
      <c r="G9" s="51">
        <f t="shared" si="2"/>
        <v>13020196.145120641</v>
      </c>
      <c r="H9" s="51">
        <f t="shared" si="2"/>
        <v>13709600.609632704</v>
      </c>
      <c r="I9" s="51">
        <f t="shared" si="2"/>
        <v>14437314.763095977</v>
      </c>
      <c r="J9" s="51">
        <f t="shared" si="2"/>
        <v>15205638.036530575</v>
      </c>
      <c r="K9" s="51">
        <f t="shared" si="2"/>
        <v>16017023.227164883</v>
      </c>
      <c r="L9" s="51">
        <f t="shared" si="2"/>
        <v>16874088.006211683</v>
      </c>
    </row>
    <row r="11" spans="1:13" x14ac:dyDescent="0.3">
      <c r="A11" s="40" t="s">
        <v>104</v>
      </c>
      <c r="B11" s="40"/>
      <c r="C11" s="49">
        <f>+'Costos Biodigestor'!B17</f>
        <v>3600000</v>
      </c>
      <c r="D11" s="50">
        <f>+C11*1.08</f>
        <v>3888000.0000000005</v>
      </c>
      <c r="E11" s="50">
        <f t="shared" ref="E11:L12" si="3">+D11*1.08</f>
        <v>4199040.0000000009</v>
      </c>
      <c r="F11" s="50">
        <f t="shared" si="3"/>
        <v>4534963.2000000011</v>
      </c>
      <c r="G11" s="50">
        <f t="shared" si="3"/>
        <v>4897760.2560000019</v>
      </c>
      <c r="H11" s="50">
        <f t="shared" si="3"/>
        <v>5289581.0764800021</v>
      </c>
      <c r="I11" s="50">
        <f t="shared" si="3"/>
        <v>5712747.5625984026</v>
      </c>
      <c r="J11" s="50">
        <f t="shared" si="3"/>
        <v>6169767.3676062748</v>
      </c>
      <c r="K11" s="50">
        <f t="shared" si="3"/>
        <v>6663348.7570147775</v>
      </c>
      <c r="L11" s="50">
        <f t="shared" si="3"/>
        <v>7196416.6575759603</v>
      </c>
    </row>
    <row r="12" spans="1:13" x14ac:dyDescent="0.3">
      <c r="A12" s="40" t="s">
        <v>109</v>
      </c>
      <c r="B12" s="40"/>
      <c r="C12" s="49">
        <f>+'Gas-Electricidad'!B15</f>
        <v>1615000</v>
      </c>
      <c r="D12" s="50">
        <f>+C12*1.08</f>
        <v>1744200</v>
      </c>
      <c r="E12" s="50">
        <f t="shared" si="3"/>
        <v>1883736.0000000002</v>
      </c>
      <c r="F12" s="50">
        <f t="shared" si="3"/>
        <v>2034434.8800000004</v>
      </c>
      <c r="G12" s="50">
        <f t="shared" si="3"/>
        <v>2197189.6704000006</v>
      </c>
      <c r="H12" s="50">
        <f t="shared" si="3"/>
        <v>2372964.8440320008</v>
      </c>
      <c r="I12" s="50">
        <f t="shared" si="3"/>
        <v>2562802.0315545611</v>
      </c>
      <c r="J12" s="50">
        <f t="shared" si="3"/>
        <v>2767826.194078926</v>
      </c>
      <c r="K12" s="50">
        <f t="shared" si="3"/>
        <v>2989252.2896052403</v>
      </c>
      <c r="L12" s="50">
        <f t="shared" si="3"/>
        <v>3228392.47277366</v>
      </c>
    </row>
    <row r="13" spans="1:13" s="24" customFormat="1" x14ac:dyDescent="0.3">
      <c r="A13" s="41" t="s">
        <v>78</v>
      </c>
      <c r="B13" s="51">
        <f>+-C5</f>
        <v>-33050000</v>
      </c>
      <c r="C13" s="51">
        <f>SUM(C11:C12)</f>
        <v>5215000</v>
      </c>
      <c r="D13" s="51">
        <f>SUM(D11:D12)</f>
        <v>5632200</v>
      </c>
      <c r="E13" s="51">
        <f t="shared" ref="E13:L13" si="4">SUM(E11:E12)</f>
        <v>6082776.0000000009</v>
      </c>
      <c r="F13" s="51">
        <f t="shared" si="4"/>
        <v>6569398.0800000019</v>
      </c>
      <c r="G13" s="51">
        <f t="shared" si="4"/>
        <v>7094949.9264000021</v>
      </c>
      <c r="H13" s="51">
        <f t="shared" si="4"/>
        <v>7662545.9205120029</v>
      </c>
      <c r="I13" s="51">
        <f t="shared" si="4"/>
        <v>8275549.5941529637</v>
      </c>
      <c r="J13" s="51">
        <f t="shared" si="4"/>
        <v>8937593.5616852008</v>
      </c>
      <c r="K13" s="51">
        <f t="shared" si="4"/>
        <v>9652601.0466200188</v>
      </c>
      <c r="L13" s="51">
        <f t="shared" si="4"/>
        <v>10424809.130349621</v>
      </c>
    </row>
    <row r="15" spans="1:13" x14ac:dyDescent="0.3">
      <c r="A15" s="40" t="s">
        <v>121</v>
      </c>
      <c r="B15" s="40"/>
      <c r="C15" s="49">
        <f>+C9-C13</f>
        <v>5389481.3504000008</v>
      </c>
      <c r="D15" s="49">
        <f t="shared" ref="D15:L15" si="5">+D9-D13</f>
        <v>5528729.4854400009</v>
      </c>
      <c r="E15" s="49">
        <f t="shared" si="5"/>
        <v>5665046.4339839993</v>
      </c>
      <c r="F15" s="49">
        <f t="shared" si="5"/>
        <v>5797546.5973823983</v>
      </c>
      <c r="G15" s="49">
        <f t="shared" si="5"/>
        <v>5925246.2187206391</v>
      </c>
      <c r="H15" s="49">
        <f t="shared" si="5"/>
        <v>6047054.6891207015</v>
      </c>
      <c r="I15" s="49">
        <f t="shared" si="5"/>
        <v>6161765.1689430131</v>
      </c>
      <c r="J15" s="49">
        <f t="shared" si="5"/>
        <v>6268044.474845374</v>
      </c>
      <c r="K15" s="49">
        <f t="shared" si="5"/>
        <v>6364422.1805448644</v>
      </c>
      <c r="L15" s="49">
        <f t="shared" si="5"/>
        <v>6449278.875862062</v>
      </c>
      <c r="M15" s="33"/>
    </row>
    <row r="16" spans="1:13" x14ac:dyDescent="0.3"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28.2" customHeight="1" x14ac:dyDescent="0.3">
      <c r="A17" s="40" t="s">
        <v>122</v>
      </c>
      <c r="B17" s="40"/>
      <c r="C17" s="52">
        <f>+NPV(0.12,C15:L15)-C5</f>
        <v>2387.2820693701506</v>
      </c>
      <c r="D17" s="66" t="s">
        <v>141</v>
      </c>
      <c r="E17" s="66"/>
      <c r="F17" s="66"/>
      <c r="G17" s="66"/>
      <c r="H17" s="66"/>
      <c r="I17" s="66"/>
      <c r="J17" s="66"/>
      <c r="K17" s="66"/>
      <c r="L17" s="66"/>
      <c r="M17" s="48"/>
    </row>
    <row r="18" spans="1:13" ht="27" customHeight="1" x14ac:dyDescent="0.3">
      <c r="A18" s="40" t="s">
        <v>123</v>
      </c>
      <c r="B18" s="40"/>
      <c r="C18" s="53">
        <f>+IRR(B13:L13)</f>
        <v>0.16167666294151717</v>
      </c>
      <c r="D18" s="66" t="s">
        <v>144</v>
      </c>
      <c r="E18" s="66"/>
      <c r="F18" s="66"/>
      <c r="G18" s="66"/>
      <c r="H18" s="66"/>
      <c r="I18" s="66"/>
      <c r="J18" s="66"/>
      <c r="K18" s="66"/>
      <c r="L18" s="66"/>
    </row>
    <row r="19" spans="1:13" x14ac:dyDescent="0.3">
      <c r="A19" s="40" t="s">
        <v>124</v>
      </c>
      <c r="B19" s="40"/>
      <c r="C19" s="54">
        <f>+(SUM(C15:L15)-C5)/C5</f>
        <v>0.80322588427361719</v>
      </c>
      <c r="D19" s="59" t="s">
        <v>142</v>
      </c>
      <c r="E19" s="59"/>
      <c r="F19" s="59"/>
      <c r="G19" s="59"/>
      <c r="H19" s="59"/>
      <c r="I19" s="59"/>
      <c r="J19" s="59"/>
      <c r="K19" s="59"/>
      <c r="L19" s="59"/>
    </row>
    <row r="20" spans="1:13" x14ac:dyDescent="0.3">
      <c r="A20" s="40" t="s">
        <v>125</v>
      </c>
      <c r="B20" s="40"/>
      <c r="C20" s="55">
        <f>+C5/(SUM(C15:L15)/10)</f>
        <v>5.545616934191381</v>
      </c>
      <c r="D20" s="66" t="s">
        <v>143</v>
      </c>
      <c r="E20" s="66"/>
      <c r="F20" s="66"/>
      <c r="G20" s="66"/>
      <c r="H20" s="66"/>
      <c r="I20" s="66"/>
      <c r="J20" s="66"/>
      <c r="K20" s="66"/>
      <c r="L20" s="66"/>
    </row>
  </sheetData>
  <mergeCells count="4">
    <mergeCell ref="D17:L17"/>
    <mergeCell ref="D18:L18"/>
    <mergeCell ref="D19:L19"/>
    <mergeCell ref="D20:L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142F-89B1-4EC0-A4B2-524B53E8D787}">
  <dimension ref="A1:M20"/>
  <sheetViews>
    <sheetView topLeftCell="A10" workbookViewId="0">
      <selection activeCell="A17" sqref="A17:L20"/>
    </sheetView>
  </sheetViews>
  <sheetFormatPr baseColWidth="10" defaultRowHeight="14.4" x14ac:dyDescent="0.3"/>
  <cols>
    <col min="1" max="1" width="38.44140625" bestFit="1" customWidth="1"/>
    <col min="2" max="2" width="13.109375" customWidth="1"/>
    <col min="3" max="3" width="14.6640625" bestFit="1" customWidth="1"/>
    <col min="4" max="4" width="14" bestFit="1" customWidth="1"/>
    <col min="8" max="8" width="11.44140625" bestFit="1" customWidth="1"/>
  </cols>
  <sheetData>
    <row r="1" spans="1:13" x14ac:dyDescent="0.3">
      <c r="A1" s="40" t="s">
        <v>18</v>
      </c>
      <c r="B1" s="40"/>
      <c r="C1" s="43" t="s">
        <v>126</v>
      </c>
      <c r="D1" s="43" t="s">
        <v>127</v>
      </c>
      <c r="E1" s="43" t="s">
        <v>128</v>
      </c>
      <c r="F1" s="43" t="s">
        <v>129</v>
      </c>
      <c r="G1" s="43" t="s">
        <v>130</v>
      </c>
      <c r="H1" s="43" t="s">
        <v>131</v>
      </c>
      <c r="I1" s="43" t="s">
        <v>132</v>
      </c>
      <c r="J1" s="43" t="s">
        <v>133</v>
      </c>
      <c r="K1" s="43" t="s">
        <v>134</v>
      </c>
      <c r="L1" s="43" t="s">
        <v>135</v>
      </c>
    </row>
    <row r="2" spans="1:13" x14ac:dyDescent="0.3">
      <c r="A2" s="40" t="s">
        <v>103</v>
      </c>
      <c r="B2" s="40"/>
      <c r="C2" s="49">
        <f>+'Costos Biodigestor'!B9</f>
        <v>27000000</v>
      </c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3">
      <c r="A3" s="40" t="s">
        <v>105</v>
      </c>
      <c r="B3" s="40"/>
      <c r="C3" s="49">
        <f>+'Gas-Electricidad'!B7</f>
        <v>30500000</v>
      </c>
      <c r="D3" s="40"/>
      <c r="E3" s="40"/>
      <c r="F3" s="40"/>
      <c r="G3" s="40"/>
      <c r="H3" s="40"/>
      <c r="I3" s="40"/>
      <c r="J3" s="40"/>
      <c r="K3" s="40"/>
      <c r="L3" s="40"/>
    </row>
    <row r="4" spans="1:13" x14ac:dyDescent="0.3">
      <c r="A4" s="40" t="s">
        <v>140</v>
      </c>
      <c r="B4" s="40"/>
      <c r="C4" s="49">
        <v>46000000</v>
      </c>
      <c r="D4" s="54">
        <f>+C4/'Analisis Financiero'!C4</f>
        <v>0.8</v>
      </c>
      <c r="E4" s="40"/>
      <c r="F4" s="40"/>
      <c r="G4" s="40"/>
      <c r="H4" s="40"/>
      <c r="I4" s="40"/>
      <c r="J4" s="40"/>
      <c r="K4" s="40"/>
      <c r="L4" s="40"/>
      <c r="M4" s="33"/>
    </row>
    <row r="5" spans="1:13" x14ac:dyDescent="0.3">
      <c r="A5" s="41" t="s">
        <v>110</v>
      </c>
      <c r="B5" s="41"/>
      <c r="C5" s="51">
        <f>SUM(C2:C3)-C4</f>
        <v>11500000</v>
      </c>
      <c r="D5" s="40"/>
      <c r="E5" s="40"/>
      <c r="F5" s="40"/>
      <c r="G5" s="40"/>
      <c r="H5" s="40"/>
      <c r="I5" s="40"/>
      <c r="J5" s="40"/>
      <c r="K5" s="40"/>
      <c r="L5" s="40"/>
    </row>
    <row r="7" spans="1:13" x14ac:dyDescent="0.3">
      <c r="A7" s="40" t="s">
        <v>112</v>
      </c>
      <c r="B7" s="40"/>
      <c r="C7" s="50">
        <f>10*5*4200*4*12</f>
        <v>10080000</v>
      </c>
      <c r="D7" s="50">
        <f>+C7*1.05</f>
        <v>10584000</v>
      </c>
      <c r="E7" s="50">
        <f t="shared" ref="E7:L7" si="0">+D7*1.05</f>
        <v>11113200</v>
      </c>
      <c r="F7" s="50">
        <f t="shared" si="0"/>
        <v>11668860</v>
      </c>
      <c r="G7" s="50">
        <f t="shared" si="0"/>
        <v>12252303</v>
      </c>
      <c r="H7" s="50">
        <f t="shared" si="0"/>
        <v>12864918.15</v>
      </c>
      <c r="I7" s="50">
        <f t="shared" si="0"/>
        <v>13508164.057500001</v>
      </c>
      <c r="J7" s="50">
        <f t="shared" si="0"/>
        <v>14183572.260375002</v>
      </c>
      <c r="K7" s="50">
        <f t="shared" si="0"/>
        <v>14892750.873393754</v>
      </c>
      <c r="L7" s="50">
        <f t="shared" si="0"/>
        <v>15637388.417063441</v>
      </c>
    </row>
    <row r="8" spans="1:13" x14ac:dyDescent="0.3">
      <c r="A8" s="40" t="s">
        <v>111</v>
      </c>
      <c r="B8" s="40"/>
      <c r="C8" s="50">
        <f>+'Gas-Electricidad'!B23*12</f>
        <v>524481.35040000011</v>
      </c>
      <c r="D8" s="50">
        <f>+C8*1.1</f>
        <v>576929.48544000019</v>
      </c>
      <c r="E8" s="50">
        <f t="shared" ref="E8:L8" si="1">+D8*1.1</f>
        <v>634622.43398400024</v>
      </c>
      <c r="F8" s="50">
        <f t="shared" si="1"/>
        <v>698084.67738240026</v>
      </c>
      <c r="G8" s="50">
        <f t="shared" si="1"/>
        <v>767893.1451206404</v>
      </c>
      <c r="H8" s="50">
        <f t="shared" si="1"/>
        <v>844682.4596327045</v>
      </c>
      <c r="I8" s="50">
        <f t="shared" si="1"/>
        <v>929150.70559597504</v>
      </c>
      <c r="J8" s="50">
        <f t="shared" si="1"/>
        <v>1022065.7761555726</v>
      </c>
      <c r="K8" s="50">
        <f t="shared" si="1"/>
        <v>1124272.3537711299</v>
      </c>
      <c r="L8" s="50">
        <f t="shared" si="1"/>
        <v>1236699.589148243</v>
      </c>
    </row>
    <row r="9" spans="1:13" s="24" customFormat="1" x14ac:dyDescent="0.3">
      <c r="A9" s="41" t="s">
        <v>113</v>
      </c>
      <c r="B9" s="41"/>
      <c r="C9" s="51">
        <f>SUM(C7:C8)</f>
        <v>10604481.350400001</v>
      </c>
      <c r="D9" s="51">
        <f>SUM(D7:D8)</f>
        <v>11160929.485440001</v>
      </c>
      <c r="E9" s="51">
        <f t="shared" ref="E9:L9" si="2">SUM(E7:E8)</f>
        <v>11747822.433984</v>
      </c>
      <c r="F9" s="51">
        <f t="shared" si="2"/>
        <v>12366944.6773824</v>
      </c>
      <c r="G9" s="51">
        <f t="shared" si="2"/>
        <v>13020196.145120641</v>
      </c>
      <c r="H9" s="51">
        <f t="shared" si="2"/>
        <v>13709600.609632704</v>
      </c>
      <c r="I9" s="51">
        <f t="shared" si="2"/>
        <v>14437314.763095977</v>
      </c>
      <c r="J9" s="51">
        <f t="shared" si="2"/>
        <v>15205638.036530575</v>
      </c>
      <c r="K9" s="51">
        <f t="shared" si="2"/>
        <v>16017023.227164883</v>
      </c>
      <c r="L9" s="51">
        <f t="shared" si="2"/>
        <v>16874088.006211683</v>
      </c>
    </row>
    <row r="11" spans="1:13" x14ac:dyDescent="0.3">
      <c r="A11" s="40" t="s">
        <v>104</v>
      </c>
      <c r="B11" s="40"/>
      <c r="C11" s="49">
        <f>+'Costos Biodigestor'!B17</f>
        <v>3600000</v>
      </c>
      <c r="D11" s="50">
        <f>+C11*1.08</f>
        <v>3888000.0000000005</v>
      </c>
      <c r="E11" s="50">
        <f t="shared" ref="E11:L12" si="3">+D11*1.08</f>
        <v>4199040.0000000009</v>
      </c>
      <c r="F11" s="50">
        <f t="shared" si="3"/>
        <v>4534963.2000000011</v>
      </c>
      <c r="G11" s="50">
        <f t="shared" si="3"/>
        <v>4897760.2560000019</v>
      </c>
      <c r="H11" s="50">
        <f t="shared" si="3"/>
        <v>5289581.0764800021</v>
      </c>
      <c r="I11" s="50">
        <f t="shared" si="3"/>
        <v>5712747.5625984026</v>
      </c>
      <c r="J11" s="50">
        <f t="shared" si="3"/>
        <v>6169767.3676062748</v>
      </c>
      <c r="K11" s="50">
        <f t="shared" si="3"/>
        <v>6663348.7570147775</v>
      </c>
      <c r="L11" s="50">
        <f t="shared" si="3"/>
        <v>7196416.6575759603</v>
      </c>
    </row>
    <row r="12" spans="1:13" x14ac:dyDescent="0.3">
      <c r="A12" s="40" t="s">
        <v>109</v>
      </c>
      <c r="B12" s="40"/>
      <c r="C12" s="49">
        <f>+'Gas-Electricidad'!B15</f>
        <v>1615000</v>
      </c>
      <c r="D12" s="50">
        <f>+C12*1.08</f>
        <v>1744200</v>
      </c>
      <c r="E12" s="50">
        <f t="shared" si="3"/>
        <v>1883736.0000000002</v>
      </c>
      <c r="F12" s="50">
        <f t="shared" si="3"/>
        <v>2034434.8800000004</v>
      </c>
      <c r="G12" s="50">
        <f t="shared" si="3"/>
        <v>2197189.6704000006</v>
      </c>
      <c r="H12" s="50">
        <f t="shared" si="3"/>
        <v>2372964.8440320008</v>
      </c>
      <c r="I12" s="50">
        <f t="shared" si="3"/>
        <v>2562802.0315545611</v>
      </c>
      <c r="J12" s="50">
        <f t="shared" si="3"/>
        <v>2767826.194078926</v>
      </c>
      <c r="K12" s="50">
        <f t="shared" si="3"/>
        <v>2989252.2896052403</v>
      </c>
      <c r="L12" s="50">
        <f t="shared" si="3"/>
        <v>3228392.47277366</v>
      </c>
    </row>
    <row r="13" spans="1:13" s="24" customFormat="1" x14ac:dyDescent="0.3">
      <c r="A13" s="41" t="s">
        <v>78</v>
      </c>
      <c r="B13" s="51">
        <f>+-C5</f>
        <v>-11500000</v>
      </c>
      <c r="C13" s="51">
        <f>SUM(C11:C12)</f>
        <v>5215000</v>
      </c>
      <c r="D13" s="51">
        <f>SUM(D11:D12)</f>
        <v>5632200</v>
      </c>
      <c r="E13" s="51">
        <f t="shared" ref="E13:L13" si="4">SUM(E11:E12)</f>
        <v>6082776.0000000009</v>
      </c>
      <c r="F13" s="51">
        <f t="shared" si="4"/>
        <v>6569398.0800000019</v>
      </c>
      <c r="G13" s="51">
        <f t="shared" si="4"/>
        <v>7094949.9264000021</v>
      </c>
      <c r="H13" s="51">
        <f t="shared" si="4"/>
        <v>7662545.9205120029</v>
      </c>
      <c r="I13" s="51">
        <f t="shared" si="4"/>
        <v>8275549.5941529637</v>
      </c>
      <c r="J13" s="51">
        <f t="shared" si="4"/>
        <v>8937593.5616852008</v>
      </c>
      <c r="K13" s="51">
        <f t="shared" si="4"/>
        <v>9652601.0466200188</v>
      </c>
      <c r="L13" s="51">
        <f t="shared" si="4"/>
        <v>10424809.130349621</v>
      </c>
    </row>
    <row r="15" spans="1:13" x14ac:dyDescent="0.3">
      <c r="A15" s="40" t="s">
        <v>121</v>
      </c>
      <c r="B15" s="40"/>
      <c r="C15" s="49">
        <f>+C9-C13</f>
        <v>5389481.3504000008</v>
      </c>
      <c r="D15" s="49">
        <f t="shared" ref="D15:L15" si="5">+D9-D13</f>
        <v>5528729.4854400009</v>
      </c>
      <c r="E15" s="49">
        <f t="shared" si="5"/>
        <v>5665046.4339839993</v>
      </c>
      <c r="F15" s="49">
        <f t="shared" si="5"/>
        <v>5797546.5973823983</v>
      </c>
      <c r="G15" s="49">
        <f t="shared" si="5"/>
        <v>5925246.2187206391</v>
      </c>
      <c r="H15" s="49">
        <f t="shared" si="5"/>
        <v>6047054.6891207015</v>
      </c>
      <c r="I15" s="49">
        <f t="shared" si="5"/>
        <v>6161765.1689430131</v>
      </c>
      <c r="J15" s="49">
        <f t="shared" si="5"/>
        <v>6268044.474845374</v>
      </c>
      <c r="K15" s="49">
        <f t="shared" si="5"/>
        <v>6364422.1805448644</v>
      </c>
      <c r="L15" s="49">
        <f t="shared" si="5"/>
        <v>6449278.875862062</v>
      </c>
      <c r="M15" s="33"/>
    </row>
    <row r="16" spans="1:13" x14ac:dyDescent="0.3"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28.2" customHeight="1" x14ac:dyDescent="0.3">
      <c r="A17" s="40" t="s">
        <v>122</v>
      </c>
      <c r="B17" s="40"/>
      <c r="C17" s="52">
        <f>+NPV(0.12,C15:L15)-C5</f>
        <v>21552387.28206937</v>
      </c>
      <c r="D17" s="66" t="s">
        <v>141</v>
      </c>
      <c r="E17" s="66"/>
      <c r="F17" s="66"/>
      <c r="G17" s="66"/>
      <c r="H17" s="66"/>
      <c r="I17" s="66"/>
      <c r="J17" s="66"/>
      <c r="K17" s="66"/>
      <c r="L17" s="66"/>
      <c r="M17" s="48"/>
    </row>
    <row r="18" spans="1:13" ht="27" customHeight="1" x14ac:dyDescent="0.3">
      <c r="A18" s="40" t="s">
        <v>123</v>
      </c>
      <c r="B18" s="40"/>
      <c r="C18" s="53">
        <f>+IRR(B13:L13)</f>
        <v>0.51845459462311738</v>
      </c>
      <c r="D18" s="66" t="s">
        <v>145</v>
      </c>
      <c r="E18" s="66"/>
      <c r="F18" s="66"/>
      <c r="G18" s="66"/>
      <c r="H18" s="66"/>
      <c r="I18" s="66"/>
      <c r="J18" s="66"/>
      <c r="K18" s="66"/>
      <c r="L18" s="66"/>
    </row>
    <row r="19" spans="1:13" x14ac:dyDescent="0.3">
      <c r="A19" s="40" t="s">
        <v>124</v>
      </c>
      <c r="B19" s="40"/>
      <c r="C19" s="54">
        <f>+(SUM(C15:L15)-C5)/C5</f>
        <v>4.1823143891515695</v>
      </c>
      <c r="D19" s="59" t="s">
        <v>142</v>
      </c>
      <c r="E19" s="59"/>
      <c r="F19" s="59"/>
      <c r="G19" s="59"/>
      <c r="H19" s="59"/>
      <c r="I19" s="59"/>
      <c r="J19" s="59"/>
      <c r="K19" s="59"/>
      <c r="L19" s="59"/>
    </row>
    <row r="20" spans="1:13" x14ac:dyDescent="0.3">
      <c r="A20" s="40" t="s">
        <v>125</v>
      </c>
      <c r="B20" s="40"/>
      <c r="C20" s="55">
        <f>+C5/(SUM(C15:L15)/10)</f>
        <v>1.9296397804296788</v>
      </c>
      <c r="D20" s="66" t="s">
        <v>146</v>
      </c>
      <c r="E20" s="66"/>
      <c r="F20" s="66"/>
      <c r="G20" s="66"/>
      <c r="H20" s="66"/>
      <c r="I20" s="66"/>
      <c r="J20" s="66"/>
      <c r="K20" s="66"/>
      <c r="L20" s="66"/>
    </row>
  </sheetData>
  <mergeCells count="4">
    <mergeCell ref="D17:L17"/>
    <mergeCell ref="D18:L18"/>
    <mergeCell ref="D19:L19"/>
    <mergeCell ref="D20:L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Calculos de cosecha</vt:lpstr>
      <vt:lpstr>Calculo de Solidos</vt:lpstr>
      <vt:lpstr>Costos Biodigestor</vt:lpstr>
      <vt:lpstr>Calculo de Digestato</vt:lpstr>
      <vt:lpstr>Variables-Indicadores</vt:lpstr>
      <vt:lpstr>Gas-Electricidad</vt:lpstr>
      <vt:lpstr>Analisis Financiero</vt:lpstr>
      <vt:lpstr>Analisis Financiero Estado-Base</vt:lpstr>
      <vt:lpstr>Analisis Financiero Estado opt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Acevedo</dc:creator>
  <cp:lastModifiedBy>Sandra Acevedo</cp:lastModifiedBy>
  <dcterms:created xsi:type="dcterms:W3CDTF">2025-03-30T13:55:26Z</dcterms:created>
  <dcterms:modified xsi:type="dcterms:W3CDTF">2025-08-24T16:29:58Z</dcterms:modified>
</cp:coreProperties>
</file>