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D:\Datos\Documents\MBA\PROYECTO DE GRADO\"/>
    </mc:Choice>
  </mc:AlternateContent>
  <xr:revisionPtr revIDLastSave="0" documentId="13_ncr:1_{17609387-900C-4AF4-B6C2-B27CCAA61D53}" xr6:coauthVersionLast="45" xr6:coauthVersionMax="45" xr10:uidLastSave="{00000000-0000-0000-0000-000000000000}"/>
  <bookViews>
    <workbookView xWindow="-120" yWindow="-120" windowWidth="20730" windowHeight="1116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1" i="4" l="1"/>
  <c r="F19" i="4" l="1"/>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G29" i="5" l="1"/>
  <c r="G30" i="5" s="1"/>
  <c r="F30" i="5"/>
  <c r="F31" i="5"/>
  <c r="I13" i="3"/>
  <c r="H13" i="3" s="1"/>
  <c r="J13" i="3" s="1"/>
  <c r="G31" i="5" s="1"/>
  <c r="E46" i="5"/>
  <c r="E52" i="5" s="1"/>
  <c r="E58" i="5" s="1"/>
  <c r="E59" i="5" s="1"/>
  <c r="F8" i="6" s="1"/>
  <c r="G35" i="5"/>
  <c r="G36" i="5" s="1"/>
  <c r="G32" i="5" l="1"/>
  <c r="G38" i="5" s="1"/>
  <c r="G22" i="5" s="1"/>
  <c r="F32" i="5"/>
  <c r="F38" i="5" s="1"/>
  <c r="F22" i="5" s="1"/>
  <c r="F44" i="5" s="1"/>
  <c r="F46" i="5" s="1"/>
  <c r="F52" i="5" s="1"/>
  <c r="F58" i="5" s="1"/>
  <c r="F59" i="5" s="1"/>
  <c r="G8" i="6"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00000000-0006-0000-0100-000009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00000000-0006-0000-0100-00000A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00000000-0006-0000-0100-00000B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C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00000000-0006-0000-0100-00000D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00000000-0006-0000-0100-00000E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00000000-0006-0000-0100-00000F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00000000-0006-0000-0100-000010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11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00000000-0006-0000-0100-000012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00000000-0006-0000-0100-000013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00000000-0006-0000-0100-000014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00000000-0006-0000-0100-00001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00000000-0006-0000-0100-00001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00000000-0006-0000-0100-00001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00000000-0006-0000-0100-00001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00000000-0006-0000-0100-000019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1A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1B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<sst xmlns="http://schemas.openxmlformats.org/spreadsheetml/2006/main" count="175" uniqueCount="166">
  <si>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</si>
  <si>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</si>
  <si>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</si>
  <si>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</si>
  <si>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</si>
  <si>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</si>
  <si>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</si>
  <si>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</si>
  <si>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</si>
  <si>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</si>
  <si>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</si>
  <si>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</si>
  <si>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</si>
  <si>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</si>
  <si>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</si>
  <si>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</si>
  <si>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</si>
  <si>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</si>
  <si>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</si>
  <si>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</si>
  <si>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</si>
  <si>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</si>
  <si>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</si>
  <si>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</si>
  <si>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</si>
  <si>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</si>
  <si>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</si>
  <si>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</si>
  <si>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</si>
  <si>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</si>
  <si>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</si>
  <si>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</si>
  <si>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</si>
  <si>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</si>
  <si>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</si>
  <si>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</si>
  <si>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</si>
  <si>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</si>
  <si>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</si>
  <si>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</si>
  <si>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</si>
  <si>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</si>
  <si>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</si>
  <si>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</si>
  <si>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</si>
  <si>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</si>
  <si>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</si>
  <si>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</si>
  <si>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</si>
  <si>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</si>
  <si>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</si>
  <si>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</si>
  <si>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</si>
  <si>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</si>
  <si>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</si>
  <si>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</si>
  <si>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</si>
  <si>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</si>
  <si>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</si>
  <si>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</si>
  <si>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</si>
  <si>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</si>
  <si>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</si>
  <si>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</si>
  <si>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</si>
  <si>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</si>
  <si>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</si>
  <si>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</si>
  <si>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</si>
  <si>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</si>
  <si>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</si>
  <si>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</si>
  <si>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</si>
  <si>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</si>
  <si>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</si>
  <si>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</si>
  <si>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</si>
  <si>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</si>
  <si>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</si>
  <si>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</si>
  <si>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</si>
  <si>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</si>
  <si>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</si>
  <si>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</si>
  <si>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</si>
  <si>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</si>
  <si>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</si>
  <si>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</si>
  <si>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</si>
  <si>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</si>
  <si>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</si>
  <si>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</si>
  <si>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</si>
  <si>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</si>
  <si>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</si>
  <si>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</si>
  <si>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</si>
  <si>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</si>
  <si>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</si>
  <si>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</si>
  <si>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</si>
  <si>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</si>
  <si>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</si>
  <si>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</si>
  <si>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</si>
  <si>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</si>
  <si>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</si>
  <si>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</si>
  <si>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</si>
  <si>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</si>
  <si>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</si>
  <si>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</si>
  <si>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</si>
  <si>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</si>
  <si>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</si>
  <si>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</si>
  <si>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</si>
  <si>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</si>
  <si>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</si>
  <si>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</si>
  <si>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</si>
  <si>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</si>
  <si>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</si>
  <si>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</si>
  <si>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</si>
  <si>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</si>
  <si>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</si>
  <si>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</si>
  <si>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</si>
  <si>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</si>
  <si>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</si>
  <si>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</si>
  <si>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</si>
  <si>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</si>
  <si>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</si>
  <si>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</si>
  <si>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</si>
  <si>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</si>
  <si>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</si>
  <si>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</si>
  <si>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</si>
  <si>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</si>
  <si>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</si>
  <si>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</si>
  <si>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</si>
  <si>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</si>
  <si>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</si>
  <si>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</si>
  <si>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</si>
  <si>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</si>
  <si>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</si>
  <si>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</si>
  <si>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</si>
  <si>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</si>
  <si>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</si>
  <si>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</si>
  <si>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</si>
  <si>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</si>
  <si>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</si>
  <si>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</si>
  <si>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Spray Antifrizz</t>
  </si>
  <si>
    <t>Serum Dia</t>
  </si>
  <si>
    <t>Serum Noche</t>
  </si>
  <si>
    <t>Desmaquillante</t>
  </si>
  <si>
    <t>Serum Facial</t>
  </si>
  <si>
    <t>Óleo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</si>
</sst>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73">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15764.815317919076</c:v>
                </c:pt>
                <c:pt idx="2">
                  <c:v>31529.630635838152</c:v>
                </c:pt>
              </c:numCache>
            </c:numRef>
          </c:cat>
          <c:val>
            <c:numRef>
              <c:f>'5'!$C$33:$C$35</c:f>
              <c:numCache>
                <c:formatCode>_("$"\ * #,##0.00_);_("$"\ * \(#,##0.00\);_("$"\ * "-"??_);_(@_)</c:formatCode>
                <c:ptCount val="3"/>
                <c:pt idx="0">
                  <c:v>472262000</c:v>
                </c:pt>
                <c:pt idx="1">
                  <c:v>472262000</c:v>
                </c:pt>
                <c:pt idx="2">
                  <c:v>472262000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15764.815317919076</c:v>
                </c:pt>
                <c:pt idx="2">
                  <c:v>31529.630635838152</c:v>
                </c:pt>
              </c:numCache>
            </c:numRef>
          </c:cat>
          <c:val>
            <c:numRef>
              <c:f>'5'!$D$33:$D$35</c:f>
              <c:numCache>
                <c:formatCode>_("$"\ * #,##0.00_);_("$"\ * \(#,##0.00\);_("$"\ * "-"??_);_(@_)</c:formatCode>
                <c:ptCount val="3"/>
                <c:pt idx="0" formatCode="General">
                  <c:v>0</c:v>
                </c:pt>
                <c:pt idx="1">
                  <c:v>638850373.12138724</c:v>
                </c:pt>
                <c:pt idx="2">
                  <c:v>1277700746.2427745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15764.815317919076</c:v>
                </c:pt>
                <c:pt idx="2">
                  <c:v>31529.630635838152</c:v>
                </c:pt>
              </c:numCache>
            </c:numRef>
          </c:cat>
          <c:val>
            <c:numRef>
              <c:f>'5'!$F$33:$F$35</c:f>
              <c:numCache>
                <c:formatCode>_("$"\ * #,##0.00_);_("$"\ * \(#,##0.00\);_("$"\ * "-"??_);_(@_)</c:formatCode>
                <c:ptCount val="3"/>
                <c:pt idx="0">
                  <c:v>472262000</c:v>
                </c:pt>
                <c:pt idx="1">
                  <c:v>638850373.12138724</c:v>
                </c:pt>
                <c:pt idx="2">
                  <c:v>805438746.24277449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5" x14ac:dyDescent="0.25"/>
  <sheetData>
    <row r="23" spans="7:8" ht="20.25" x14ac:dyDescent="0.3">
      <c r="G23" s="148" t="s">
        <v>135</v>
      </c>
      <c r="H23" s="148"/>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8" zoomScale="70" zoomScaleNormal="70" workbookViewId="0">
      <selection activeCell="D9" sqref="D9"/>
    </sheetView>
  </sheetViews>
  <sheetFormatPr baseColWidth="10" defaultRowHeight="15" x14ac:dyDescent="0.25"/>
  <cols>
    <col min="1" max="1" width="22.5703125" style="15" customWidth="1"/>
    <col min="2" max="2" width="34.5703125" style="15" bestFit="1" customWidth="1"/>
    <col min="3" max="3" width="34.5703125" style="15" customWidth="1"/>
    <col min="4" max="4" width="33.140625" style="15" customWidth="1"/>
    <col min="5" max="5" width="33" style="15" customWidth="1"/>
    <col min="6" max="6" width="31.85546875" style="15" customWidth="1"/>
    <col min="7" max="10" width="9.42578125" style="15" bestFit="1" customWidth="1"/>
    <col min="11" max="11" width="4.28515625" style="15" customWidth="1"/>
    <col min="12" max="15" width="11.42578125" style="15" hidden="1" customWidth="1"/>
    <col min="16" max="19" width="12" style="15" hidden="1" customWidth="1"/>
    <col min="20" max="24" width="15.5703125" style="15" hidden="1" customWidth="1"/>
    <col min="25" max="25" width="22.140625" style="15" bestFit="1" customWidth="1"/>
    <col min="26" max="27" width="9.42578125" style="15" bestFit="1" customWidth="1"/>
    <col min="28" max="28" width="11.42578125" style="15" bestFit="1" customWidth="1"/>
    <col min="29" max="29" width="9.42578125" style="15" bestFit="1" customWidth="1"/>
    <col min="30" max="16384" width="11.42578125" style="15"/>
  </cols>
  <sheetData>
    <row r="1" spans="1:29" ht="30.75" customHeight="1" x14ac:dyDescent="0.35">
      <c r="A1" s="150" t="s">
        <v>5</v>
      </c>
      <c r="B1" s="150"/>
      <c r="C1" s="150"/>
      <c r="D1" s="150"/>
      <c r="E1" s="150"/>
      <c r="G1" s="151" t="s">
        <v>12</v>
      </c>
      <c r="H1" s="151"/>
      <c r="I1" s="151"/>
      <c r="J1" s="151"/>
      <c r="P1" s="15" t="s">
        <v>16</v>
      </c>
      <c r="Y1" s="16" t="s">
        <v>9</v>
      </c>
      <c r="Z1" s="51">
        <v>2024</v>
      </c>
      <c r="AA1" s="17"/>
    </row>
    <row r="2" spans="1:29" ht="32.25" customHeight="1" thickBot="1" x14ac:dyDescent="0.4">
      <c r="B2" s="18" t="s">
        <v>4</v>
      </c>
      <c r="C2" s="19" t="s">
        <v>0</v>
      </c>
      <c r="D2" s="18" t="s">
        <v>7</v>
      </c>
      <c r="E2" s="19" t="s">
        <v>1</v>
      </c>
      <c r="F2" s="20" t="s">
        <v>27</v>
      </c>
      <c r="G2" s="21">
        <f>'1'!Z1+1</f>
        <v>2025</v>
      </c>
      <c r="H2" s="21">
        <f>G2+1</f>
        <v>2026</v>
      </c>
      <c r="I2" s="21">
        <f t="shared" ref="I2:J2" si="0">H2+1</f>
        <v>2027</v>
      </c>
      <c r="J2" s="21">
        <f t="shared" si="0"/>
        <v>2028</v>
      </c>
      <c r="L2" s="15">
        <f>G2</f>
        <v>2025</v>
      </c>
      <c r="M2" s="15">
        <f>H2</f>
        <v>2026</v>
      </c>
      <c r="N2" s="15">
        <f>M2+1</f>
        <v>2027</v>
      </c>
      <c r="O2" s="15">
        <f>N2+1</f>
        <v>2028</v>
      </c>
      <c r="P2" s="15" t="s">
        <v>13</v>
      </c>
      <c r="Q2" s="15" t="s">
        <v>11</v>
      </c>
      <c r="R2" s="15" t="s">
        <v>23</v>
      </c>
      <c r="S2" s="15" t="s">
        <v>24</v>
      </c>
      <c r="T2" s="15" t="s">
        <v>17</v>
      </c>
      <c r="U2" s="15" t="s">
        <v>18</v>
      </c>
      <c r="V2" s="15" t="s">
        <v>25</v>
      </c>
      <c r="W2" s="15" t="s">
        <v>26</v>
      </c>
      <c r="Y2" s="17"/>
      <c r="Z2" s="17"/>
      <c r="AA2" s="17"/>
    </row>
    <row r="3" spans="1:29" ht="24" thickBot="1" x14ac:dyDescent="0.4">
      <c r="A3" s="22">
        <v>1</v>
      </c>
      <c r="B3" s="13" t="s">
        <v>163</v>
      </c>
      <c r="C3" s="55">
        <v>4000</v>
      </c>
      <c r="D3" s="14">
        <v>30000</v>
      </c>
      <c r="E3" s="23">
        <f>C3*D3</f>
        <v>120000000</v>
      </c>
      <c r="F3" s="24">
        <f>IF($E$13=0,0,E3/$E$13)</f>
        <v>0.12987012987012986</v>
      </c>
      <c r="G3" s="126">
        <v>0.05</v>
      </c>
      <c r="H3" s="126">
        <v>0.03</v>
      </c>
      <c r="I3" s="126">
        <v>0.02</v>
      </c>
      <c r="J3" s="126">
        <v>0.01</v>
      </c>
      <c r="K3" s="25"/>
      <c r="L3" s="15">
        <f t="shared" ref="L3:L12" si="1">C3*(1+G3)</f>
        <v>4200</v>
      </c>
      <c r="M3" s="15">
        <f>L3*(1+H3)</f>
        <v>4326</v>
      </c>
      <c r="N3" s="15">
        <f t="shared" ref="N3:O3" si="2">M3*(1+I3)</f>
        <v>4412.5200000000004</v>
      </c>
      <c r="O3" s="15">
        <f t="shared" si="2"/>
        <v>4456.6452000000008</v>
      </c>
      <c r="P3" s="26">
        <f>D3*(1+'1'!$Z$4)</f>
        <v>31680</v>
      </c>
      <c r="Q3" s="26">
        <f>P3*(1+'1'!$AA$4)</f>
        <v>33264</v>
      </c>
      <c r="R3" s="26">
        <f>Q3*(1+'1'!$AB$4)</f>
        <v>34694.351999999999</v>
      </c>
      <c r="S3" s="26">
        <f>R3*(1+'1'!$AC$4)</f>
        <v>36012.737375999997</v>
      </c>
      <c r="T3" s="27">
        <f>L3*P3</f>
        <v>133056000</v>
      </c>
      <c r="U3" s="27">
        <f>M3*Q3</f>
        <v>143900064</v>
      </c>
      <c r="V3" s="27">
        <f>N3*R3</f>
        <v>153089522.08704001</v>
      </c>
      <c r="W3" s="27">
        <f>O3*S3</f>
        <v>160495993.165611</v>
      </c>
      <c r="X3" s="27"/>
      <c r="Y3" s="28" t="s">
        <v>10</v>
      </c>
      <c r="Z3" s="29">
        <f>G2</f>
        <v>2025</v>
      </c>
      <c r="AA3" s="29">
        <f>Z3+1</f>
        <v>2026</v>
      </c>
      <c r="AB3" s="29">
        <f t="shared" ref="AB3:AC3" si="3">AA3+1</f>
        <v>2027</v>
      </c>
      <c r="AC3" s="30">
        <f t="shared" si="3"/>
        <v>2028</v>
      </c>
    </row>
    <row r="4" spans="1:29" ht="23.25" x14ac:dyDescent="0.35">
      <c r="A4" s="22">
        <f>A3+1</f>
        <v>2</v>
      </c>
      <c r="B4" s="13" t="s">
        <v>164</v>
      </c>
      <c r="C4" s="55">
        <v>4000</v>
      </c>
      <c r="D4" s="14">
        <v>43000</v>
      </c>
      <c r="E4" s="23">
        <f t="shared" ref="E4:E12" si="4">C4*D4</f>
        <v>172000000</v>
      </c>
      <c r="F4" s="24">
        <f t="shared" ref="F4:F12" si="5">IF($E$13=0,0,E4/$E$13)</f>
        <v>0.18614718614718614</v>
      </c>
      <c r="G4" s="126">
        <v>0.05</v>
      </c>
      <c r="H4" s="126">
        <v>0.03</v>
      </c>
      <c r="I4" s="126">
        <v>0.02</v>
      </c>
      <c r="J4" s="126">
        <v>0.01</v>
      </c>
      <c r="K4" s="25"/>
      <c r="L4" s="15">
        <f t="shared" si="1"/>
        <v>4200</v>
      </c>
      <c r="M4" s="15">
        <f t="shared" ref="M4:M12" si="6">L4*(1+H4)</f>
        <v>4326</v>
      </c>
      <c r="N4" s="15">
        <f t="shared" ref="N4:N12" si="7">M4*(1+I4)</f>
        <v>4412.5200000000004</v>
      </c>
      <c r="O4" s="15">
        <f t="shared" ref="O4:O12" si="8">N4*(1+J4)</f>
        <v>4456.6452000000008</v>
      </c>
      <c r="P4" s="26">
        <f>D4*(1+'1'!$Z$4)</f>
        <v>45408</v>
      </c>
      <c r="Q4" s="26">
        <f>P4*(1+'1'!$AA$4)</f>
        <v>47678.400000000001</v>
      </c>
      <c r="R4" s="26">
        <f>Q4*(1+'1'!$AB$4)</f>
        <v>49728.571199999998</v>
      </c>
      <c r="S4" s="26">
        <f>R4*(1+'1'!$AC$4)</f>
        <v>51618.256905599999</v>
      </c>
      <c r="T4" s="27">
        <f t="shared" ref="T4:T12" si="9">L4*P4</f>
        <v>190713600</v>
      </c>
      <c r="U4" s="27">
        <f t="shared" ref="U4:U12" si="10">M4*Q4</f>
        <v>206256758.40000001</v>
      </c>
      <c r="V4" s="27">
        <f t="shared" ref="V4:V12" si="11">N4*R4</f>
        <v>219428314.99142402</v>
      </c>
      <c r="W4" s="27">
        <f t="shared" ref="W4:W12" si="12">O4*S4</f>
        <v>230044256.87070912</v>
      </c>
      <c r="X4" s="27"/>
      <c r="Y4" s="128" t="s">
        <v>14</v>
      </c>
      <c r="Z4" s="52">
        <v>5.6000000000000001E-2</v>
      </c>
      <c r="AA4" s="52">
        <v>0.05</v>
      </c>
      <c r="AB4" s="52">
        <v>4.2999999999999997E-2</v>
      </c>
      <c r="AC4" s="52">
        <v>3.7999999999999999E-2</v>
      </c>
    </row>
    <row r="5" spans="1:29" ht="24" thickBot="1" x14ac:dyDescent="0.4">
      <c r="A5" s="22">
        <f t="shared" ref="A5:A12" si="13">A4+1</f>
        <v>3</v>
      </c>
      <c r="B5" s="13" t="s">
        <v>160</v>
      </c>
      <c r="C5" s="55">
        <v>4000</v>
      </c>
      <c r="D5" s="14">
        <v>28000</v>
      </c>
      <c r="E5" s="23">
        <f t="shared" si="4"/>
        <v>112000000</v>
      </c>
      <c r="F5" s="24">
        <f t="shared" si="5"/>
        <v>0.12121212121212122</v>
      </c>
      <c r="G5" s="126">
        <v>0.05</v>
      </c>
      <c r="H5" s="126">
        <v>0.03</v>
      </c>
      <c r="I5" s="126">
        <v>0.02</v>
      </c>
      <c r="J5" s="126">
        <v>0.01</v>
      </c>
      <c r="K5" s="25"/>
      <c r="L5" s="15">
        <f t="shared" si="1"/>
        <v>4200</v>
      </c>
      <c r="M5" s="15">
        <f t="shared" si="6"/>
        <v>4326</v>
      </c>
      <c r="N5" s="15">
        <f t="shared" si="7"/>
        <v>4412.5200000000004</v>
      </c>
      <c r="O5" s="15">
        <f t="shared" si="8"/>
        <v>4456.6452000000008</v>
      </c>
      <c r="P5" s="26">
        <f>D5*(1+'1'!$Z$4)</f>
        <v>29568</v>
      </c>
      <c r="Q5" s="26">
        <f>P5*(1+'1'!$AA$4)</f>
        <v>31046.400000000001</v>
      </c>
      <c r="R5" s="26">
        <f>Q5*(1+'1'!$AB$4)</f>
        <v>32381.395199999999</v>
      </c>
      <c r="S5" s="26">
        <f>R5*(1+'1'!$AC$4)</f>
        <v>33611.888217599997</v>
      </c>
      <c r="T5" s="27">
        <f t="shared" si="9"/>
        <v>124185600</v>
      </c>
      <c r="U5" s="27">
        <f t="shared" si="10"/>
        <v>134306726.40000001</v>
      </c>
      <c r="V5" s="27">
        <f t="shared" si="11"/>
        <v>142883553.94790402</v>
      </c>
      <c r="W5" s="27">
        <f t="shared" si="12"/>
        <v>149796260.28790361</v>
      </c>
      <c r="X5" s="27"/>
      <c r="Y5" s="129" t="s">
        <v>15</v>
      </c>
      <c r="Z5" s="53">
        <v>-5.6500000000000002E-2</v>
      </c>
      <c r="AA5" s="53">
        <v>-1.7999999999999999E-2</v>
      </c>
      <c r="AB5" s="53">
        <v>-0.04</v>
      </c>
      <c r="AC5" s="53">
        <v>-0.02</v>
      </c>
    </row>
    <row r="6" spans="1:29" ht="15.75" thickBot="1" x14ac:dyDescent="0.3">
      <c r="A6" s="22">
        <f t="shared" si="13"/>
        <v>4</v>
      </c>
      <c r="B6" s="13" t="s">
        <v>161</v>
      </c>
      <c r="C6" s="55">
        <v>4000</v>
      </c>
      <c r="D6" s="14">
        <v>48000</v>
      </c>
      <c r="E6" s="23">
        <f t="shared" si="4"/>
        <v>192000000</v>
      </c>
      <c r="F6" s="24">
        <f t="shared" si="5"/>
        <v>0.20779220779220781</v>
      </c>
      <c r="G6" s="126">
        <v>0.05</v>
      </c>
      <c r="H6" s="126">
        <v>0.03</v>
      </c>
      <c r="I6" s="126">
        <v>0.02</v>
      </c>
      <c r="J6" s="126">
        <v>0.01</v>
      </c>
      <c r="K6" s="25"/>
      <c r="L6" s="15">
        <f t="shared" si="1"/>
        <v>4200</v>
      </c>
      <c r="M6" s="15">
        <f t="shared" si="6"/>
        <v>4326</v>
      </c>
      <c r="N6" s="15">
        <f t="shared" si="7"/>
        <v>4412.5200000000004</v>
      </c>
      <c r="O6" s="15">
        <f t="shared" si="8"/>
        <v>4456.6452000000008</v>
      </c>
      <c r="P6" s="26">
        <f>D6*(1+'1'!$Z$4)</f>
        <v>50688</v>
      </c>
      <c r="Q6" s="26">
        <f>P6*(1+'1'!$AA$4)</f>
        <v>53222.400000000001</v>
      </c>
      <c r="R6" s="26">
        <f>Q6*(1+'1'!$AB$4)</f>
        <v>55510.963199999998</v>
      </c>
      <c r="S6" s="26">
        <f>R6*(1+'1'!$AC$4)</f>
        <v>57620.3798016</v>
      </c>
      <c r="T6" s="27">
        <f t="shared" si="9"/>
        <v>212889600</v>
      </c>
      <c r="U6" s="27">
        <f t="shared" si="10"/>
        <v>230240102.40000001</v>
      </c>
      <c r="V6" s="27">
        <f t="shared" si="11"/>
        <v>244943235.33926401</v>
      </c>
      <c r="W6" s="27">
        <f t="shared" si="12"/>
        <v>256793589.06497765</v>
      </c>
      <c r="X6" s="27"/>
    </row>
    <row r="7" spans="1:29" ht="24" thickBot="1" x14ac:dyDescent="0.4">
      <c r="A7" s="22">
        <f t="shared" si="13"/>
        <v>5</v>
      </c>
      <c r="B7" s="13" t="s">
        <v>162</v>
      </c>
      <c r="C7" s="55">
        <v>4000</v>
      </c>
      <c r="D7" s="14">
        <v>50000</v>
      </c>
      <c r="E7" s="23">
        <f t="shared" si="4"/>
        <v>200000000</v>
      </c>
      <c r="F7" s="24">
        <f t="shared" si="5"/>
        <v>0.21645021645021645</v>
      </c>
      <c r="G7" s="126">
        <v>0.05</v>
      </c>
      <c r="H7" s="126">
        <v>0.03</v>
      </c>
      <c r="I7" s="126">
        <v>0.02</v>
      </c>
      <c r="J7" s="126">
        <v>0.01</v>
      </c>
      <c r="K7" s="25"/>
      <c r="L7" s="15">
        <f t="shared" si="1"/>
        <v>4200</v>
      </c>
      <c r="M7" s="15">
        <f t="shared" si="6"/>
        <v>4326</v>
      </c>
      <c r="N7" s="15">
        <f t="shared" si="7"/>
        <v>4412.5200000000004</v>
      </c>
      <c r="O7" s="15">
        <f t="shared" si="8"/>
        <v>4456.6452000000008</v>
      </c>
      <c r="P7" s="26">
        <f>D7*(1+'1'!$Z$4)</f>
        <v>52800</v>
      </c>
      <c r="Q7" s="26">
        <f>P7*(1+'1'!$AA$4)</f>
        <v>55440</v>
      </c>
      <c r="R7" s="26">
        <f>Q7*(1+'1'!$AB$4)</f>
        <v>57823.92</v>
      </c>
      <c r="S7" s="26">
        <f>R7*(1+'1'!$AC$4)</f>
        <v>60021.22896</v>
      </c>
      <c r="T7" s="27">
        <f t="shared" si="9"/>
        <v>221760000</v>
      </c>
      <c r="U7" s="27">
        <f t="shared" si="10"/>
        <v>239833440</v>
      </c>
      <c r="V7" s="27">
        <f t="shared" si="11"/>
        <v>255149203.47840002</v>
      </c>
      <c r="W7" s="27">
        <f t="shared" si="12"/>
        <v>267493321.94268504</v>
      </c>
      <c r="X7" s="27"/>
      <c r="Y7" s="31" t="s">
        <v>91</v>
      </c>
      <c r="Z7" s="32"/>
      <c r="AA7" s="32"/>
      <c r="AB7" s="54">
        <v>0.125</v>
      </c>
      <c r="AC7" s="33"/>
    </row>
    <row r="8" spans="1:29" x14ac:dyDescent="0.25">
      <c r="A8" s="22">
        <f t="shared" si="13"/>
        <v>6</v>
      </c>
      <c r="B8" s="13" t="s">
        <v>165</v>
      </c>
      <c r="C8" s="55">
        <v>4000</v>
      </c>
      <c r="D8" s="14">
        <v>32000</v>
      </c>
      <c r="E8" s="23">
        <f t="shared" si="4"/>
        <v>128000000</v>
      </c>
      <c r="F8" s="24">
        <f t="shared" si="5"/>
        <v>0.13852813852813853</v>
      </c>
      <c r="G8" s="50">
        <v>0.04</v>
      </c>
      <c r="H8" s="50">
        <v>0.03</v>
      </c>
      <c r="I8" s="50">
        <v>0.02</v>
      </c>
      <c r="J8" s="50">
        <v>0.01</v>
      </c>
      <c r="K8" s="25"/>
      <c r="L8" s="15">
        <f t="shared" si="1"/>
        <v>4160</v>
      </c>
      <c r="M8" s="15">
        <f t="shared" si="6"/>
        <v>4284.8</v>
      </c>
      <c r="N8" s="15">
        <f t="shared" si="7"/>
        <v>4370.4960000000001</v>
      </c>
      <c r="O8" s="15">
        <f t="shared" si="8"/>
        <v>4414.2009600000001</v>
      </c>
      <c r="P8" s="26">
        <f>D8*(1+'1'!$Z$4)</f>
        <v>33792</v>
      </c>
      <c r="Q8" s="26">
        <f>P8*(1+'1'!$AA$4)</f>
        <v>35481.599999999999</v>
      </c>
      <c r="R8" s="26">
        <f>Q8*(1+'1'!$AB$4)</f>
        <v>37007.308799999999</v>
      </c>
      <c r="S8" s="26">
        <f>R8*(1+'1'!$AC$4)</f>
        <v>38413.586534399998</v>
      </c>
      <c r="T8" s="27">
        <f t="shared" si="9"/>
        <v>140574720</v>
      </c>
      <c r="U8" s="27">
        <f t="shared" si="10"/>
        <v>152031559.68000001</v>
      </c>
      <c r="V8" s="27">
        <f t="shared" si="11"/>
        <v>161740295.08116481</v>
      </c>
      <c r="W8" s="27">
        <f t="shared" si="12"/>
        <v>169565290.55719155</v>
      </c>
      <c r="X8" s="27"/>
    </row>
    <row r="9" spans="1:29" x14ac:dyDescent="0.25">
      <c r="A9" s="22">
        <f t="shared" si="13"/>
        <v>7</v>
      </c>
      <c r="B9" s="13"/>
      <c r="C9" s="55">
        <v>0</v>
      </c>
      <c r="D9" s="14">
        <v>0</v>
      </c>
      <c r="E9" s="23">
        <f t="shared" si="4"/>
        <v>0</v>
      </c>
      <c r="F9" s="24">
        <f t="shared" si="5"/>
        <v>0</v>
      </c>
      <c r="G9" s="50">
        <v>0</v>
      </c>
      <c r="H9" s="50">
        <v>0</v>
      </c>
      <c r="I9" s="50">
        <v>0</v>
      </c>
      <c r="J9" s="50">
        <v>0</v>
      </c>
      <c r="K9" s="25"/>
      <c r="L9" s="15">
        <f t="shared" si="1"/>
        <v>0</v>
      </c>
      <c r="M9" s="15">
        <f t="shared" si="6"/>
        <v>0</v>
      </c>
      <c r="N9" s="15">
        <f t="shared" si="7"/>
        <v>0</v>
      </c>
      <c r="O9" s="15">
        <f t="shared" si="8"/>
        <v>0</v>
      </c>
      <c r="P9" s="26">
        <f>D9*(1+'1'!$Z$4)</f>
        <v>0</v>
      </c>
      <c r="Q9" s="26">
        <f>P9*(1+'1'!$AA$4)</f>
        <v>0</v>
      </c>
      <c r="R9" s="26">
        <f>Q9*(1+'1'!$AB$4)</f>
        <v>0</v>
      </c>
      <c r="S9" s="26">
        <f>R9*(1+'1'!$AC$4)</f>
        <v>0</v>
      </c>
      <c r="T9" s="27">
        <f t="shared" si="9"/>
        <v>0</v>
      </c>
      <c r="U9" s="27">
        <f t="shared" si="10"/>
        <v>0</v>
      </c>
      <c r="V9" s="27">
        <f t="shared" si="11"/>
        <v>0</v>
      </c>
      <c r="W9" s="27">
        <f t="shared" si="12"/>
        <v>0</v>
      </c>
      <c r="X9" s="27"/>
    </row>
    <row r="10" spans="1:29" x14ac:dyDescent="0.25">
      <c r="A10" s="22">
        <f t="shared" si="13"/>
        <v>8</v>
      </c>
      <c r="B10" s="13"/>
      <c r="C10" s="55">
        <v>0</v>
      </c>
      <c r="D10" s="14">
        <v>0</v>
      </c>
      <c r="E10" s="23">
        <f t="shared" si="4"/>
        <v>0</v>
      </c>
      <c r="F10" s="24">
        <f t="shared" si="5"/>
        <v>0</v>
      </c>
      <c r="G10" s="50">
        <v>0</v>
      </c>
      <c r="H10" s="50">
        <v>0</v>
      </c>
      <c r="I10" s="50">
        <v>0</v>
      </c>
      <c r="J10" s="50">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x14ac:dyDescent="0.25">
      <c r="A11" s="22">
        <f t="shared" si="13"/>
        <v>9</v>
      </c>
      <c r="B11" s="13"/>
      <c r="C11" s="55">
        <v>0</v>
      </c>
      <c r="D11" s="14">
        <v>0</v>
      </c>
      <c r="E11" s="23">
        <f t="shared" si="4"/>
        <v>0</v>
      </c>
      <c r="F11" s="24">
        <f t="shared" si="5"/>
        <v>0</v>
      </c>
      <c r="G11" s="50">
        <v>0</v>
      </c>
      <c r="H11" s="50">
        <v>0</v>
      </c>
      <c r="I11" s="50">
        <v>0</v>
      </c>
      <c r="J11" s="50">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x14ac:dyDescent="0.25">
      <c r="A12" s="22">
        <f t="shared" si="13"/>
        <v>10</v>
      </c>
      <c r="B12" s="13"/>
      <c r="C12" s="55">
        <v>0</v>
      </c>
      <c r="D12" s="14">
        <v>0</v>
      </c>
      <c r="E12" s="23">
        <f t="shared" si="4"/>
        <v>0</v>
      </c>
      <c r="F12" s="24">
        <f t="shared" si="5"/>
        <v>0</v>
      </c>
      <c r="G12" s="50">
        <v>0</v>
      </c>
      <c r="H12" s="50">
        <v>0</v>
      </c>
      <c r="I12" s="50">
        <v>0</v>
      </c>
      <c r="J12" s="50">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x14ac:dyDescent="0.25">
      <c r="D13" s="15" t="s">
        <v>8</v>
      </c>
      <c r="E13" s="34">
        <f>SUM(E3:E12)</f>
        <v>924000000</v>
      </c>
      <c r="F13" s="35">
        <f>SUM(F3:F12)</f>
        <v>1</v>
      </c>
      <c r="T13" s="36">
        <f>SUM(T3:T12)</f>
        <v>1023179520</v>
      </c>
      <c r="U13" s="36">
        <f>SUM(U3:U12)</f>
        <v>1106568650.8799999</v>
      </c>
      <c r="V13" s="36">
        <f>SUM(V3:V12)</f>
        <v>1177234124.9251969</v>
      </c>
      <c r="W13" s="36">
        <f>SUM(W3:W12)</f>
        <v>1234188711.8890779</v>
      </c>
      <c r="X13" s="27"/>
    </row>
    <row r="15" spans="1:29" ht="23.25" customHeight="1" x14ac:dyDescent="0.25">
      <c r="A15" s="150" t="s">
        <v>6</v>
      </c>
      <c r="B15" s="150"/>
      <c r="C15" s="150"/>
      <c r="D15" s="150"/>
      <c r="E15" s="150"/>
      <c r="G15" s="37"/>
    </row>
    <row r="16" spans="1:29" ht="25.5" customHeight="1" x14ac:dyDescent="0.25">
      <c r="B16" s="18" t="s">
        <v>3</v>
      </c>
      <c r="C16" s="38" t="s">
        <v>0</v>
      </c>
      <c r="D16" s="120" t="s">
        <v>137</v>
      </c>
      <c r="E16" s="19" t="s">
        <v>2</v>
      </c>
      <c r="L16" s="15">
        <f>L2</f>
        <v>2025</v>
      </c>
      <c r="M16" s="15">
        <f t="shared" ref="M16:W16" si="14">M2</f>
        <v>2026</v>
      </c>
      <c r="N16" s="15">
        <f t="shared" si="14"/>
        <v>2027</v>
      </c>
      <c r="O16" s="15">
        <f t="shared" si="14"/>
        <v>2028</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x14ac:dyDescent="0.25">
      <c r="A17" s="22">
        <f>A3</f>
        <v>1</v>
      </c>
      <c r="B17" s="96" t="str">
        <f>B3</f>
        <v>Desmaquillante</v>
      </c>
      <c r="C17" s="40">
        <f>C3</f>
        <v>4000</v>
      </c>
      <c r="D17" s="14">
        <v>10000</v>
      </c>
      <c r="E17" s="23">
        <f>C17*D17</f>
        <v>40000000</v>
      </c>
      <c r="F17" s="24">
        <f>IF($E$27=0,0,E17/$E$27)</f>
        <v>0.16</v>
      </c>
      <c r="L17" s="15">
        <f t="shared" ref="L17:L26" si="15">C17*(1+G3)</f>
        <v>4200</v>
      </c>
      <c r="M17" s="15">
        <f>L17*(1+H3)</f>
        <v>4326</v>
      </c>
      <c r="N17" s="15">
        <f t="shared" ref="N17:O17" si="16">M17*(1+I3)</f>
        <v>4412.5200000000004</v>
      </c>
      <c r="O17" s="15">
        <f t="shared" si="16"/>
        <v>4456.6452000000008</v>
      </c>
      <c r="P17" s="41">
        <f>D17*(1+'1'!$Z$5)</f>
        <v>9435</v>
      </c>
      <c r="Q17" s="26">
        <f>P17*(1+'1'!$AA$5)</f>
        <v>9265.17</v>
      </c>
      <c r="R17" s="26">
        <f>Q17*(1+'1'!$AB$5)</f>
        <v>8894.5632000000005</v>
      </c>
      <c r="S17" s="26">
        <f>R17*(1+'1'!$AC$5)</f>
        <v>8716.6719360000006</v>
      </c>
      <c r="T17" s="41">
        <f t="shared" ref="T17:U19" si="17">L17*P17</f>
        <v>39627000</v>
      </c>
      <c r="U17" s="27">
        <f t="shared" si="17"/>
        <v>40081125.420000002</v>
      </c>
      <c r="V17" s="27">
        <f t="shared" ref="V17:W17" si="18">N17*R17</f>
        <v>39247438.011264004</v>
      </c>
      <c r="W17" s="27">
        <f t="shared" si="18"/>
        <v>38847114.143549114</v>
      </c>
      <c r="X17" s="27"/>
    </row>
    <row r="18" spans="1:24" x14ac:dyDescent="0.25">
      <c r="A18" s="22">
        <f t="shared" ref="A18:B25" si="19">A4</f>
        <v>2</v>
      </c>
      <c r="B18" s="42" t="str">
        <f t="shared" si="19"/>
        <v>Serum Facial</v>
      </c>
      <c r="C18" s="40">
        <f t="shared" ref="C18:C26" si="20">C4</f>
        <v>4000</v>
      </c>
      <c r="D18" s="14">
        <v>15000</v>
      </c>
      <c r="E18" s="23">
        <f t="shared" ref="E18:E26" si="21">C18*D18</f>
        <v>60000000</v>
      </c>
      <c r="F18" s="24">
        <f t="shared" ref="F18:F26" si="22">IF($E$27=0,0,E18/$E$27)</f>
        <v>0.24</v>
      </c>
      <c r="L18" s="15">
        <f t="shared" si="15"/>
        <v>4200</v>
      </c>
      <c r="M18" s="15">
        <f t="shared" ref="M18:M26" si="23">L18*(1+H4)</f>
        <v>4326</v>
      </c>
      <c r="N18" s="15">
        <f t="shared" ref="N18:N26" si="24">M18*(1+I4)</f>
        <v>4412.5200000000004</v>
      </c>
      <c r="O18" s="15">
        <f t="shared" ref="O18:O26" si="25">N18*(1+J4)</f>
        <v>4456.6452000000008</v>
      </c>
      <c r="P18" s="41">
        <f>D18*(1+'1'!$Z$5)</f>
        <v>14152.5</v>
      </c>
      <c r="Q18" s="26">
        <f>P18*(1+'1'!$AA$5)</f>
        <v>13897.754999999999</v>
      </c>
      <c r="R18" s="26">
        <f>Q18*(1+'1'!$AB$5)</f>
        <v>13341.844799999999</v>
      </c>
      <c r="S18" s="26">
        <f>R18*(1+'1'!$AC$5)</f>
        <v>13075.007903999998</v>
      </c>
      <c r="T18" s="41">
        <f t="shared" si="17"/>
        <v>59440500</v>
      </c>
      <c r="U18" s="27">
        <f t="shared" si="17"/>
        <v>60121688.129999995</v>
      </c>
      <c r="V18" s="27">
        <f t="shared" ref="V18:V26" si="26">N18*R18</f>
        <v>58871157.016896002</v>
      </c>
      <c r="W18" s="27">
        <f t="shared" ref="W18:W26" si="27">O18*S18</f>
        <v>58270671.215323664</v>
      </c>
      <c r="X18" s="27"/>
    </row>
    <row r="19" spans="1:24" x14ac:dyDescent="0.25">
      <c r="A19" s="22">
        <f t="shared" si="19"/>
        <v>3</v>
      </c>
      <c r="B19" s="42" t="str">
        <f t="shared" si="19"/>
        <v>Spray Antifrizz</v>
      </c>
      <c r="C19" s="40">
        <f t="shared" si="20"/>
        <v>4000</v>
      </c>
      <c r="D19" s="14">
        <v>9000</v>
      </c>
      <c r="E19" s="23">
        <f t="shared" si="21"/>
        <v>36000000</v>
      </c>
      <c r="F19" s="24">
        <f t="shared" si="22"/>
        <v>0.14399999999999999</v>
      </c>
      <c r="L19" s="15">
        <f t="shared" si="15"/>
        <v>4200</v>
      </c>
      <c r="M19" s="15">
        <f t="shared" si="23"/>
        <v>4326</v>
      </c>
      <c r="N19" s="15">
        <f t="shared" si="24"/>
        <v>4412.5200000000004</v>
      </c>
      <c r="O19" s="15">
        <f t="shared" si="25"/>
        <v>4456.6452000000008</v>
      </c>
      <c r="P19" s="41">
        <f>D19*(1+'1'!$Z$5)</f>
        <v>8491.5</v>
      </c>
      <c r="Q19" s="26">
        <f>P19*(1+'1'!$AA$5)</f>
        <v>8338.6530000000002</v>
      </c>
      <c r="R19" s="26">
        <f>Q19*(1+'1'!$AB$5)</f>
        <v>8005.1068800000003</v>
      </c>
      <c r="S19" s="26">
        <f>R19*(1+'1'!$AC$5)</f>
        <v>7845.0047424000004</v>
      </c>
      <c r="T19" s="41">
        <f t="shared" si="17"/>
        <v>35664300</v>
      </c>
      <c r="U19" s="27">
        <f t="shared" si="17"/>
        <v>36073012.877999999</v>
      </c>
      <c r="V19" s="27">
        <f t="shared" si="26"/>
        <v>35322694.210137606</v>
      </c>
      <c r="W19" s="27">
        <f t="shared" si="27"/>
        <v>34962402.729194202</v>
      </c>
      <c r="X19" s="27"/>
    </row>
    <row r="20" spans="1:24" x14ac:dyDescent="0.25">
      <c r="A20" s="22">
        <f t="shared" si="19"/>
        <v>4</v>
      </c>
      <c r="B20" s="42" t="str">
        <f t="shared" si="19"/>
        <v>Serum Dia</v>
      </c>
      <c r="C20" s="40">
        <f t="shared" si="20"/>
        <v>4000</v>
      </c>
      <c r="D20" s="14">
        <v>9500</v>
      </c>
      <c r="E20" s="23">
        <f t="shared" si="21"/>
        <v>38000000</v>
      </c>
      <c r="F20" s="24">
        <f t="shared" si="22"/>
        <v>0.152</v>
      </c>
      <c r="L20" s="15">
        <f t="shared" si="15"/>
        <v>4200</v>
      </c>
      <c r="M20" s="15">
        <f t="shared" si="23"/>
        <v>4326</v>
      </c>
      <c r="N20" s="15">
        <f t="shared" si="24"/>
        <v>4412.5200000000004</v>
      </c>
      <c r="O20" s="15">
        <f t="shared" si="25"/>
        <v>4456.6452000000008</v>
      </c>
      <c r="P20" s="41">
        <f>D20*(1+'1'!$Z$5)</f>
        <v>8963.25</v>
      </c>
      <c r="Q20" s="26">
        <f>P20*(1+'1'!$AA$5)</f>
        <v>8801.9115000000002</v>
      </c>
      <c r="R20" s="26">
        <f>Q20*(1+'1'!$AB$5)</f>
        <v>8449.8350399999999</v>
      </c>
      <c r="S20" s="26">
        <f>R20*(1+'1'!$AC$5)</f>
        <v>8280.8383391999996</v>
      </c>
      <c r="T20" s="41">
        <f t="shared" ref="T20:T26" si="28">L20*P20</f>
        <v>37645650</v>
      </c>
      <c r="U20" s="27">
        <f t="shared" ref="U20:U26" si="29">M20*Q20</f>
        <v>38077069.149000004</v>
      </c>
      <c r="V20" s="27">
        <f t="shared" si="26"/>
        <v>37285066.110700801</v>
      </c>
      <c r="W20" s="27">
        <f t="shared" si="27"/>
        <v>36904758.436371654</v>
      </c>
      <c r="X20" s="27"/>
    </row>
    <row r="21" spans="1:24" x14ac:dyDescent="0.25">
      <c r="A21" s="22">
        <f t="shared" si="19"/>
        <v>5</v>
      </c>
      <c r="B21" s="42" t="str">
        <f t="shared" si="19"/>
        <v>Serum Noche</v>
      </c>
      <c r="C21" s="40">
        <f t="shared" si="20"/>
        <v>4000</v>
      </c>
      <c r="D21" s="14">
        <v>10000</v>
      </c>
      <c r="E21" s="23">
        <f t="shared" si="21"/>
        <v>40000000</v>
      </c>
      <c r="F21" s="24">
        <f t="shared" si="22"/>
        <v>0.16</v>
      </c>
      <c r="L21" s="15">
        <f t="shared" si="15"/>
        <v>4200</v>
      </c>
      <c r="M21" s="15">
        <f t="shared" si="23"/>
        <v>4326</v>
      </c>
      <c r="N21" s="15">
        <f t="shared" si="24"/>
        <v>4412.5200000000004</v>
      </c>
      <c r="O21" s="15">
        <f t="shared" si="25"/>
        <v>4456.6452000000008</v>
      </c>
      <c r="P21" s="41">
        <f>D21*(1+'1'!$Z$5)</f>
        <v>9435</v>
      </c>
      <c r="Q21" s="26">
        <f>P21*(1+'1'!$AA$5)</f>
        <v>9265.17</v>
      </c>
      <c r="R21" s="26">
        <f>Q21*(1+'1'!$AB$5)</f>
        <v>8894.5632000000005</v>
      </c>
      <c r="S21" s="26">
        <f>R21*(1+'1'!$AC$5)</f>
        <v>8716.6719360000006</v>
      </c>
      <c r="T21" s="41">
        <f t="shared" si="28"/>
        <v>39627000</v>
      </c>
      <c r="U21" s="27">
        <f t="shared" si="29"/>
        <v>40081125.420000002</v>
      </c>
      <c r="V21" s="27">
        <f t="shared" si="26"/>
        <v>39247438.011264004</v>
      </c>
      <c r="W21" s="27">
        <f t="shared" si="27"/>
        <v>38847114.143549114</v>
      </c>
      <c r="X21" s="27"/>
    </row>
    <row r="22" spans="1:24" x14ac:dyDescent="0.25">
      <c r="A22" s="22">
        <f t="shared" si="19"/>
        <v>6</v>
      </c>
      <c r="B22" s="42" t="str">
        <f t="shared" si="19"/>
        <v>Óleo</v>
      </c>
      <c r="C22" s="40">
        <f t="shared" si="20"/>
        <v>4000</v>
      </c>
      <c r="D22" s="14">
        <v>9000</v>
      </c>
      <c r="E22" s="23">
        <f t="shared" si="21"/>
        <v>36000000</v>
      </c>
      <c r="F22" s="24">
        <f t="shared" si="22"/>
        <v>0.14399999999999999</v>
      </c>
      <c r="L22" s="15">
        <f t="shared" si="15"/>
        <v>4160</v>
      </c>
      <c r="M22" s="15">
        <f t="shared" si="23"/>
        <v>4284.8</v>
      </c>
      <c r="N22" s="15">
        <f t="shared" si="24"/>
        <v>4370.4960000000001</v>
      </c>
      <c r="O22" s="15">
        <f t="shared" si="25"/>
        <v>4414.2009600000001</v>
      </c>
      <c r="P22" s="41">
        <f>D22*(1+'1'!$Z$5)</f>
        <v>8491.5</v>
      </c>
      <c r="Q22" s="26">
        <f>P22*(1+'1'!$AA$5)</f>
        <v>8338.6530000000002</v>
      </c>
      <c r="R22" s="26">
        <f>Q22*(1+'1'!$AB$5)</f>
        <v>8005.1068800000003</v>
      </c>
      <c r="S22" s="26">
        <f>R22*(1+'1'!$AC$5)</f>
        <v>7845.0047424000004</v>
      </c>
      <c r="T22" s="41">
        <f t="shared" si="28"/>
        <v>35324640</v>
      </c>
      <c r="U22" s="27">
        <f t="shared" si="29"/>
        <v>35729460.374400005</v>
      </c>
      <c r="V22" s="27">
        <f t="shared" si="26"/>
        <v>34986287.59861248</v>
      </c>
      <c r="W22" s="27">
        <f t="shared" si="27"/>
        <v>34629427.465106636</v>
      </c>
      <c r="X22" s="27"/>
    </row>
    <row r="23" spans="1:24" x14ac:dyDescent="0.25">
      <c r="A23" s="22">
        <f t="shared" si="19"/>
        <v>7</v>
      </c>
      <c r="B23" s="42">
        <f t="shared" si="19"/>
        <v>0</v>
      </c>
      <c r="C23" s="40">
        <f t="shared" si="20"/>
        <v>0</v>
      </c>
      <c r="D23" s="14">
        <v>0</v>
      </c>
      <c r="E23" s="23">
        <f t="shared" si="21"/>
        <v>0</v>
      </c>
      <c r="F23" s="24">
        <f t="shared" si="22"/>
        <v>0</v>
      </c>
      <c r="L23" s="15">
        <f t="shared" si="15"/>
        <v>0</v>
      </c>
      <c r="M23" s="15">
        <f t="shared" si="23"/>
        <v>0</v>
      </c>
      <c r="N23" s="15">
        <f t="shared" si="24"/>
        <v>0</v>
      </c>
      <c r="O23" s="15">
        <f t="shared" si="25"/>
        <v>0</v>
      </c>
      <c r="P23" s="41">
        <f>D23*(1+'1'!$Z$5)</f>
        <v>0</v>
      </c>
      <c r="Q23" s="26">
        <f>P23*(1+'1'!$AA$5)</f>
        <v>0</v>
      </c>
      <c r="R23" s="26">
        <f>Q23*(1+'1'!$AB$5)</f>
        <v>0</v>
      </c>
      <c r="S23" s="26">
        <f>R23*(1+'1'!$AC$5)</f>
        <v>0</v>
      </c>
      <c r="T23" s="41">
        <f t="shared" si="28"/>
        <v>0</v>
      </c>
      <c r="U23" s="27">
        <f t="shared" si="29"/>
        <v>0</v>
      </c>
      <c r="V23" s="27">
        <f t="shared" si="26"/>
        <v>0</v>
      </c>
      <c r="W23" s="27">
        <f t="shared" si="27"/>
        <v>0</v>
      </c>
      <c r="X23" s="27"/>
    </row>
    <row r="24" spans="1:24" x14ac:dyDescent="0.25">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x14ac:dyDescent="0.25">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x14ac:dyDescent="0.25">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x14ac:dyDescent="0.25">
      <c r="D27" s="15" t="str">
        <f>D13</f>
        <v>TOTAL</v>
      </c>
      <c r="E27" s="34">
        <f>SUM(E17:E26)</f>
        <v>250000000</v>
      </c>
      <c r="F27" s="35">
        <f>SUM(F17:F26)</f>
        <v>1</v>
      </c>
      <c r="T27" s="36">
        <f>SUM(T17:T26)</f>
        <v>247329090</v>
      </c>
      <c r="U27" s="36">
        <f>SUM(U17:U26)</f>
        <v>250163481.37140006</v>
      </c>
      <c r="V27" s="36">
        <f t="shared" ref="V27:W27" si="31">SUM(V17:V26)</f>
        <v>244960080.95887491</v>
      </c>
      <c r="W27" s="36">
        <f t="shared" si="31"/>
        <v>242461488.13309437</v>
      </c>
      <c r="X27" s="27"/>
    </row>
    <row r="30" spans="1:24" x14ac:dyDescent="0.25">
      <c r="A30" s="149" t="s">
        <v>19</v>
      </c>
      <c r="B30" s="149"/>
      <c r="C30" s="149"/>
      <c r="D30" s="149"/>
      <c r="E30" s="149"/>
      <c r="F30" s="149"/>
    </row>
    <row r="31" spans="1:24" ht="26.25" x14ac:dyDescent="0.4">
      <c r="A31" s="43" t="s">
        <v>10</v>
      </c>
      <c r="B31" s="44">
        <f>'1'!Z1</f>
        <v>2024</v>
      </c>
      <c r="C31" s="44">
        <f>B31+1</f>
        <v>2025</v>
      </c>
      <c r="D31" s="44">
        <f>C31+1</f>
        <v>2026</v>
      </c>
      <c r="E31" s="44">
        <f>D31+1</f>
        <v>2027</v>
      </c>
      <c r="F31" s="44">
        <f>E31+1</f>
        <v>2028</v>
      </c>
      <c r="H31" s="45"/>
      <c r="I31" s="45"/>
      <c r="J31" s="45"/>
      <c r="K31" s="45"/>
      <c r="L31" s="45"/>
      <c r="M31" s="45"/>
      <c r="N31" s="45"/>
      <c r="O31" s="45"/>
      <c r="P31" s="45"/>
      <c r="Q31" s="45"/>
      <c r="R31" s="45"/>
      <c r="S31" s="45"/>
      <c r="T31" s="45"/>
      <c r="U31" s="45"/>
      <c r="V31" s="45"/>
    </row>
    <row r="32" spans="1:24" x14ac:dyDescent="0.25">
      <c r="A32" s="46" t="s">
        <v>20</v>
      </c>
      <c r="B32" s="47">
        <f>'1'!E13</f>
        <v>924000000</v>
      </c>
      <c r="C32" s="48">
        <f>'1'!T13</f>
        <v>1023179520</v>
      </c>
      <c r="D32" s="48">
        <f>'1'!U13</f>
        <v>1106568650.8799999</v>
      </c>
      <c r="E32" s="48">
        <f>'1'!V13</f>
        <v>1177234124.9251969</v>
      </c>
      <c r="F32" s="48">
        <f>'1'!W13</f>
        <v>1234188711.8890779</v>
      </c>
    </row>
    <row r="33" spans="1:6" x14ac:dyDescent="0.25">
      <c r="A33" s="46" t="s">
        <v>21</v>
      </c>
      <c r="B33" s="47">
        <f>'1'!E27</f>
        <v>250000000</v>
      </c>
      <c r="C33" s="47">
        <f>'1'!T27</f>
        <v>247329090</v>
      </c>
      <c r="D33" s="47">
        <f>'1'!U27</f>
        <v>250163481.37140006</v>
      </c>
      <c r="E33" s="47">
        <f>'1'!V27</f>
        <v>244960080.95887491</v>
      </c>
      <c r="F33" s="47">
        <f>'1'!W27</f>
        <v>242461488.13309437</v>
      </c>
    </row>
    <row r="34" spans="1:6" ht="21" thickBot="1" x14ac:dyDescent="0.35">
      <c r="A34" s="49" t="s">
        <v>22</v>
      </c>
      <c r="B34" s="127">
        <f>B32-B33</f>
        <v>674000000</v>
      </c>
      <c r="C34" s="127">
        <f t="shared" ref="C34:D34" si="32">C32-C33</f>
        <v>775850430</v>
      </c>
      <c r="D34" s="127">
        <f t="shared" si="32"/>
        <v>856405169.50859976</v>
      </c>
      <c r="E34" s="127">
        <f t="shared" ref="E34" si="33">E32-E33</f>
        <v>932274043.96632195</v>
      </c>
      <c r="F34" s="127">
        <f t="shared" ref="F34" si="34">F32-F33</f>
        <v>991727223.75598359</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D11" sqref="D11"/>
    </sheetView>
  </sheetViews>
  <sheetFormatPr baseColWidth="10" defaultRowHeight="15" x14ac:dyDescent="0.25"/>
  <cols>
    <col min="1" max="1" width="5.42578125" style="15" customWidth="1"/>
    <col min="2" max="2" width="33.28515625" style="15" customWidth="1"/>
    <col min="3" max="3" width="20.28515625" style="15" customWidth="1"/>
    <col min="4" max="4" width="11.42578125" style="15"/>
    <col min="5" max="5" width="23.28515625" style="15" customWidth="1"/>
    <col min="6" max="6" width="20.7109375" style="15" customWidth="1"/>
    <col min="7" max="7" width="15.5703125" style="15" bestFit="1" customWidth="1"/>
    <col min="8" max="16384" width="11.42578125" style="15"/>
  </cols>
  <sheetData>
    <row r="1" spans="2:8" x14ac:dyDescent="0.25">
      <c r="B1" s="152" t="s">
        <v>133</v>
      </c>
      <c r="C1" s="152"/>
      <c r="D1" s="152"/>
      <c r="E1" s="152"/>
      <c r="F1" s="152"/>
      <c r="G1" s="152"/>
      <c r="H1" s="152"/>
    </row>
    <row r="2" spans="2:8" ht="3.75" customHeight="1" x14ac:dyDescent="0.25">
      <c r="B2" s="152"/>
      <c r="C2" s="152"/>
      <c r="D2" s="152"/>
      <c r="E2" s="152"/>
      <c r="F2" s="152"/>
      <c r="G2" s="152"/>
      <c r="H2" s="152"/>
    </row>
    <row r="3" spans="2:8" x14ac:dyDescent="0.25">
      <c r="C3" s="22" t="s">
        <v>51</v>
      </c>
      <c r="F3" s="73" t="s">
        <v>92</v>
      </c>
      <c r="G3" s="73"/>
    </row>
    <row r="4" spans="2:8" x14ac:dyDescent="0.25">
      <c r="B4" s="49" t="s">
        <v>43</v>
      </c>
      <c r="C4" s="14">
        <v>0</v>
      </c>
      <c r="F4" s="73"/>
      <c r="G4" s="73"/>
    </row>
    <row r="5" spans="2:8" x14ac:dyDescent="0.25">
      <c r="B5" s="49" t="s">
        <v>46</v>
      </c>
      <c r="C5" s="14">
        <v>71500000</v>
      </c>
      <c r="F5" s="73">
        <v>10</v>
      </c>
      <c r="G5" s="74">
        <f t="shared" ref="G5:G11" si="0">C5/F5</f>
        <v>7150000</v>
      </c>
    </row>
    <row r="6" spans="2:8" x14ac:dyDescent="0.25">
      <c r="B6" s="49" t="s">
        <v>44</v>
      </c>
      <c r="C6" s="14">
        <v>15500000</v>
      </c>
      <c r="F6" s="73">
        <v>5</v>
      </c>
      <c r="G6" s="74">
        <f t="shared" si="0"/>
        <v>3100000</v>
      </c>
    </row>
    <row r="7" spans="2:8" x14ac:dyDescent="0.25">
      <c r="B7" s="49" t="s">
        <v>45</v>
      </c>
      <c r="C7" s="14">
        <v>4000000</v>
      </c>
      <c r="F7" s="73">
        <v>5</v>
      </c>
      <c r="G7" s="74">
        <f>C7/F7</f>
        <v>800000</v>
      </c>
    </row>
    <row r="8" spans="2:8" x14ac:dyDescent="0.25">
      <c r="B8" s="49" t="s">
        <v>47</v>
      </c>
      <c r="C8" s="14">
        <v>1000000</v>
      </c>
      <c r="F8" s="73">
        <v>5</v>
      </c>
      <c r="G8" s="74">
        <f>C8/F8</f>
        <v>200000</v>
      </c>
    </row>
    <row r="9" spans="2:8" x14ac:dyDescent="0.25">
      <c r="B9" s="49" t="s">
        <v>48</v>
      </c>
      <c r="C9" s="14">
        <v>0</v>
      </c>
      <c r="F9" s="73">
        <v>5</v>
      </c>
      <c r="G9" s="74">
        <f t="shared" si="0"/>
        <v>0</v>
      </c>
    </row>
    <row r="10" spans="2:8" x14ac:dyDescent="0.25">
      <c r="B10" s="125" t="s">
        <v>142</v>
      </c>
      <c r="C10" s="14">
        <v>34513470</v>
      </c>
      <c r="F10" s="73">
        <v>5</v>
      </c>
      <c r="G10" s="74">
        <f t="shared" si="0"/>
        <v>6902694</v>
      </c>
    </row>
    <row r="11" spans="2:8" x14ac:dyDescent="0.25">
      <c r="B11" s="49" t="s">
        <v>49</v>
      </c>
      <c r="C11" s="14">
        <f>19731000+66700000</f>
        <v>86431000</v>
      </c>
      <c r="F11" s="73">
        <v>5</v>
      </c>
      <c r="G11" s="74">
        <f t="shared" si="0"/>
        <v>17286200</v>
      </c>
    </row>
    <row r="12" spans="2:8" ht="16.5" thickBot="1" x14ac:dyDescent="0.3">
      <c r="B12" s="75" t="s">
        <v>50</v>
      </c>
      <c r="C12" s="76">
        <f>SUM(C4:C11)</f>
        <v>212944470</v>
      </c>
      <c r="F12" s="73"/>
      <c r="G12" s="74">
        <f>SUM(G5:G11)</f>
        <v>35438894</v>
      </c>
    </row>
    <row r="13" spans="2:8" x14ac:dyDescent="0.25">
      <c r="B13" s="153" t="s">
        <v>42</v>
      </c>
      <c r="C13" s="154"/>
      <c r="D13" s="154"/>
      <c r="E13" s="154"/>
      <c r="F13" s="154"/>
      <c r="G13" s="154"/>
      <c r="H13" s="155"/>
    </row>
    <row r="14" spans="2:8" ht="15.75" thickBot="1" x14ac:dyDescent="0.3">
      <c r="B14" s="156"/>
      <c r="C14" s="157"/>
      <c r="D14" s="157"/>
      <c r="E14" s="157"/>
      <c r="F14" s="157"/>
      <c r="G14" s="157"/>
      <c r="H14" s="158"/>
    </row>
    <row r="15" spans="2:8" x14ac:dyDescent="0.25">
      <c r="B15" s="77"/>
      <c r="C15" s="77"/>
      <c r="D15" s="77"/>
      <c r="E15" s="77"/>
      <c r="F15" s="77"/>
      <c r="G15" s="77"/>
      <c r="H15" s="77"/>
    </row>
    <row r="16" spans="2:8" x14ac:dyDescent="0.25">
      <c r="B16" s="75" t="s">
        <v>28</v>
      </c>
      <c r="E16" s="75" t="s">
        <v>34</v>
      </c>
      <c r="F16" s="39"/>
    </row>
    <row r="17" spans="2:6" x14ac:dyDescent="0.25">
      <c r="C17" s="75" t="s">
        <v>30</v>
      </c>
      <c r="F17" s="75" t="str">
        <f>C17</f>
        <v>VALOR AÑO 1</v>
      </c>
    </row>
    <row r="18" spans="2:6" x14ac:dyDescent="0.25">
      <c r="B18" s="78" t="s">
        <v>29</v>
      </c>
      <c r="C18" s="14">
        <v>48000000</v>
      </c>
      <c r="E18" s="122" t="s">
        <v>139</v>
      </c>
      <c r="F18" s="14">
        <v>24000000</v>
      </c>
    </row>
    <row r="19" spans="2:6" x14ac:dyDescent="0.25">
      <c r="C19" s="80"/>
      <c r="E19" s="79" t="s">
        <v>35</v>
      </c>
      <c r="F19" s="14">
        <f>3000000+4200000</f>
        <v>7200000</v>
      </c>
    </row>
    <row r="20" spans="2:6" x14ac:dyDescent="0.25">
      <c r="B20" s="78" t="s">
        <v>32</v>
      </c>
      <c r="C20" s="14">
        <v>52800000</v>
      </c>
      <c r="E20" s="79" t="s">
        <v>36</v>
      </c>
      <c r="F20" s="14">
        <v>800000</v>
      </c>
    </row>
    <row r="21" spans="2:6" x14ac:dyDescent="0.25">
      <c r="C21" s="80"/>
      <c r="E21" s="79" t="s">
        <v>37</v>
      </c>
      <c r="F21" s="14">
        <v>900000</v>
      </c>
    </row>
    <row r="22" spans="2:6" x14ac:dyDescent="0.25">
      <c r="B22" s="121" t="s">
        <v>138</v>
      </c>
      <c r="C22" s="14">
        <v>192000000</v>
      </c>
      <c r="E22" s="79" t="s">
        <v>38</v>
      </c>
      <c r="F22" s="14">
        <v>500000</v>
      </c>
    </row>
    <row r="23" spans="2:6" ht="15.75" x14ac:dyDescent="0.25">
      <c r="B23" s="15" t="s">
        <v>56</v>
      </c>
      <c r="C23" s="76">
        <f>C18+C20+C22</f>
        <v>292800000</v>
      </c>
      <c r="E23" s="79" t="s">
        <v>39</v>
      </c>
      <c r="F23" s="14">
        <v>14400000</v>
      </c>
    </row>
    <row r="24" spans="2:6" x14ac:dyDescent="0.25">
      <c r="E24" s="79" t="s">
        <v>40</v>
      </c>
      <c r="F24" s="14">
        <v>21000000</v>
      </c>
    </row>
    <row r="25" spans="2:6" ht="24.75" x14ac:dyDescent="0.25">
      <c r="B25" s="79" t="s">
        <v>143</v>
      </c>
      <c r="C25" s="14">
        <v>65462000</v>
      </c>
      <c r="E25" s="124" t="s">
        <v>140</v>
      </c>
      <c r="F25" s="14">
        <v>2000000</v>
      </c>
    </row>
    <row r="26" spans="2:6" x14ac:dyDescent="0.25">
      <c r="E26" s="124" t="s">
        <v>141</v>
      </c>
      <c r="F26" s="14">
        <v>2400000</v>
      </c>
    </row>
    <row r="27" spans="2:6" x14ac:dyDescent="0.25">
      <c r="B27" s="102" t="s">
        <v>144</v>
      </c>
      <c r="C27" s="102"/>
      <c r="E27" s="104"/>
      <c r="F27" s="14">
        <v>30000000</v>
      </c>
    </row>
    <row r="28" spans="2:6" x14ac:dyDescent="0.25">
      <c r="B28" s="123">
        <f>'1'!G2</f>
        <v>2025</v>
      </c>
      <c r="C28" s="14">
        <v>50000000</v>
      </c>
      <c r="E28" s="104"/>
      <c r="F28" s="14">
        <v>6000000</v>
      </c>
    </row>
    <row r="29" spans="2:6" x14ac:dyDescent="0.25">
      <c r="B29" s="123">
        <f>'1'!H2</f>
        <v>2026</v>
      </c>
      <c r="C29" s="14">
        <v>55000000</v>
      </c>
      <c r="E29" s="104"/>
      <c r="F29" s="14">
        <v>4800000</v>
      </c>
    </row>
    <row r="30" spans="2:6" x14ac:dyDescent="0.25">
      <c r="B30" s="123">
        <f>'1'!I2</f>
        <v>2027</v>
      </c>
      <c r="C30" s="14">
        <v>60000000</v>
      </c>
      <c r="E30" s="104"/>
      <c r="F30" s="14">
        <v>0</v>
      </c>
    </row>
    <row r="31" spans="2:6" ht="15.75" x14ac:dyDescent="0.25">
      <c r="B31" s="123">
        <f>'1'!J2</f>
        <v>2028</v>
      </c>
      <c r="C31" s="14">
        <v>65000000</v>
      </c>
      <c r="E31" s="79" t="s">
        <v>41</v>
      </c>
      <c r="F31" s="76">
        <f>SUM(F18:F30)</f>
        <v>114000000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C1" zoomScaleNormal="100" workbookViewId="0">
      <selection activeCell="I17" sqref="I17"/>
    </sheetView>
  </sheetViews>
  <sheetFormatPr baseColWidth="10" defaultRowHeight="15" x14ac:dyDescent="0.25"/>
  <cols>
    <col min="1" max="1" width="11.42578125" style="15"/>
    <col min="2" max="2" width="39" style="15" bestFit="1" customWidth="1"/>
    <col min="3" max="3" width="21.5703125" style="15" customWidth="1"/>
    <col min="4" max="4" width="23.140625" style="15" customWidth="1"/>
    <col min="5" max="5" width="12.85546875" style="15" customWidth="1"/>
    <col min="6" max="6" width="19.28515625" style="15" customWidth="1"/>
    <col min="7" max="7" width="16.28515625" style="15" customWidth="1"/>
    <col min="8" max="8" width="18.42578125" style="15" customWidth="1"/>
    <col min="9" max="9" width="17" style="15" bestFit="1" customWidth="1"/>
    <col min="10" max="10" width="16.85546875" style="15" customWidth="1"/>
    <col min="11" max="16384" width="11.42578125" style="15"/>
  </cols>
  <sheetData>
    <row r="2" spans="2:12" ht="29.25" customHeight="1" x14ac:dyDescent="0.25">
      <c r="B2" s="150" t="s">
        <v>115</v>
      </c>
      <c r="C2" s="150"/>
      <c r="D2" s="150"/>
      <c r="E2" s="150"/>
      <c r="F2" s="150"/>
      <c r="G2" s="150"/>
      <c r="H2" s="150"/>
      <c r="I2" s="150"/>
      <c r="J2" s="150"/>
    </row>
    <row r="3" spans="2:12" x14ac:dyDescent="0.25">
      <c r="F3" s="160" t="s">
        <v>62</v>
      </c>
      <c r="G3" s="160"/>
    </row>
    <row r="4" spans="2:12" ht="15.75" x14ac:dyDescent="0.25">
      <c r="B4" s="17" t="s">
        <v>50</v>
      </c>
      <c r="C4" s="76">
        <f>'2'!C12</f>
        <v>212944470</v>
      </c>
      <c r="F4" s="161">
        <v>0.17860000000000001</v>
      </c>
      <c r="G4" s="161"/>
      <c r="I4" s="15" t="s">
        <v>150</v>
      </c>
      <c r="J4" s="141">
        <v>5</v>
      </c>
      <c r="L4" s="73">
        <v>1</v>
      </c>
    </row>
    <row r="5" spans="2:12" x14ac:dyDescent="0.25">
      <c r="L5" s="73">
        <v>2</v>
      </c>
    </row>
    <row r="6" spans="2:12" ht="15.75" thickBot="1" x14ac:dyDescent="0.3">
      <c r="B6" s="17" t="s">
        <v>52</v>
      </c>
      <c r="F6" s="159" t="s">
        <v>116</v>
      </c>
      <c r="G6" s="159"/>
      <c r="H6" s="159"/>
      <c r="I6" s="159"/>
      <c r="J6" s="159"/>
      <c r="L6" s="73">
        <v>3</v>
      </c>
    </row>
    <row r="7" spans="2:12" x14ac:dyDescent="0.25">
      <c r="C7" s="81" t="s">
        <v>54</v>
      </c>
      <c r="D7" s="81" t="s">
        <v>55</v>
      </c>
      <c r="E7" s="130"/>
      <c r="F7" s="131" t="s">
        <v>145</v>
      </c>
      <c r="G7" s="131" t="s">
        <v>146</v>
      </c>
      <c r="H7" s="131" t="s">
        <v>147</v>
      </c>
      <c r="I7" s="131" t="s">
        <v>148</v>
      </c>
      <c r="J7" s="132" t="s">
        <v>149</v>
      </c>
      <c r="L7" s="73">
        <v>4</v>
      </c>
    </row>
    <row r="8" spans="2:12" x14ac:dyDescent="0.25">
      <c r="B8" s="49" t="s">
        <v>53</v>
      </c>
      <c r="C8" s="56">
        <v>6</v>
      </c>
      <c r="D8" s="26">
        <f>('1'!B33/12)*C8</f>
        <v>125000000</v>
      </c>
      <c r="E8" s="133" t="s">
        <v>84</v>
      </c>
      <c r="F8" s="134"/>
      <c r="G8" s="134"/>
      <c r="H8" s="134"/>
      <c r="I8" s="134"/>
      <c r="J8" s="135">
        <f>D16</f>
        <v>524075470</v>
      </c>
      <c r="L8" s="73">
        <v>5</v>
      </c>
    </row>
    <row r="9" spans="2:12" x14ac:dyDescent="0.25">
      <c r="B9" s="49" t="s">
        <v>57</v>
      </c>
      <c r="C9" s="56">
        <v>6</v>
      </c>
      <c r="D9" s="26">
        <f>('2'!C23/12)*C9</f>
        <v>146400000</v>
      </c>
      <c r="E9" s="133">
        <f>'1'!B31</f>
        <v>2024</v>
      </c>
      <c r="F9" s="137">
        <f t="shared" ref="F9:F13" si="0">IF(J8&gt;0,J8,0)</f>
        <v>524075470</v>
      </c>
      <c r="G9" s="137">
        <f>F9*$F$4</f>
        <v>93599878.942000002</v>
      </c>
      <c r="H9" s="137">
        <f>IF(J8&lt;1,0,(I9-G9))</f>
        <v>73456695.675379515</v>
      </c>
      <c r="I9" s="137">
        <f>PMT(F4,J4,J8)*-1</f>
        <v>167056574.61737952</v>
      </c>
      <c r="J9" s="138">
        <f>F9-H9</f>
        <v>450618774.32462049</v>
      </c>
    </row>
    <row r="10" spans="2:12" x14ac:dyDescent="0.25">
      <c r="B10" s="49" t="s">
        <v>58</v>
      </c>
      <c r="C10" s="56">
        <v>6</v>
      </c>
      <c r="D10" s="26">
        <f>('2'!C25/12)*C10</f>
        <v>32731000</v>
      </c>
      <c r="E10" s="133">
        <f>'1'!C31</f>
        <v>2025</v>
      </c>
      <c r="F10" s="137">
        <f t="shared" si="0"/>
        <v>450618774.32462049</v>
      </c>
      <c r="G10" s="137">
        <f t="shared" ref="G10:G13" si="1">F10*$F$4</f>
        <v>80480513.09437722</v>
      </c>
      <c r="H10" s="137">
        <f t="shared" ref="H10:H13" si="2">IF(J9&lt;1,0,(I10-G10))</f>
        <v>86576061.523002297</v>
      </c>
      <c r="I10" s="137">
        <f>IF(J9&lt;1,0,(I9*(1+$K$7)))</f>
        <v>167056574.61737952</v>
      </c>
      <c r="J10" s="138">
        <f t="shared" ref="J10:J13" si="3">F10-H10</f>
        <v>364042712.80161822</v>
      </c>
    </row>
    <row r="11" spans="2:12" x14ac:dyDescent="0.25">
      <c r="B11" s="49" t="s">
        <v>33</v>
      </c>
      <c r="C11" s="56">
        <v>6</v>
      </c>
      <c r="D11" s="26">
        <f>('2'!F31/12)*C11</f>
        <v>57000000</v>
      </c>
      <c r="E11" s="133">
        <f>'1'!D31</f>
        <v>2026</v>
      </c>
      <c r="F11" s="137">
        <f t="shared" si="0"/>
        <v>364042712.80161822</v>
      </c>
      <c r="G11" s="137">
        <f t="shared" si="1"/>
        <v>65018028.506369017</v>
      </c>
      <c r="H11" s="137">
        <f t="shared" si="2"/>
        <v>102038546.11101049</v>
      </c>
      <c r="I11" s="137">
        <f t="shared" ref="I11:I13" si="4">IF(J10&lt;1,0,(I10*(1+$K$7)))</f>
        <v>167056574.61737952</v>
      </c>
      <c r="J11" s="138">
        <f t="shared" si="3"/>
        <v>262004166.69060773</v>
      </c>
    </row>
    <row r="12" spans="2:12" ht="15.75" x14ac:dyDescent="0.25">
      <c r="B12" s="82" t="s">
        <v>8</v>
      </c>
      <c r="C12" s="60"/>
      <c r="D12" s="83">
        <f>SUM(D8:D11)</f>
        <v>361131000</v>
      </c>
      <c r="E12" s="133">
        <f>'1'!E31</f>
        <v>2027</v>
      </c>
      <c r="F12" s="137">
        <f t="shared" si="0"/>
        <v>262004166.69060773</v>
      </c>
      <c r="G12" s="137">
        <f t="shared" si="1"/>
        <v>46793944.170942545</v>
      </c>
      <c r="H12" s="137">
        <f t="shared" si="2"/>
        <v>120262630.44643697</v>
      </c>
      <c r="I12" s="137">
        <f t="shared" si="4"/>
        <v>167056574.61737952</v>
      </c>
      <c r="J12" s="138">
        <f t="shared" si="3"/>
        <v>141741536.24417076</v>
      </c>
    </row>
    <row r="13" spans="2:12" ht="15.75" thickBot="1" x14ac:dyDescent="0.3">
      <c r="E13" s="136">
        <f>'1'!F31</f>
        <v>2028</v>
      </c>
      <c r="F13" s="139">
        <f t="shared" si="0"/>
        <v>141741536.24417076</v>
      </c>
      <c r="G13" s="139">
        <f t="shared" si="1"/>
        <v>25315038.373208899</v>
      </c>
      <c r="H13" s="139">
        <f t="shared" si="2"/>
        <v>141741536.24417061</v>
      </c>
      <c r="I13" s="139">
        <f t="shared" si="4"/>
        <v>167056574.61737952</v>
      </c>
      <c r="J13" s="140">
        <f t="shared" si="3"/>
        <v>0</v>
      </c>
    </row>
    <row r="14" spans="2:12" ht="15.75" x14ac:dyDescent="0.25">
      <c r="B14" s="49" t="s">
        <v>59</v>
      </c>
      <c r="D14" s="76">
        <f>C4+D12</f>
        <v>574075470</v>
      </c>
    </row>
    <row r="15" spans="2:12" x14ac:dyDescent="0.25">
      <c r="B15" s="49" t="s">
        <v>60</v>
      </c>
      <c r="D15" s="57">
        <v>50000000</v>
      </c>
    </row>
    <row r="16" spans="2:12" ht="15.75" x14ac:dyDescent="0.25">
      <c r="B16" s="49" t="s">
        <v>61</v>
      </c>
      <c r="D16" s="84">
        <f>D14-D15</f>
        <v>524075470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5" zoomScaleNormal="85" workbookViewId="0">
      <pane xSplit="7" ySplit="1" topLeftCell="H2" activePane="bottomRight" state="frozenSplit"/>
      <selection pane="topRight" activeCell="E1" sqref="E1"/>
      <selection pane="bottomLeft" activeCell="A12" sqref="A12"/>
      <selection pane="bottomRight" activeCell="D62" sqref="D62"/>
    </sheetView>
  </sheetViews>
  <sheetFormatPr baseColWidth="10" defaultRowHeight="15" x14ac:dyDescent="0.25"/>
  <cols>
    <col min="1" max="1" width="26.7109375" style="15" customWidth="1"/>
    <col min="2" max="2" width="25.85546875" style="15" bestFit="1" customWidth="1"/>
    <col min="3" max="3" width="35.7109375" style="15" customWidth="1"/>
    <col min="4" max="4" width="23.28515625" style="15" customWidth="1"/>
    <col min="5" max="5" width="22.28515625" style="15" customWidth="1"/>
    <col min="6" max="6" width="21.85546875" style="15" customWidth="1"/>
    <col min="7" max="7" width="23" style="15" customWidth="1"/>
    <col min="8" max="16384" width="11.42578125" style="15"/>
  </cols>
  <sheetData>
    <row r="1" spans="1:7" ht="34.5" customHeight="1" x14ac:dyDescent="0.25">
      <c r="A1" s="162" t="s">
        <v>117</v>
      </c>
      <c r="B1" s="162"/>
      <c r="C1" s="162"/>
      <c r="D1" s="162"/>
      <c r="E1" s="162"/>
      <c r="F1" s="162"/>
      <c r="G1" s="162"/>
    </row>
    <row r="2" spans="1:7" ht="23.25" x14ac:dyDescent="0.25">
      <c r="A2" s="163" t="s">
        <v>132</v>
      </c>
      <c r="B2" s="163"/>
      <c r="C2" s="163"/>
      <c r="D2" s="163"/>
      <c r="E2" s="163"/>
      <c r="F2" s="163"/>
      <c r="G2" s="163"/>
    </row>
    <row r="3" spans="1:7" ht="8.25" customHeight="1" x14ac:dyDescent="0.25">
      <c r="A3" s="58"/>
      <c r="B3" s="58"/>
      <c r="C3" s="58"/>
      <c r="D3" s="58"/>
      <c r="E3" s="58"/>
      <c r="F3" s="58"/>
      <c r="G3" s="58"/>
    </row>
    <row r="4" spans="1:7" ht="15.75" x14ac:dyDescent="0.25">
      <c r="A4" s="164" t="s">
        <v>89</v>
      </c>
      <c r="B4" s="164"/>
      <c r="C4" s="164"/>
      <c r="D4" s="164"/>
      <c r="E4" s="164"/>
      <c r="F4" s="164"/>
      <c r="G4" s="164"/>
    </row>
    <row r="5" spans="1:7" ht="23.25" x14ac:dyDescent="0.25">
      <c r="C5" s="62">
        <f>'1'!B31</f>
        <v>2024</v>
      </c>
      <c r="D5" s="62">
        <f>'1'!C31</f>
        <v>2025</v>
      </c>
      <c r="E5" s="62">
        <f>'1'!D31</f>
        <v>2026</v>
      </c>
      <c r="F5" s="62">
        <f>'1'!E31</f>
        <v>2027</v>
      </c>
      <c r="G5" s="62">
        <f>'1'!F31</f>
        <v>2028</v>
      </c>
    </row>
    <row r="6" spans="1:7" x14ac:dyDescent="0.25">
      <c r="B6" s="15" t="s">
        <v>31</v>
      </c>
      <c r="C6" s="63">
        <f>'1'!B32</f>
        <v>924000000</v>
      </c>
      <c r="D6" s="63">
        <f>'1'!C32</f>
        <v>1023179520</v>
      </c>
      <c r="E6" s="63">
        <f>'1'!D32</f>
        <v>1106568650.8799999</v>
      </c>
      <c r="F6" s="63">
        <f>'1'!E32</f>
        <v>1177234124.9251969</v>
      </c>
      <c r="G6" s="63">
        <f>'1'!F32</f>
        <v>1234188711.8890779</v>
      </c>
    </row>
    <row r="7" spans="1:7" x14ac:dyDescent="0.25">
      <c r="B7" s="15" t="s">
        <v>66</v>
      </c>
      <c r="C7" s="63">
        <f>'1'!B33</f>
        <v>250000000</v>
      </c>
      <c r="D7" s="63">
        <f>'1'!C33</f>
        <v>247329090</v>
      </c>
      <c r="E7" s="63">
        <f>'1'!D33</f>
        <v>250163481.37140006</v>
      </c>
      <c r="F7" s="63">
        <f>'1'!E33</f>
        <v>244960080.95887491</v>
      </c>
      <c r="G7" s="63">
        <f>'1'!F33</f>
        <v>242461488.13309437</v>
      </c>
    </row>
    <row r="8" spans="1:7" ht="15.75" thickBot="1" x14ac:dyDescent="0.3">
      <c r="B8" s="64" t="s">
        <v>67</v>
      </c>
      <c r="C8" s="65">
        <f>C6-C7</f>
        <v>674000000</v>
      </c>
      <c r="D8" s="65">
        <f t="shared" ref="D8:G8" si="0">D6-D7</f>
        <v>775850430</v>
      </c>
      <c r="E8" s="65">
        <f t="shared" si="0"/>
        <v>856405169.50859976</v>
      </c>
      <c r="F8" s="65">
        <f t="shared" si="0"/>
        <v>932274043.96632195</v>
      </c>
      <c r="G8" s="65">
        <f t="shared" si="0"/>
        <v>991727223.75598359</v>
      </c>
    </row>
    <row r="9" spans="1:7" ht="15.75" thickTop="1" x14ac:dyDescent="0.25">
      <c r="B9" s="15" t="s">
        <v>68</v>
      </c>
      <c r="C9" s="63">
        <f>'2'!C23</f>
        <v>292800000</v>
      </c>
      <c r="D9" s="63">
        <f>C9*(1+'1'!Z4)</f>
        <v>309196800</v>
      </c>
      <c r="E9" s="63">
        <f>D9*(1+'1'!AA4)</f>
        <v>324656640</v>
      </c>
      <c r="F9" s="63">
        <f>E9*(1+'1'!AB4)</f>
        <v>338616875.51999998</v>
      </c>
      <c r="G9" s="63">
        <f>F9*(1+'1'!AC4)</f>
        <v>351484316.78975999</v>
      </c>
    </row>
    <row r="10" spans="1:7" x14ac:dyDescent="0.25">
      <c r="B10" s="15" t="s">
        <v>134</v>
      </c>
      <c r="C10" s="63">
        <f>'2'!F31</f>
        <v>114000000</v>
      </c>
      <c r="D10" s="63">
        <f>C10*(1+'1'!Z4)</f>
        <v>120384000</v>
      </c>
      <c r="E10" s="63">
        <f>D10*(1+'1'!AA4)</f>
        <v>126403200</v>
      </c>
      <c r="F10" s="63">
        <f>E10*(1+'1'!AB4)</f>
        <v>131838537.59999999</v>
      </c>
      <c r="G10" s="63">
        <f>F10*(1+'1'!AC4)</f>
        <v>136848402.02880001</v>
      </c>
    </row>
    <row r="11" spans="1:7" x14ac:dyDescent="0.25">
      <c r="B11" s="15" t="s">
        <v>69</v>
      </c>
      <c r="C11" s="63">
        <f>'2'!C25</f>
        <v>65462000</v>
      </c>
      <c r="D11" s="63">
        <f>'2'!C28</f>
        <v>50000000</v>
      </c>
      <c r="E11" s="63">
        <f>'2'!C29</f>
        <v>55000000</v>
      </c>
      <c r="F11" s="63">
        <f>'2'!C30</f>
        <v>60000000</v>
      </c>
      <c r="G11" s="63">
        <f>'2'!C31</f>
        <v>65000000</v>
      </c>
    </row>
    <row r="12" spans="1:7" x14ac:dyDescent="0.25">
      <c r="B12" s="15" t="s">
        <v>86</v>
      </c>
      <c r="C12" s="63">
        <f>'2'!G12</f>
        <v>35438894</v>
      </c>
      <c r="D12" s="63">
        <f>C12</f>
        <v>35438894</v>
      </c>
      <c r="E12" s="63">
        <f t="shared" ref="E12:G12" si="1">D12</f>
        <v>35438894</v>
      </c>
      <c r="F12" s="63">
        <f t="shared" si="1"/>
        <v>35438894</v>
      </c>
      <c r="G12" s="63">
        <f t="shared" si="1"/>
        <v>35438894</v>
      </c>
    </row>
    <row r="13" spans="1:7" ht="15.75" thickBot="1" x14ac:dyDescent="0.3">
      <c r="B13" s="64" t="s">
        <v>70</v>
      </c>
      <c r="C13" s="66">
        <f>C8-C9-C10-C11-C12</f>
        <v>166299106</v>
      </c>
      <c r="D13" s="66">
        <f t="shared" ref="D13:G13" si="2">D8-D9-D10-D11-D12</f>
        <v>260830736</v>
      </c>
      <c r="E13" s="66">
        <f t="shared" si="2"/>
        <v>314906435.50859976</v>
      </c>
      <c r="F13" s="66">
        <f t="shared" si="2"/>
        <v>366379736.84632194</v>
      </c>
      <c r="G13" s="66">
        <f t="shared" si="2"/>
        <v>402955610.93742359</v>
      </c>
    </row>
    <row r="14" spans="1:7" ht="15.75" thickTop="1" x14ac:dyDescent="0.25">
      <c r="B14" s="15" t="s">
        <v>71</v>
      </c>
      <c r="C14" s="63">
        <f>'3'!G9</f>
        <v>93599878.942000002</v>
      </c>
      <c r="D14" s="63">
        <f>'3'!G10</f>
        <v>80480513.09437722</v>
      </c>
      <c r="E14" s="63">
        <f>'3'!G11</f>
        <v>65018028.506369017</v>
      </c>
      <c r="F14" s="63">
        <f>'3'!G12</f>
        <v>46793944.170942545</v>
      </c>
      <c r="G14" s="63">
        <f>'3'!G13</f>
        <v>25315038.373208899</v>
      </c>
    </row>
    <row r="15" spans="1:7" ht="15.75" thickBot="1" x14ac:dyDescent="0.3">
      <c r="B15" s="64" t="s">
        <v>72</v>
      </c>
      <c r="C15" s="66">
        <f>C13-C14</f>
        <v>72699227.057999998</v>
      </c>
      <c r="D15" s="66">
        <f t="shared" ref="D15:G15" si="3">D13-D14</f>
        <v>180350222.90562278</v>
      </c>
      <c r="E15" s="66">
        <f t="shared" si="3"/>
        <v>249888407.00223073</v>
      </c>
      <c r="F15" s="66">
        <f t="shared" si="3"/>
        <v>319585792.6753794</v>
      </c>
      <c r="G15" s="66">
        <f t="shared" si="3"/>
        <v>377640572.56421471</v>
      </c>
    </row>
    <row r="16" spans="1:7" ht="15.75" thickTop="1" x14ac:dyDescent="0.25">
      <c r="B16" s="15" t="s">
        <v>73</v>
      </c>
      <c r="C16" s="67">
        <f>IF(C15*'1'!$AB$7&lt;0,0,C15*'1'!$AB$7)</f>
        <v>9087403.3822499998</v>
      </c>
      <c r="D16" s="67">
        <f>IF(D15*'1'!$AB$7&lt;0,0,D15*'1'!$AB$7)</f>
        <v>22543777.863202848</v>
      </c>
      <c r="E16" s="67">
        <f>IF(E15*'1'!$AB$7&lt;0,0,E15*'1'!$AB$7)</f>
        <v>31236050.875278842</v>
      </c>
      <c r="F16" s="67">
        <f>IF(F15*'1'!$AB$7&lt;0,0,F15*'1'!$AB$7)</f>
        <v>39948224.084422424</v>
      </c>
      <c r="G16" s="67">
        <f>IF(G15*'1'!$AB$7&lt;0,0,G15*'1'!$AB$7)</f>
        <v>47205071.570526838</v>
      </c>
    </row>
    <row r="17" spans="1:8" ht="15.75" thickBot="1" x14ac:dyDescent="0.3">
      <c r="B17" s="68" t="s">
        <v>74</v>
      </c>
      <c r="C17" s="69">
        <f>C15-C16</f>
        <v>63611823.675750002</v>
      </c>
      <c r="D17" s="69">
        <f t="shared" ref="D17:G17" si="4">D15-D16</f>
        <v>157806445.04241994</v>
      </c>
      <c r="E17" s="69">
        <f t="shared" si="4"/>
        <v>218652356.1269519</v>
      </c>
      <c r="F17" s="69">
        <f t="shared" si="4"/>
        <v>279637568.59095699</v>
      </c>
      <c r="G17" s="69">
        <f t="shared" si="4"/>
        <v>330435500.99368787</v>
      </c>
    </row>
    <row r="19" spans="1:8" ht="15.75" x14ac:dyDescent="0.25">
      <c r="A19" s="164" t="s">
        <v>64</v>
      </c>
      <c r="B19" s="164"/>
      <c r="C19" s="164"/>
      <c r="D19" s="164"/>
      <c r="E19" s="164"/>
      <c r="F19" s="164"/>
      <c r="G19" s="164"/>
    </row>
    <row r="20" spans="1:8" ht="23.25" x14ac:dyDescent="0.25">
      <c r="B20" s="70" t="s">
        <v>84</v>
      </c>
      <c r="C20" s="62">
        <f>C5</f>
        <v>2024</v>
      </c>
      <c r="D20" s="62">
        <f>D5</f>
        <v>2025</v>
      </c>
      <c r="E20" s="62">
        <f>E5</f>
        <v>2026</v>
      </c>
      <c r="F20" s="62">
        <f>F5</f>
        <v>2027</v>
      </c>
      <c r="G20" s="62">
        <f>G5</f>
        <v>2028</v>
      </c>
    </row>
    <row r="21" spans="1:8" x14ac:dyDescent="0.25">
      <c r="A21" s="165" t="s">
        <v>65</v>
      </c>
      <c r="B21" s="165"/>
      <c r="C21" s="165"/>
      <c r="D21" s="165"/>
      <c r="E21" s="165"/>
      <c r="F21" s="165"/>
      <c r="G21" s="165"/>
    </row>
    <row r="22" spans="1:8" x14ac:dyDescent="0.25">
      <c r="A22" s="15" t="s">
        <v>95</v>
      </c>
      <c r="B22" s="27">
        <f>B38-B26</f>
        <v>361131000</v>
      </c>
      <c r="C22" s="27">
        <f t="shared" ref="C22:G22" si="5">C38-C26</f>
        <v>395812425.38262045</v>
      </c>
      <c r="D22" s="27">
        <f t="shared" si="5"/>
        <v>452326253.70724106</v>
      </c>
      <c r="E22" s="27">
        <f t="shared" si="5"/>
        <v>455264785.69283843</v>
      </c>
      <c r="F22" s="27">
        <f t="shared" si="5"/>
        <v>440138434.91955018</v>
      </c>
      <c r="G22" s="27">
        <f t="shared" si="5"/>
        <v>391890572.56421471</v>
      </c>
    </row>
    <row r="23" spans="1:8" x14ac:dyDescent="0.25">
      <c r="A23" s="15" t="s">
        <v>93</v>
      </c>
      <c r="B23" s="27">
        <f>'2'!C4</f>
        <v>0</v>
      </c>
      <c r="C23" s="27">
        <f>B23</f>
        <v>0</v>
      </c>
      <c r="D23" s="27">
        <f t="shared" ref="D23:G23" si="6">C23</f>
        <v>0</v>
      </c>
      <c r="E23" s="27">
        <f t="shared" si="6"/>
        <v>0</v>
      </c>
      <c r="F23" s="27">
        <f t="shared" si="6"/>
        <v>0</v>
      </c>
      <c r="G23" s="27">
        <f t="shared" si="6"/>
        <v>0</v>
      </c>
      <c r="H23" s="27"/>
    </row>
    <row r="24" spans="1:8" x14ac:dyDescent="0.25">
      <c r="A24" s="15" t="s">
        <v>94</v>
      </c>
      <c r="B24" s="27">
        <f>'2'!C12-'2'!C4</f>
        <v>212944470</v>
      </c>
      <c r="C24" s="27">
        <f>B24</f>
        <v>212944470</v>
      </c>
      <c r="D24" s="27">
        <f t="shared" ref="D24:G24" si="7">C24</f>
        <v>212944470</v>
      </c>
      <c r="E24" s="27">
        <f t="shared" si="7"/>
        <v>212944470</v>
      </c>
      <c r="F24" s="27">
        <f t="shared" si="7"/>
        <v>212944470</v>
      </c>
      <c r="G24" s="27">
        <f t="shared" si="7"/>
        <v>212944470</v>
      </c>
      <c r="H24" s="27"/>
    </row>
    <row r="25" spans="1:8" x14ac:dyDescent="0.25">
      <c r="A25" s="15" t="s">
        <v>87</v>
      </c>
      <c r="B25" s="27">
        <v>0</v>
      </c>
      <c r="C25" s="27">
        <f>C12</f>
        <v>35438894</v>
      </c>
      <c r="D25" s="27">
        <f>D12+C12</f>
        <v>70877788</v>
      </c>
      <c r="E25" s="27">
        <f>E12+D12+C12</f>
        <v>106316682</v>
      </c>
      <c r="F25" s="27">
        <f>F12+E12+D12+C12</f>
        <v>141755576</v>
      </c>
      <c r="G25" s="27">
        <f>F25+G12</f>
        <v>177194470</v>
      </c>
      <c r="H25" s="27"/>
    </row>
    <row r="26" spans="1:8" x14ac:dyDescent="0.25">
      <c r="A26" s="15" t="s">
        <v>88</v>
      </c>
      <c r="B26" s="27">
        <f>B23+(B24-B25)</f>
        <v>212944470</v>
      </c>
      <c r="C26" s="27">
        <f>C23+(C24-C25)</f>
        <v>177505576</v>
      </c>
      <c r="D26" s="27">
        <f t="shared" ref="D26:G26" si="8">D23+(D24-D25)</f>
        <v>142066682</v>
      </c>
      <c r="E26" s="27">
        <f t="shared" si="8"/>
        <v>106627788</v>
      </c>
      <c r="F26" s="27">
        <f t="shared" si="8"/>
        <v>71188894</v>
      </c>
      <c r="G26" s="27">
        <f t="shared" si="8"/>
        <v>35750000</v>
      </c>
      <c r="H26" s="27"/>
    </row>
    <row r="27" spans="1:8" ht="15.75" thickBot="1" x14ac:dyDescent="0.3">
      <c r="A27" s="64" t="s">
        <v>85</v>
      </c>
      <c r="B27" s="71">
        <f>B22+B26</f>
        <v>574075470</v>
      </c>
      <c r="C27" s="71">
        <f t="shared" ref="C27:G27" si="9">C22+C26</f>
        <v>573318001.38262045</v>
      </c>
      <c r="D27" s="71">
        <f t="shared" si="9"/>
        <v>594392935.70724106</v>
      </c>
      <c r="E27" s="71">
        <f t="shared" si="9"/>
        <v>561892573.69283843</v>
      </c>
      <c r="F27" s="71">
        <f t="shared" si="9"/>
        <v>511327328.91955018</v>
      </c>
      <c r="G27" s="71">
        <f t="shared" si="9"/>
        <v>427640572.56421471</v>
      </c>
      <c r="H27" s="27"/>
    </row>
    <row r="28" spans="1:8" ht="15.75" thickTop="1" x14ac:dyDescent="0.25">
      <c r="A28" s="165" t="s">
        <v>75</v>
      </c>
      <c r="B28" s="165"/>
      <c r="C28" s="165"/>
      <c r="D28" s="165"/>
      <c r="E28" s="165"/>
      <c r="F28" s="165"/>
      <c r="G28" s="165"/>
    </row>
    <row r="29" spans="1:8" x14ac:dyDescent="0.25">
      <c r="A29" s="15" t="s">
        <v>76</v>
      </c>
      <c r="B29" s="15">
        <v>0</v>
      </c>
      <c r="C29" s="67">
        <f>C16</f>
        <v>9087403.3822499998</v>
      </c>
      <c r="D29" s="67">
        <f>D16</f>
        <v>22543777.863202848</v>
      </c>
      <c r="E29" s="67">
        <f>E16</f>
        <v>31236050.875278842</v>
      </c>
      <c r="F29" s="67">
        <f>F16</f>
        <v>39948224.084422424</v>
      </c>
      <c r="G29" s="67">
        <f>G16</f>
        <v>47205071.570526838</v>
      </c>
    </row>
    <row r="30" spans="1:8" x14ac:dyDescent="0.25">
      <c r="A30" s="15" t="s">
        <v>77</v>
      </c>
      <c r="B30" s="67">
        <f>B29</f>
        <v>0</v>
      </c>
      <c r="C30" s="67">
        <f t="shared" ref="C30:G30" si="10">C29</f>
        <v>9087403.3822499998</v>
      </c>
      <c r="D30" s="67">
        <f t="shared" si="10"/>
        <v>22543777.863202848</v>
      </c>
      <c r="E30" s="67">
        <f t="shared" si="10"/>
        <v>31236050.875278842</v>
      </c>
      <c r="F30" s="67">
        <f t="shared" si="10"/>
        <v>39948224.084422424</v>
      </c>
      <c r="G30" s="67">
        <f t="shared" si="10"/>
        <v>47205071.570526838</v>
      </c>
    </row>
    <row r="31" spans="1:8" x14ac:dyDescent="0.25">
      <c r="A31" s="15" t="s">
        <v>78</v>
      </c>
      <c r="B31" s="26">
        <f>'3'!J8</f>
        <v>524075470</v>
      </c>
      <c r="C31" s="26">
        <f>'3'!J9</f>
        <v>450618774.32462049</v>
      </c>
      <c r="D31" s="26">
        <f>'3'!J10</f>
        <v>364042712.80161822</v>
      </c>
      <c r="E31" s="26">
        <f>'3'!J11</f>
        <v>262004166.69060773</v>
      </c>
      <c r="F31" s="26">
        <f>'3'!J12</f>
        <v>141741536.24417076</v>
      </c>
      <c r="G31" s="26">
        <f>'3'!J13</f>
        <v>0</v>
      </c>
    </row>
    <row r="32" spans="1:8" ht="15.75" thickBot="1" x14ac:dyDescent="0.3">
      <c r="A32" s="64" t="s">
        <v>75</v>
      </c>
      <c r="B32" s="71">
        <f>B30+B31</f>
        <v>524075470</v>
      </c>
      <c r="C32" s="71">
        <f t="shared" ref="C32:G32" si="11">C30+C31</f>
        <v>459706177.7068705</v>
      </c>
      <c r="D32" s="71">
        <f t="shared" si="11"/>
        <v>386586490.66482109</v>
      </c>
      <c r="E32" s="71">
        <f t="shared" si="11"/>
        <v>293240217.56588656</v>
      </c>
      <c r="F32" s="71">
        <f t="shared" si="11"/>
        <v>181689760.32859319</v>
      </c>
      <c r="G32" s="71">
        <f t="shared" si="11"/>
        <v>47205071.570526838</v>
      </c>
    </row>
    <row r="33" spans="1:7" ht="15.75" thickTop="1" x14ac:dyDescent="0.25">
      <c r="A33" s="165" t="s">
        <v>79</v>
      </c>
      <c r="B33" s="165"/>
      <c r="C33" s="165"/>
      <c r="D33" s="165"/>
      <c r="E33" s="165"/>
      <c r="F33" s="165"/>
      <c r="G33" s="165"/>
    </row>
    <row r="34" spans="1:7" x14ac:dyDescent="0.25">
      <c r="A34" s="15" t="s">
        <v>80</v>
      </c>
      <c r="B34" s="27">
        <f>'3'!D15</f>
        <v>50000000</v>
      </c>
      <c r="C34" s="27">
        <f>B34</f>
        <v>50000000</v>
      </c>
      <c r="D34" s="27">
        <f t="shared" ref="D34:G34" si="12">C34</f>
        <v>50000000</v>
      </c>
      <c r="E34" s="27">
        <f t="shared" si="12"/>
        <v>50000000</v>
      </c>
      <c r="F34" s="27">
        <f t="shared" si="12"/>
        <v>50000000</v>
      </c>
      <c r="G34" s="27">
        <f t="shared" si="12"/>
        <v>50000000</v>
      </c>
    </row>
    <row r="35" spans="1:7" x14ac:dyDescent="0.25">
      <c r="A35" s="15" t="s">
        <v>81</v>
      </c>
      <c r="B35" s="15">
        <v>0</v>
      </c>
      <c r="C35" s="67">
        <f>C17</f>
        <v>63611823.675750002</v>
      </c>
      <c r="D35" s="67">
        <f>D17</f>
        <v>157806445.04241994</v>
      </c>
      <c r="E35" s="67">
        <f>E17</f>
        <v>218652356.1269519</v>
      </c>
      <c r="F35" s="67">
        <f>F17</f>
        <v>279637568.59095699</v>
      </c>
      <c r="G35" s="67">
        <f>G17</f>
        <v>330435500.99368787</v>
      </c>
    </row>
    <row r="36" spans="1:7" ht="15.75" thickBot="1" x14ac:dyDescent="0.3">
      <c r="A36" s="64" t="s">
        <v>82</v>
      </c>
      <c r="B36" s="71">
        <f>B34+B35</f>
        <v>50000000</v>
      </c>
      <c r="C36" s="71">
        <f t="shared" ref="C36:G36" si="13">C34+C35</f>
        <v>113611823.67575</v>
      </c>
      <c r="D36" s="71">
        <f t="shared" si="13"/>
        <v>207806445.04241994</v>
      </c>
      <c r="E36" s="71">
        <f t="shared" si="13"/>
        <v>268652356.12695193</v>
      </c>
      <c r="F36" s="71">
        <f t="shared" si="13"/>
        <v>329637568.59095699</v>
      </c>
      <c r="G36" s="71">
        <f t="shared" si="13"/>
        <v>380435500.99368787</v>
      </c>
    </row>
    <row r="37" spans="1:7" ht="15.75" thickTop="1" x14ac:dyDescent="0.25"/>
    <row r="38" spans="1:7" ht="15.75" thickBot="1" x14ac:dyDescent="0.3">
      <c r="A38" s="64" t="s">
        <v>83</v>
      </c>
      <c r="B38" s="71">
        <f>B32+B36</f>
        <v>574075470</v>
      </c>
      <c r="C38" s="71">
        <f t="shared" ref="C38:G38" si="14">C32+C36</f>
        <v>573318001.38262045</v>
      </c>
      <c r="D38" s="71">
        <f t="shared" si="14"/>
        <v>594392935.70724106</v>
      </c>
      <c r="E38" s="71">
        <f t="shared" si="14"/>
        <v>561892573.69283843</v>
      </c>
      <c r="F38" s="71">
        <f t="shared" si="14"/>
        <v>511327328.91955018</v>
      </c>
      <c r="G38" s="71">
        <f t="shared" si="14"/>
        <v>427640572.56421471</v>
      </c>
    </row>
    <row r="39" spans="1:7" ht="15.75" thickTop="1" x14ac:dyDescent="0.25">
      <c r="A39" s="60" t="s">
        <v>90</v>
      </c>
      <c r="B39" s="72">
        <f>B27-B38</f>
        <v>0</v>
      </c>
      <c r="C39" s="72">
        <f t="shared" ref="C39:G39" si="15">C27-C38</f>
        <v>0</v>
      </c>
      <c r="D39" s="72">
        <f t="shared" si="15"/>
        <v>0</v>
      </c>
      <c r="E39" s="72">
        <f t="shared" si="15"/>
        <v>0</v>
      </c>
      <c r="F39" s="72">
        <f t="shared" si="15"/>
        <v>0</v>
      </c>
      <c r="G39" s="72">
        <f t="shared" si="15"/>
        <v>0</v>
      </c>
    </row>
    <row r="41" spans="1:7" ht="15.75" x14ac:dyDescent="0.25">
      <c r="A41" s="164" t="s">
        <v>96</v>
      </c>
      <c r="B41" s="164"/>
      <c r="C41" s="164"/>
      <c r="D41" s="164"/>
      <c r="E41" s="164"/>
      <c r="F41" s="164"/>
      <c r="G41" s="164"/>
    </row>
    <row r="42" spans="1:7" x14ac:dyDescent="0.25">
      <c r="A42" s="165" t="s">
        <v>97</v>
      </c>
      <c r="B42" s="165"/>
      <c r="C42" s="165"/>
      <c r="D42" s="165"/>
      <c r="E42" s="165"/>
      <c r="F42" s="165"/>
      <c r="G42" s="165"/>
    </row>
    <row r="43" spans="1:7" ht="23.25" x14ac:dyDescent="0.25">
      <c r="A43" s="11"/>
      <c r="B43" s="70" t="s">
        <v>84</v>
      </c>
      <c r="C43" s="62">
        <f>C20</f>
        <v>2024</v>
      </c>
      <c r="D43" s="62">
        <f t="shared" ref="D43:G43" si="16">D20</f>
        <v>2025</v>
      </c>
      <c r="E43" s="62">
        <f t="shared" si="16"/>
        <v>2026</v>
      </c>
      <c r="F43" s="62">
        <f t="shared" si="16"/>
        <v>2027</v>
      </c>
      <c r="G43" s="62">
        <f t="shared" si="16"/>
        <v>2028</v>
      </c>
    </row>
    <row r="44" spans="1:7" x14ac:dyDescent="0.25">
      <c r="A44" s="1" t="s">
        <v>98</v>
      </c>
      <c r="B44" s="2">
        <f>B22</f>
        <v>361131000</v>
      </c>
      <c r="C44" s="2">
        <f t="shared" ref="C44:G44" si="17">C22</f>
        <v>395812425.38262045</v>
      </c>
      <c r="D44" s="2">
        <f t="shared" si="17"/>
        <v>452326253.70724106</v>
      </c>
      <c r="E44" s="2">
        <f t="shared" si="17"/>
        <v>455264785.69283843</v>
      </c>
      <c r="F44" s="2">
        <f t="shared" si="17"/>
        <v>440138434.91955018</v>
      </c>
      <c r="G44" s="2">
        <f t="shared" si="17"/>
        <v>391890572.56421471</v>
      </c>
    </row>
    <row r="45" spans="1:7" ht="15.75" thickBot="1" x14ac:dyDescent="0.3">
      <c r="A45" s="1" t="s">
        <v>99</v>
      </c>
      <c r="B45" s="3">
        <f>B29</f>
        <v>0</v>
      </c>
      <c r="C45" s="3">
        <f t="shared" ref="C45:G45" si="18">C29</f>
        <v>9087403.3822499998</v>
      </c>
      <c r="D45" s="3">
        <f t="shared" si="18"/>
        <v>22543777.863202848</v>
      </c>
      <c r="E45" s="3">
        <f t="shared" si="18"/>
        <v>31236050.875278842</v>
      </c>
      <c r="F45" s="3">
        <f t="shared" si="18"/>
        <v>39948224.084422424</v>
      </c>
      <c r="G45" s="3">
        <f t="shared" si="18"/>
        <v>47205071.570526838</v>
      </c>
    </row>
    <row r="46" spans="1:7" ht="15.75" thickTop="1" x14ac:dyDescent="0.25">
      <c r="A46" s="4" t="s">
        <v>100</v>
      </c>
      <c r="B46" s="5">
        <f t="shared" ref="B46:G46" si="19">B44-B45</f>
        <v>361131000</v>
      </c>
      <c r="C46" s="5">
        <f t="shared" si="19"/>
        <v>386725022.00037044</v>
      </c>
      <c r="D46" s="5">
        <f t="shared" si="19"/>
        <v>429782475.84403819</v>
      </c>
      <c r="E46" s="5">
        <f t="shared" si="19"/>
        <v>424028734.8175596</v>
      </c>
      <c r="F46" s="5">
        <f t="shared" si="19"/>
        <v>400190210.83512777</v>
      </c>
      <c r="G46" s="5">
        <f t="shared" si="19"/>
        <v>344685500.99368787</v>
      </c>
    </row>
    <row r="47" spans="1:7" x14ac:dyDescent="0.25">
      <c r="A47" s="1"/>
      <c r="B47" s="2"/>
      <c r="C47" s="2"/>
      <c r="D47" s="2"/>
      <c r="E47" s="2"/>
      <c r="F47" s="2"/>
      <c r="G47" s="2"/>
    </row>
    <row r="48" spans="1:7" x14ac:dyDescent="0.25">
      <c r="A48" s="4" t="s">
        <v>101</v>
      </c>
      <c r="B48" s="2">
        <f>B26</f>
        <v>212944470</v>
      </c>
      <c r="C48" s="2">
        <f t="shared" ref="C48:G48" si="20">C26</f>
        <v>177505576</v>
      </c>
      <c r="D48" s="2">
        <f t="shared" si="20"/>
        <v>142066682</v>
      </c>
      <c r="E48" s="2">
        <f t="shared" si="20"/>
        <v>106627788</v>
      </c>
      <c r="F48" s="2">
        <f t="shared" si="20"/>
        <v>71188894</v>
      </c>
      <c r="G48" s="2">
        <f t="shared" si="20"/>
        <v>35750000</v>
      </c>
    </row>
    <row r="49" spans="1:7" ht="15.75" thickBot="1" x14ac:dyDescent="0.3">
      <c r="A49" s="1" t="s">
        <v>102</v>
      </c>
      <c r="B49" s="3">
        <f>B25</f>
        <v>0</v>
      </c>
      <c r="C49" s="3">
        <f t="shared" ref="C49:G49" si="21">C25</f>
        <v>35438894</v>
      </c>
      <c r="D49" s="3">
        <f t="shared" si="21"/>
        <v>70877788</v>
      </c>
      <c r="E49" s="3">
        <f t="shared" si="21"/>
        <v>106316682</v>
      </c>
      <c r="F49" s="3">
        <f t="shared" si="21"/>
        <v>141755576</v>
      </c>
      <c r="G49" s="3">
        <f t="shared" si="21"/>
        <v>177194470</v>
      </c>
    </row>
    <row r="50" spans="1:7" ht="15.75" thickTop="1" x14ac:dyDescent="0.25">
      <c r="A50" s="4" t="s">
        <v>103</v>
      </c>
      <c r="B50" s="5">
        <f t="shared" ref="B50:G50" si="22">B48+B49</f>
        <v>212944470</v>
      </c>
      <c r="C50" s="5">
        <f t="shared" si="22"/>
        <v>212944470</v>
      </c>
      <c r="D50" s="5">
        <f t="shared" si="22"/>
        <v>212944470</v>
      </c>
      <c r="E50" s="5">
        <f t="shared" si="22"/>
        <v>212944470</v>
      </c>
      <c r="F50" s="5">
        <f t="shared" si="22"/>
        <v>212944470</v>
      </c>
      <c r="G50" s="5">
        <f t="shared" si="22"/>
        <v>212944470</v>
      </c>
    </row>
    <row r="51" spans="1:7" x14ac:dyDescent="0.25">
      <c r="A51" s="1"/>
      <c r="B51" s="2"/>
      <c r="C51" s="2"/>
      <c r="D51" s="2"/>
      <c r="E51" s="2"/>
      <c r="F51" s="2"/>
      <c r="G51" s="2"/>
    </row>
    <row r="52" spans="1:7" ht="15.75" thickBot="1" x14ac:dyDescent="0.3">
      <c r="A52" s="12" t="s">
        <v>104</v>
      </c>
      <c r="B52" s="6">
        <f t="shared" ref="B52:G52" si="23">B46+B48</f>
        <v>574075470</v>
      </c>
      <c r="C52" s="6">
        <f t="shared" si="23"/>
        <v>564230598.0003705</v>
      </c>
      <c r="D52" s="6">
        <f t="shared" si="23"/>
        <v>571849157.84403825</v>
      </c>
      <c r="E52" s="6">
        <f t="shared" si="23"/>
        <v>530656522.8175596</v>
      </c>
      <c r="F52" s="6">
        <f t="shared" si="23"/>
        <v>471379104.83512777</v>
      </c>
      <c r="G52" s="6">
        <f t="shared" si="23"/>
        <v>380435500.99368787</v>
      </c>
    </row>
    <row r="53" spans="1:7" ht="15.75" thickTop="1" x14ac:dyDescent="0.25">
      <c r="A53" s="7"/>
      <c r="B53" s="2"/>
      <c r="C53" s="2"/>
      <c r="D53" s="2"/>
      <c r="E53" s="2"/>
      <c r="F53" s="2"/>
      <c r="G53" s="2"/>
    </row>
    <row r="54" spans="1:7" x14ac:dyDescent="0.25">
      <c r="A54" s="166" t="s">
        <v>105</v>
      </c>
      <c r="B54" s="166"/>
      <c r="C54" s="166"/>
      <c r="D54" s="166"/>
      <c r="E54" s="166"/>
      <c r="F54" s="166"/>
      <c r="G54" s="166"/>
    </row>
    <row r="55" spans="1:7" x14ac:dyDescent="0.25">
      <c r="A55" s="1" t="s">
        <v>106</v>
      </c>
      <c r="B55" s="8"/>
      <c r="C55" s="9">
        <f>C13</f>
        <v>166299106</v>
      </c>
      <c r="D55" s="9">
        <f t="shared" ref="D55:G55" si="24">D13</f>
        <v>260830736</v>
      </c>
      <c r="E55" s="9">
        <f t="shared" si="24"/>
        <v>314906435.50859976</v>
      </c>
      <c r="F55" s="9">
        <f t="shared" si="24"/>
        <v>366379736.84632194</v>
      </c>
      <c r="G55" s="9">
        <f t="shared" si="24"/>
        <v>402955610.93742359</v>
      </c>
    </row>
    <row r="56" spans="1:7" ht="15.75" thickBot="1" x14ac:dyDescent="0.3">
      <c r="A56" s="1" t="s">
        <v>107</v>
      </c>
      <c r="B56" s="8"/>
      <c r="C56" s="10">
        <f>C55*'1'!$AB$7</f>
        <v>20787388.25</v>
      </c>
      <c r="D56" s="10">
        <f>D55*'1'!$AB$7</f>
        <v>32603842</v>
      </c>
      <c r="E56" s="10">
        <f>E55*'1'!$AB$7</f>
        <v>39363304.43857497</v>
      </c>
      <c r="F56" s="10">
        <f>F55*'1'!$AB$7</f>
        <v>45797467.105790243</v>
      </c>
      <c r="G56" s="10">
        <f>G55*'1'!$AB$7</f>
        <v>50369451.367177948</v>
      </c>
    </row>
    <row r="57" spans="1:7" ht="15.75" thickTop="1" x14ac:dyDescent="0.25">
      <c r="A57" s="4" t="s">
        <v>108</v>
      </c>
      <c r="B57" s="8"/>
      <c r="C57" s="9">
        <f>C55-C56</f>
        <v>145511717.75</v>
      </c>
      <c r="D57" s="9">
        <f>D55-D56</f>
        <v>228226894</v>
      </c>
      <c r="E57" s="9">
        <f>E55-E56</f>
        <v>275543131.07002479</v>
      </c>
      <c r="F57" s="9">
        <f>F55-F56</f>
        <v>320582269.74053168</v>
      </c>
      <c r="G57" s="9">
        <f>G55-G56</f>
        <v>352586159.57024562</v>
      </c>
    </row>
    <row r="58" spans="1:7" ht="15.75" thickBot="1" x14ac:dyDescent="0.3">
      <c r="A58" s="1" t="s">
        <v>109</v>
      </c>
      <c r="B58" s="8"/>
      <c r="C58" s="10">
        <f>-(C52-B52)</f>
        <v>9844871.9996294975</v>
      </c>
      <c r="D58" s="10">
        <f t="shared" ref="D58:G58" si="25">-(D52-C52)</f>
        <v>-7618559.8436677456</v>
      </c>
      <c r="E58" s="10">
        <f t="shared" si="25"/>
        <v>41192635.026478648</v>
      </c>
      <c r="F58" s="10">
        <f t="shared" si="25"/>
        <v>59277417.982431829</v>
      </c>
      <c r="G58" s="10">
        <f t="shared" si="25"/>
        <v>90943603.841439903</v>
      </c>
    </row>
    <row r="59" spans="1:7" ht="16.5" thickTop="1" thickBot="1" x14ac:dyDescent="0.3">
      <c r="A59" s="59" t="s">
        <v>110</v>
      </c>
      <c r="B59" s="60"/>
      <c r="C59" s="61">
        <f>SUM(C57:C58)</f>
        <v>155356589.7496295</v>
      </c>
      <c r="D59" s="61">
        <f t="shared" ref="D59:G59" si="26">SUM(D57:D58)</f>
        <v>220608334.15633225</v>
      </c>
      <c r="E59" s="61">
        <f t="shared" si="26"/>
        <v>316735766.09650344</v>
      </c>
      <c r="F59" s="61">
        <f t="shared" si="26"/>
        <v>379859687.72296351</v>
      </c>
      <c r="G59" s="61">
        <f t="shared" si="26"/>
        <v>443529763.41168553</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85" zoomScaleNormal="85" workbookViewId="0">
      <selection activeCell="D21" sqref="D21"/>
    </sheetView>
  </sheetViews>
  <sheetFormatPr baseColWidth="10" defaultRowHeight="15" x14ac:dyDescent="0.25"/>
  <cols>
    <col min="1" max="1" width="11.42578125" style="15"/>
    <col min="2" max="2" width="32.5703125" style="15" customWidth="1"/>
    <col min="3" max="3" width="24.28515625" style="15" bestFit="1" customWidth="1"/>
    <col min="4" max="4" width="41.28515625" style="15" customWidth="1"/>
    <col min="5" max="5" width="38.85546875" style="15" customWidth="1"/>
    <col min="6" max="6" width="26" style="15" customWidth="1"/>
    <col min="7" max="8" width="20.7109375" style="15" bestFit="1" customWidth="1"/>
    <col min="9" max="9" width="11.42578125" style="15"/>
    <col min="10" max="10" width="12" style="15" bestFit="1" customWidth="1"/>
    <col min="11" max="14" width="11.42578125" style="15"/>
    <col min="15" max="15" width="15.28515625" style="15" bestFit="1" customWidth="1"/>
    <col min="16" max="16" width="21.5703125" style="15" bestFit="1" customWidth="1"/>
    <col min="17" max="16384" width="11.42578125" style="15"/>
  </cols>
  <sheetData>
    <row r="2" spans="2:16" ht="38.25" customHeight="1" x14ac:dyDescent="0.25">
      <c r="B2" s="150" t="s">
        <v>131</v>
      </c>
      <c r="C2" s="150"/>
      <c r="D2" s="150"/>
      <c r="E2" s="150"/>
      <c r="F2" s="150"/>
      <c r="G2" s="150"/>
      <c r="H2" s="150"/>
    </row>
    <row r="3" spans="2:16" ht="15.75" customHeight="1" x14ac:dyDescent="0.25">
      <c r="B3" s="167" t="s">
        <v>159</v>
      </c>
      <c r="C3" s="167"/>
      <c r="D3" s="167"/>
      <c r="E3" s="168">
        <v>0.25</v>
      </c>
      <c r="F3" s="168"/>
    </row>
    <row r="4" spans="2:16" ht="16.5" customHeight="1" x14ac:dyDescent="0.25">
      <c r="B4" s="167"/>
      <c r="C4" s="167"/>
      <c r="D4" s="167"/>
      <c r="E4" s="168"/>
      <c r="F4" s="168"/>
      <c r="O4" s="106"/>
    </row>
    <row r="5" spans="2:16" ht="16.5" customHeight="1" x14ac:dyDescent="0.25">
      <c r="B5" s="171"/>
      <c r="C5" s="171"/>
      <c r="D5" s="171"/>
      <c r="E5" s="147"/>
      <c r="F5" s="147"/>
      <c r="O5" s="106"/>
    </row>
    <row r="6" spans="2:16" ht="15.75" thickBot="1" x14ac:dyDescent="0.3">
      <c r="O6" s="106"/>
      <c r="P6" s="109"/>
    </row>
    <row r="7" spans="2:16" ht="23.25" x14ac:dyDescent="0.25">
      <c r="B7" s="105" t="s">
        <v>111</v>
      </c>
      <c r="C7" s="85" t="s">
        <v>112</v>
      </c>
      <c r="D7" s="86">
        <f>'4'!C20</f>
        <v>2024</v>
      </c>
      <c r="E7" s="86">
        <f>'4'!D20</f>
        <v>2025</v>
      </c>
      <c r="F7" s="86">
        <f>'4'!E20</f>
        <v>2026</v>
      </c>
      <c r="G7" s="86">
        <f>'4'!F20</f>
        <v>2027</v>
      </c>
      <c r="H7" s="87">
        <f>'4'!G20</f>
        <v>2028</v>
      </c>
      <c r="O7" s="106"/>
      <c r="P7" s="108"/>
    </row>
    <row r="8" spans="2:16" ht="19.5" thickBot="1" x14ac:dyDescent="0.35">
      <c r="B8" s="88"/>
      <c r="C8" s="115">
        <f>-'3'!D14</f>
        <v>-574075470</v>
      </c>
      <c r="D8" s="115">
        <f>'4'!C59</f>
        <v>155356589.7496295</v>
      </c>
      <c r="E8" s="115">
        <f>'4'!D59</f>
        <v>220608334.15633225</v>
      </c>
      <c r="F8" s="115">
        <f>'4'!E59</f>
        <v>316735766.09650344</v>
      </c>
      <c r="G8" s="115">
        <f>'4'!F59</f>
        <v>379859687.72296351</v>
      </c>
      <c r="H8" s="116">
        <f>'4'!G59</f>
        <v>443529763.41168553</v>
      </c>
      <c r="O8" s="106"/>
      <c r="P8" s="108"/>
    </row>
    <row r="9" spans="2:16" ht="15.75" thickBot="1" x14ac:dyDescent="0.3">
      <c r="C9" s="110">
        <f>C8/(1+$E$3)^0</f>
        <v>-574075470</v>
      </c>
      <c r="D9" s="110">
        <f>D8/(1+$E$3)^1</f>
        <v>124285271.7997036</v>
      </c>
      <c r="E9" s="110">
        <f>E8/(1+$E$3)^2</f>
        <v>141189333.86005265</v>
      </c>
      <c r="F9" s="110">
        <f>F8/(1+$E$3)^3</f>
        <v>162168712.24140975</v>
      </c>
      <c r="G9" s="110">
        <f>G8/(1+$E$3)^4</f>
        <v>155590528.09132585</v>
      </c>
      <c r="H9" s="110">
        <f>H8/(1+$E$3)^5</f>
        <v>145335832.87474111</v>
      </c>
      <c r="I9" s="117"/>
      <c r="O9" s="106"/>
      <c r="P9" s="108"/>
    </row>
    <row r="10" spans="2:16" ht="24" thickBot="1" x14ac:dyDescent="0.4">
      <c r="B10" s="31" t="s">
        <v>113</v>
      </c>
      <c r="C10" s="32"/>
      <c r="D10" s="118">
        <f>NPV(E3,D8:H8)+$C$8</f>
        <v>154494208.86723292</v>
      </c>
      <c r="O10" s="106"/>
      <c r="P10" s="108"/>
    </row>
    <row r="11" spans="2:16" ht="28.5" thickBot="1" x14ac:dyDescent="0.4">
      <c r="B11" s="114" t="s">
        <v>114</v>
      </c>
      <c r="C11" s="32"/>
      <c r="D11" s="119">
        <f>IF(ISERROR(IRR(C8:H8)),"NO_APLICA",(IRR(C8:H8)))</f>
        <v>0.35325241462693535</v>
      </c>
      <c r="F11" s="111" t="s">
        <v>136</v>
      </c>
      <c r="G11" s="32"/>
      <c r="H11" s="112">
        <f>IF(ISERROR(-C9/AVERAGE(D9:H9)),"NO_APLICA",(-C9/AVERAGE(D9:H9)))</f>
        <v>3.9397430791558761</v>
      </c>
      <c r="I11" s="113" t="s">
        <v>63</v>
      </c>
      <c r="P11" s="107"/>
    </row>
    <row r="13" spans="2:16" ht="18.75" x14ac:dyDescent="0.3">
      <c r="B13" s="169" t="s">
        <v>118</v>
      </c>
      <c r="C13" s="169"/>
      <c r="D13" s="169"/>
      <c r="E13" s="169"/>
      <c r="F13" s="169"/>
      <c r="G13" s="169"/>
      <c r="H13" s="169"/>
    </row>
    <row r="14" spans="2:16" ht="36.75" x14ac:dyDescent="0.25">
      <c r="B14" s="89" t="str">
        <f>'1'!B2</f>
        <v>NOMBRE DEL PRODUCTO O SERVICIO</v>
      </c>
      <c r="C14" s="89" t="s">
        <v>119</v>
      </c>
      <c r="D14" s="89" t="s">
        <v>120</v>
      </c>
      <c r="E14" s="89" t="s">
        <v>121</v>
      </c>
      <c r="F14" s="89" t="s">
        <v>123</v>
      </c>
      <c r="H14" s="73"/>
      <c r="I14" s="73"/>
      <c r="J14" s="73" t="s">
        <v>127</v>
      </c>
    </row>
    <row r="15" spans="2:16" x14ac:dyDescent="0.25">
      <c r="B15" s="90" t="str">
        <f>'1'!B3</f>
        <v>Desmaquillante</v>
      </c>
      <c r="C15" s="91">
        <f>'1'!D3-'1'!D17</f>
        <v>20000</v>
      </c>
      <c r="D15" s="92">
        <f>'1'!F3</f>
        <v>0.12987012987012986</v>
      </c>
      <c r="E15" s="93">
        <f>C15*D15</f>
        <v>2597.4025974025972</v>
      </c>
      <c r="F15" s="94">
        <f t="shared" ref="F15:F24" si="0">$E$28*D15</f>
        <v>2047.3786127167627</v>
      </c>
      <c r="G15" s="39" t="s">
        <v>122</v>
      </c>
      <c r="H15" s="74">
        <f>'1'!D3</f>
        <v>30000</v>
      </c>
      <c r="I15" s="95">
        <f t="shared" ref="I15:I24" si="1">$B$35*D15</f>
        <v>4094.7572254335259</v>
      </c>
      <c r="J15" s="74">
        <f>'1'!D17</f>
        <v>10000</v>
      </c>
    </row>
    <row r="16" spans="2:16" x14ac:dyDescent="0.25">
      <c r="B16" s="96" t="str">
        <f>'1'!B4</f>
        <v>Serum Facial</v>
      </c>
      <c r="C16" s="91">
        <f>'1'!D4-'1'!D18</f>
        <v>28000</v>
      </c>
      <c r="D16" s="92">
        <f>'1'!F4</f>
        <v>0.18614718614718614</v>
      </c>
      <c r="E16" s="93">
        <f t="shared" ref="E16:E24" si="2">C16*D16</f>
        <v>5212.121212121212</v>
      </c>
      <c r="F16" s="94">
        <f t="shared" si="0"/>
        <v>2934.5760115606936</v>
      </c>
      <c r="G16" s="39" t="str">
        <f>G15</f>
        <v>UNIDADES</v>
      </c>
      <c r="H16" s="74">
        <f>'1'!D4</f>
        <v>43000</v>
      </c>
      <c r="I16" s="95">
        <f t="shared" si="1"/>
        <v>5869.1520231213872</v>
      </c>
      <c r="J16" s="74">
        <f>'1'!D18</f>
        <v>15000</v>
      </c>
    </row>
    <row r="17" spans="2:10" x14ac:dyDescent="0.25">
      <c r="B17" s="96" t="str">
        <f>'1'!B5</f>
        <v>Spray Antifrizz</v>
      </c>
      <c r="C17" s="91">
        <f>'1'!D5-'1'!D19</f>
        <v>19000</v>
      </c>
      <c r="D17" s="92">
        <f>'1'!F5</f>
        <v>0.12121212121212122</v>
      </c>
      <c r="E17" s="93">
        <f t="shared" si="2"/>
        <v>2303.030303030303</v>
      </c>
      <c r="F17" s="94">
        <f t="shared" si="0"/>
        <v>1910.886705202312</v>
      </c>
      <c r="G17" s="39" t="str">
        <f t="shared" ref="G17:G24" si="3">G16</f>
        <v>UNIDADES</v>
      </c>
      <c r="H17" s="74">
        <f>'1'!D5</f>
        <v>28000</v>
      </c>
      <c r="I17" s="95">
        <f t="shared" si="1"/>
        <v>3821.7734104046244</v>
      </c>
      <c r="J17" s="74">
        <f>'1'!D19</f>
        <v>9000</v>
      </c>
    </row>
    <row r="18" spans="2:10" x14ac:dyDescent="0.25">
      <c r="B18" s="96" t="str">
        <f>'1'!B6</f>
        <v>Serum Dia</v>
      </c>
      <c r="C18" s="91">
        <f>'1'!D6-'1'!D20</f>
        <v>38500</v>
      </c>
      <c r="D18" s="92">
        <f>'1'!F6</f>
        <v>0.20779220779220781</v>
      </c>
      <c r="E18" s="93">
        <f t="shared" si="2"/>
        <v>8000.0000000000009</v>
      </c>
      <c r="F18" s="94">
        <f t="shared" si="0"/>
        <v>3275.8057803468209</v>
      </c>
      <c r="G18" s="39" t="str">
        <f t="shared" si="3"/>
        <v>UNIDADES</v>
      </c>
      <c r="H18" s="74">
        <f>'1'!D6</f>
        <v>48000</v>
      </c>
      <c r="I18" s="95">
        <f t="shared" si="1"/>
        <v>6551.6115606936428</v>
      </c>
      <c r="J18" s="74">
        <f>'1'!D20</f>
        <v>9500</v>
      </c>
    </row>
    <row r="19" spans="2:10" x14ac:dyDescent="0.25">
      <c r="B19" s="96" t="str">
        <f>'1'!B7</f>
        <v>Serum Noche</v>
      </c>
      <c r="C19" s="91">
        <f>'1'!D7-'1'!D21</f>
        <v>40000</v>
      </c>
      <c r="D19" s="92">
        <f>'1'!F7</f>
        <v>0.21645021645021645</v>
      </c>
      <c r="E19" s="93">
        <f t="shared" si="2"/>
        <v>8658.0086580086572</v>
      </c>
      <c r="F19" s="94">
        <f t="shared" si="0"/>
        <v>3412.2976878612712</v>
      </c>
      <c r="G19" s="39" t="str">
        <f t="shared" si="3"/>
        <v>UNIDADES</v>
      </c>
      <c r="H19" s="74">
        <f>'1'!D7</f>
        <v>50000</v>
      </c>
      <c r="I19" s="95">
        <f t="shared" si="1"/>
        <v>6824.5953757225434</v>
      </c>
      <c r="J19" s="74">
        <f>'1'!D21</f>
        <v>10000</v>
      </c>
    </row>
    <row r="20" spans="2:10" x14ac:dyDescent="0.25">
      <c r="B20" s="96" t="str">
        <f>'1'!B8</f>
        <v>Óleo</v>
      </c>
      <c r="C20" s="91">
        <f>'1'!D8-'1'!D22</f>
        <v>23000</v>
      </c>
      <c r="D20" s="92">
        <f>'1'!F8</f>
        <v>0.13852813852813853</v>
      </c>
      <c r="E20" s="93">
        <f t="shared" si="2"/>
        <v>3186.1471861471859</v>
      </c>
      <c r="F20" s="94">
        <f t="shared" si="0"/>
        <v>2183.8705202312135</v>
      </c>
      <c r="G20" s="39" t="str">
        <f t="shared" si="3"/>
        <v>UNIDADES</v>
      </c>
      <c r="H20" s="74">
        <f>'1'!D8</f>
        <v>32000</v>
      </c>
      <c r="I20" s="95">
        <f t="shared" si="1"/>
        <v>4367.7410404624279</v>
      </c>
      <c r="J20" s="74">
        <f>'1'!D22</f>
        <v>9000</v>
      </c>
    </row>
    <row r="21" spans="2:10" x14ac:dyDescent="0.25">
      <c r="B21" s="96">
        <f>'1'!B9</f>
        <v>0</v>
      </c>
      <c r="C21" s="91">
        <f>'1'!D9-'1'!D23</f>
        <v>0</v>
      </c>
      <c r="D21" s="92">
        <f>'1'!F9</f>
        <v>0</v>
      </c>
      <c r="E21" s="93">
        <f t="shared" si="2"/>
        <v>0</v>
      </c>
      <c r="F21" s="94">
        <f t="shared" si="0"/>
        <v>0</v>
      </c>
      <c r="G21" s="39" t="str">
        <f t="shared" si="3"/>
        <v>UNIDADES</v>
      </c>
      <c r="H21" s="74">
        <f>'1'!D9</f>
        <v>0</v>
      </c>
      <c r="I21" s="95">
        <f t="shared" si="1"/>
        <v>0</v>
      </c>
      <c r="J21" s="74">
        <f>'1'!D23</f>
        <v>0</v>
      </c>
    </row>
    <row r="22" spans="2:10" x14ac:dyDescent="0.25">
      <c r="B22" s="96">
        <f>'1'!B10</f>
        <v>0</v>
      </c>
      <c r="C22" s="91">
        <f>'1'!D10-'1'!D24</f>
        <v>0</v>
      </c>
      <c r="D22" s="92">
        <f>'1'!F10</f>
        <v>0</v>
      </c>
      <c r="E22" s="93">
        <f t="shared" si="2"/>
        <v>0</v>
      </c>
      <c r="F22" s="94">
        <f t="shared" si="0"/>
        <v>0</v>
      </c>
      <c r="G22" s="39" t="str">
        <f t="shared" si="3"/>
        <v>UNIDADES</v>
      </c>
      <c r="H22" s="74">
        <f>'1'!D10</f>
        <v>0</v>
      </c>
      <c r="I22" s="95">
        <f t="shared" si="1"/>
        <v>0</v>
      </c>
      <c r="J22" s="74">
        <f>'1'!D24</f>
        <v>0</v>
      </c>
    </row>
    <row r="23" spans="2:10" x14ac:dyDescent="0.25">
      <c r="B23" s="96">
        <f>'1'!B11</f>
        <v>0</v>
      </c>
      <c r="C23" s="91">
        <f>'1'!D11-'1'!D25</f>
        <v>0</v>
      </c>
      <c r="D23" s="92">
        <f>'1'!F11</f>
        <v>0</v>
      </c>
      <c r="E23" s="93">
        <f t="shared" si="2"/>
        <v>0</v>
      </c>
      <c r="F23" s="94">
        <f t="shared" si="0"/>
        <v>0</v>
      </c>
      <c r="G23" s="39" t="str">
        <f t="shared" si="3"/>
        <v>UNIDADES</v>
      </c>
      <c r="H23" s="74">
        <f>'1'!D11</f>
        <v>0</v>
      </c>
      <c r="I23" s="95">
        <f t="shared" si="1"/>
        <v>0</v>
      </c>
      <c r="J23" s="74">
        <f>'1'!D25</f>
        <v>0</v>
      </c>
    </row>
    <row r="24" spans="2:10" x14ac:dyDescent="0.25">
      <c r="B24" s="90">
        <f>'1'!B12</f>
        <v>0</v>
      </c>
      <c r="C24" s="91">
        <f>'1'!D12-'1'!D26</f>
        <v>0</v>
      </c>
      <c r="D24" s="92">
        <f>'1'!F12</f>
        <v>0</v>
      </c>
      <c r="E24" s="93">
        <f t="shared" si="2"/>
        <v>0</v>
      </c>
      <c r="F24" s="94">
        <f t="shared" si="0"/>
        <v>0</v>
      </c>
      <c r="G24" s="39" t="str">
        <f t="shared" si="3"/>
        <v>UNIDADES</v>
      </c>
      <c r="H24" s="74">
        <f>'1'!D12</f>
        <v>0</v>
      </c>
      <c r="I24" s="95">
        <f t="shared" si="1"/>
        <v>0</v>
      </c>
      <c r="J24" s="74">
        <f>'1'!D26</f>
        <v>0</v>
      </c>
    </row>
    <row r="25" spans="2:10" ht="26.25" x14ac:dyDescent="0.4">
      <c r="B25" s="97"/>
      <c r="C25" s="98"/>
      <c r="D25" s="99"/>
      <c r="E25" s="27"/>
      <c r="F25" s="100">
        <f>SUM(F15:F24)</f>
        <v>15764.815317919076</v>
      </c>
      <c r="G25" s="15" t="str">
        <f>G24</f>
        <v>UNIDADES</v>
      </c>
      <c r="H25" s="74"/>
      <c r="I25" s="95"/>
      <c r="J25" s="74"/>
    </row>
    <row r="26" spans="2:10" ht="12.75" customHeight="1" x14ac:dyDescent="0.4">
      <c r="B26" s="97"/>
      <c r="C26" s="98"/>
      <c r="D26" s="99"/>
      <c r="E26" s="27"/>
      <c r="F26" s="100"/>
      <c r="H26" s="74"/>
      <c r="I26" s="95"/>
      <c r="J26" s="74"/>
    </row>
    <row r="27" spans="2:10" ht="21" customHeight="1" x14ac:dyDescent="0.4">
      <c r="B27" s="172" t="s">
        <v>130</v>
      </c>
      <c r="C27" s="172"/>
      <c r="D27" s="172"/>
      <c r="E27" s="101">
        <f>SUM(E15:E24)</f>
        <v>29956.709956709958</v>
      </c>
      <c r="H27" s="73"/>
      <c r="I27" s="73"/>
      <c r="J27" s="73"/>
    </row>
    <row r="28" spans="2:10" ht="19.5" customHeight="1" x14ac:dyDescent="0.4">
      <c r="B28" s="172" t="s">
        <v>129</v>
      </c>
      <c r="C28" s="172"/>
      <c r="D28" s="172"/>
      <c r="E28" s="100">
        <f>IF(E27=0,0,('2'!C23+'2'!F31+'2'!C25)/'5'!E27)</f>
        <v>15764.815317919074</v>
      </c>
      <c r="F28" s="102" t="s">
        <v>122</v>
      </c>
      <c r="H28" s="103"/>
    </row>
    <row r="29" spans="2:10" ht="26.25" x14ac:dyDescent="0.4">
      <c r="B29" s="172" t="s">
        <v>153</v>
      </c>
      <c r="C29" s="172"/>
      <c r="D29" s="172"/>
      <c r="E29" s="101">
        <f>E49</f>
        <v>638850373.12138724</v>
      </c>
    </row>
    <row r="30" spans="2:10" x14ac:dyDescent="0.25">
      <c r="B30" s="142"/>
      <c r="C30" s="142"/>
      <c r="D30" s="142"/>
      <c r="E30" s="142"/>
      <c r="F30" s="142"/>
      <c r="G30" s="142"/>
    </row>
    <row r="31" spans="2:10" s="73" customFormat="1" x14ac:dyDescent="0.25"/>
    <row r="32" spans="2:10" s="73" customFormat="1" x14ac:dyDescent="0.25">
      <c r="C32" s="73" t="s">
        <v>124</v>
      </c>
      <c r="D32" s="73" t="s">
        <v>125</v>
      </c>
      <c r="E32" s="73" t="s">
        <v>128</v>
      </c>
      <c r="F32" s="73" t="s">
        <v>126</v>
      </c>
    </row>
    <row r="33" spans="2:6" s="73" customFormat="1" x14ac:dyDescent="0.25">
      <c r="B33" s="73">
        <v>0</v>
      </c>
      <c r="C33" s="74">
        <f>'2'!C25+'2'!F31+'2'!C23</f>
        <v>472262000</v>
      </c>
      <c r="D33" s="73">
        <f>0</f>
        <v>0</v>
      </c>
      <c r="E33" s="73">
        <v>0</v>
      </c>
      <c r="F33" s="74">
        <f>C33+E33</f>
        <v>472262000</v>
      </c>
    </row>
    <row r="34" spans="2:6" s="73" customFormat="1" x14ac:dyDescent="0.25">
      <c r="B34" s="95">
        <f>F25</f>
        <v>15764.815317919076</v>
      </c>
      <c r="C34" s="74">
        <f>C33</f>
        <v>472262000</v>
      </c>
      <c r="D34" s="143">
        <f>SUMPRODUCT(F15:F24,H15:H24)</f>
        <v>638850373.12138724</v>
      </c>
      <c r="E34" s="143">
        <f>SUMPRODUCT(F15:F24,J15:J24)</f>
        <v>166588373.12138724</v>
      </c>
      <c r="F34" s="74">
        <f t="shared" ref="F34:F35" si="4">C34+E34</f>
        <v>638850373.12138724</v>
      </c>
    </row>
    <row r="35" spans="2:6" s="73" customFormat="1" x14ac:dyDescent="0.25">
      <c r="B35" s="95">
        <f>B34*2</f>
        <v>31529.630635838152</v>
      </c>
      <c r="C35" s="74">
        <f>C34</f>
        <v>472262000</v>
      </c>
      <c r="D35" s="143">
        <f>SUMPRODUCT(H15:H24,I15:I24)</f>
        <v>1277700746.2427745</v>
      </c>
      <c r="E35" s="143">
        <f>SUMPRODUCT(I15:I24,J15:J24)</f>
        <v>333176746.24277455</v>
      </c>
      <c r="F35" s="74">
        <f t="shared" si="4"/>
        <v>805438746.24277449</v>
      </c>
    </row>
    <row r="36" spans="2:6" s="73" customFormat="1" x14ac:dyDescent="0.25">
      <c r="C36" s="74"/>
    </row>
    <row r="37" spans="2:6" s="73" customFormat="1" x14ac:dyDescent="0.25">
      <c r="C37" s="74"/>
    </row>
    <row r="38" spans="2:6" s="73" customFormat="1" x14ac:dyDescent="0.25">
      <c r="C38" s="144" t="s">
        <v>151</v>
      </c>
      <c r="D38" s="73" t="s">
        <v>122</v>
      </c>
      <c r="E38" s="73" t="s">
        <v>152</v>
      </c>
    </row>
    <row r="39" spans="2:6" s="73" customFormat="1" x14ac:dyDescent="0.25">
      <c r="B39" s="73">
        <v>1</v>
      </c>
      <c r="C39" s="74">
        <f>'1'!D3</f>
        <v>30000</v>
      </c>
      <c r="D39" s="95">
        <f>F15</f>
        <v>2047.3786127167627</v>
      </c>
      <c r="E39" s="73">
        <f>C39*D39</f>
        <v>61421358.381502882</v>
      </c>
    </row>
    <row r="40" spans="2:6" s="73" customFormat="1" x14ac:dyDescent="0.25">
      <c r="B40" s="73">
        <f>B39+1</f>
        <v>2</v>
      </c>
      <c r="C40" s="74">
        <f>'1'!D4</f>
        <v>43000</v>
      </c>
      <c r="D40" s="95">
        <f t="shared" ref="D40:D48" si="5">F16</f>
        <v>2934.5760115606936</v>
      </c>
      <c r="E40" s="73">
        <f t="shared" ref="E40:E48" si="6">C40*D40</f>
        <v>126186768.49710983</v>
      </c>
    </row>
    <row r="41" spans="2:6" s="73" customFormat="1" x14ac:dyDescent="0.25">
      <c r="B41" s="73">
        <f t="shared" ref="B41:B48" si="7">B40+1</f>
        <v>3</v>
      </c>
      <c r="C41" s="74">
        <f>'1'!D5</f>
        <v>28000</v>
      </c>
      <c r="D41" s="95">
        <f t="shared" si="5"/>
        <v>1910.886705202312</v>
      </c>
      <c r="E41" s="73">
        <f t="shared" si="6"/>
        <v>53504827.745664738</v>
      </c>
    </row>
    <row r="42" spans="2:6" s="73" customFormat="1" x14ac:dyDescent="0.25">
      <c r="B42" s="73">
        <f t="shared" si="7"/>
        <v>4</v>
      </c>
      <c r="C42" s="74">
        <f>'1'!D6</f>
        <v>48000</v>
      </c>
      <c r="D42" s="95">
        <f t="shared" si="5"/>
        <v>3275.8057803468209</v>
      </c>
      <c r="E42" s="73">
        <f t="shared" si="6"/>
        <v>157238677.4566474</v>
      </c>
    </row>
    <row r="43" spans="2:6" s="73" customFormat="1" x14ac:dyDescent="0.25">
      <c r="B43" s="73">
        <f t="shared" si="7"/>
        <v>5</v>
      </c>
      <c r="C43" s="74">
        <f>'1'!D7</f>
        <v>50000</v>
      </c>
      <c r="D43" s="95">
        <f t="shared" si="5"/>
        <v>3412.2976878612712</v>
      </c>
      <c r="E43" s="73">
        <f t="shared" si="6"/>
        <v>170614884.39306358</v>
      </c>
    </row>
    <row r="44" spans="2:6" s="73" customFormat="1" x14ac:dyDescent="0.25">
      <c r="B44" s="73">
        <f t="shared" si="7"/>
        <v>6</v>
      </c>
      <c r="C44" s="74">
        <f>'1'!D8</f>
        <v>32000</v>
      </c>
      <c r="D44" s="95">
        <f t="shared" si="5"/>
        <v>2183.8705202312135</v>
      </c>
      <c r="E44" s="73">
        <f t="shared" si="6"/>
        <v>69883856.647398829</v>
      </c>
    </row>
    <row r="45" spans="2:6" s="73" customFormat="1" x14ac:dyDescent="0.25">
      <c r="B45" s="73">
        <f t="shared" si="7"/>
        <v>7</v>
      </c>
      <c r="C45" s="74">
        <f>'1'!D9</f>
        <v>0</v>
      </c>
      <c r="D45" s="95">
        <f t="shared" si="5"/>
        <v>0</v>
      </c>
      <c r="E45" s="73">
        <f t="shared" si="6"/>
        <v>0</v>
      </c>
    </row>
    <row r="46" spans="2:6" s="73" customFormat="1" x14ac:dyDescent="0.25">
      <c r="B46" s="73">
        <f t="shared" si="7"/>
        <v>8</v>
      </c>
      <c r="C46" s="74">
        <f>'1'!D10</f>
        <v>0</v>
      </c>
      <c r="D46" s="95">
        <f t="shared" si="5"/>
        <v>0</v>
      </c>
      <c r="E46" s="73">
        <f t="shared" si="6"/>
        <v>0</v>
      </c>
    </row>
    <row r="47" spans="2:6" s="73" customFormat="1" x14ac:dyDescent="0.25">
      <c r="B47" s="73">
        <f t="shared" si="7"/>
        <v>9</v>
      </c>
      <c r="C47" s="74">
        <f>'1'!D11</f>
        <v>0</v>
      </c>
      <c r="D47" s="95">
        <f t="shared" si="5"/>
        <v>0</v>
      </c>
      <c r="E47" s="73">
        <f t="shared" si="6"/>
        <v>0</v>
      </c>
    </row>
    <row r="48" spans="2:6" s="73" customFormat="1" x14ac:dyDescent="0.25">
      <c r="B48" s="73">
        <f t="shared" si="7"/>
        <v>10</v>
      </c>
      <c r="C48" s="74">
        <f>'1'!D12</f>
        <v>0</v>
      </c>
      <c r="D48" s="95">
        <f t="shared" si="5"/>
        <v>0</v>
      </c>
      <c r="E48" s="73">
        <f t="shared" si="6"/>
        <v>0</v>
      </c>
    </row>
    <row r="49" spans="2:8" s="73" customFormat="1" x14ac:dyDescent="0.25">
      <c r="C49" s="74"/>
      <c r="E49" s="145">
        <f>SUM(E39:E48)</f>
        <v>638850373.12138724</v>
      </c>
    </row>
    <row r="50" spans="2:8" s="73" customFormat="1" x14ac:dyDescent="0.25"/>
    <row r="51" spans="2:8" s="73" customFormat="1" x14ac:dyDescent="0.25">
      <c r="C51" s="74"/>
    </row>
    <row r="52" spans="2:8" s="73" customFormat="1" x14ac:dyDescent="0.25">
      <c r="B52" s="170"/>
      <c r="C52" s="170"/>
      <c r="D52" s="170"/>
      <c r="G52" s="73" t="s">
        <v>154</v>
      </c>
      <c r="H52" s="146">
        <f>'4'!B32/'4'!B27</f>
        <v>0.91290343759157655</v>
      </c>
    </row>
    <row r="53" spans="2:8" s="73" customFormat="1" x14ac:dyDescent="0.25">
      <c r="C53" s="74"/>
      <c r="G53" s="73" t="s">
        <v>155</v>
      </c>
      <c r="H53" s="146">
        <f>'4'!B36/'4'!B27</f>
        <v>8.7096562408423409E-2</v>
      </c>
    </row>
    <row r="54" spans="2:8" s="73" customFormat="1" x14ac:dyDescent="0.25">
      <c r="G54" s="73" t="s">
        <v>156</v>
      </c>
      <c r="H54" s="73">
        <f>'1'!AB7</f>
        <v>0.125</v>
      </c>
    </row>
    <row r="55" spans="2:8" s="73" customFormat="1" x14ac:dyDescent="0.25">
      <c r="G55" s="73" t="s">
        <v>157</v>
      </c>
      <c r="H55" s="146">
        <f>'3'!F4</f>
        <v>0.17860000000000001</v>
      </c>
    </row>
    <row r="56" spans="2:8" s="73" customFormat="1" x14ac:dyDescent="0.25">
      <c r="G56" s="73" t="s">
        <v>158</v>
      </c>
    </row>
    <row r="57" spans="2:8" s="73" customFormat="1" x14ac:dyDescent="0.25"/>
    <row r="58" spans="2:8" s="73" customFormat="1" x14ac:dyDescent="0.25"/>
    <row r="59" spans="2:8" s="73" customFormat="1" x14ac:dyDescent="0.25"/>
    <row r="60" spans="2:8" s="73" customFormat="1" x14ac:dyDescent="0.25"/>
    <row r="61" spans="2:8" s="73" customFormat="1" x14ac:dyDescent="0.25"/>
    <row r="62" spans="2:8" x14ac:dyDescent="0.25">
      <c r="B62" s="142"/>
      <c r="C62" s="142"/>
      <c r="D62" s="142"/>
      <c r="E62" s="142"/>
      <c r="F62" s="142"/>
      <c r="G62" s="142"/>
    </row>
    <row r="63" spans="2:8" x14ac:dyDescent="0.25">
      <c r="B63" s="142"/>
      <c r="C63" s="142"/>
      <c r="D63" s="142"/>
      <c r="E63" s="142"/>
      <c r="F63" s="142"/>
      <c r="G63" s="142"/>
    </row>
    <row r="64" spans="2:8" x14ac:dyDescent="0.25">
      <c r="B64" s="142"/>
      <c r="C64" s="142"/>
      <c r="D64" s="142"/>
      <c r="E64" s="142"/>
      <c r="F64" s="142"/>
      <c r="G64" s="142"/>
    </row>
    <row r="65" spans="2:7" x14ac:dyDescent="0.25">
      <c r="B65" s="142"/>
      <c r="C65" s="142"/>
      <c r="D65" s="142"/>
      <c r="E65" s="142"/>
      <c r="F65" s="142"/>
      <c r="G65" s="142"/>
    </row>
    <row r="66" spans="2:7" x14ac:dyDescent="0.25">
      <c r="B66" s="142"/>
      <c r="C66" s="142"/>
      <c r="D66" s="142"/>
      <c r="E66" s="142"/>
      <c r="F66" s="142"/>
      <c r="G66" s="142"/>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Usuario</cp:lastModifiedBy>
  <dcterms:created xsi:type="dcterms:W3CDTF">2013-07-30T17:19:59Z</dcterms:created>
  <dcterms:modified xsi:type="dcterms:W3CDTF">2024-02-24T02:21:39Z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