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codeName="ThisWorkbook" defaultThemeVersion="124226"/>
  <mc:AlternateContent xmlns:mc="http://schemas.openxmlformats.org/markup-compatibility/2006">
    <mc:Choice Requires="x15">
      <x15ac:absPath xmlns:x15ac="http://schemas.microsoft.com/office/spreadsheetml/2010/11/ac" url="C:\Maestría en Ciencia de Datos\TRABAJO DE GRADO\"/>
    </mc:Choice>
  </mc:AlternateContent>
  <xr:revisionPtr revIDLastSave="0" documentId="13_ncr:1_{8A744AC3-1000-495C-AFF1-8B79818623D3}" xr6:coauthVersionLast="47" xr6:coauthVersionMax="47" xr10:uidLastSave="{00000000-0000-0000-0000-000000000000}"/>
  <bookViews>
    <workbookView xWindow="-25710" yWindow="2130" windowWidth="25820" windowHeight="15500" tabRatio="703" xr2:uid="{00000000-000D-0000-FFFF-FFFF00000000}"/>
  </bookViews>
  <sheets>
    <sheet name="Menú" sheetId="7" r:id="rId1"/>
    <sheet name="1" sheetId="1" r:id="rId2"/>
    <sheet name="2" sheetId="4" r:id="rId3"/>
    <sheet name="3" sheetId="3" r:id="rId4"/>
    <sheet name="4" sheetId="5" r:id="rId5"/>
    <sheet name="5" sheetId="6" r:id="rId6"/>
  </sheets>
  <definedNames>
    <definedName name="_xlnm.Print_Area" localSheetId="0">Menú!$B$2:$J$24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8" i="4" l="1"/>
  <c r="C29" i="4" s="1"/>
  <c r="C30" i="4" s="1"/>
  <c r="C31" i="4" s="1"/>
  <c r="H55" i="6"/>
  <c r="H54" i="6"/>
  <c r="B40" i="6" l="1"/>
  <c r="B41" i="6" s="1"/>
  <c r="B42" i="6" s="1"/>
  <c r="B43" i="6" s="1"/>
  <c r="B44" i="6" s="1"/>
  <c r="B45" i="6" s="1"/>
  <c r="B46" i="6" s="1"/>
  <c r="B47" i="6" s="1"/>
  <c r="B48" i="6" s="1"/>
  <c r="C40" i="6"/>
  <c r="C41" i="6"/>
  <c r="C42" i="6"/>
  <c r="C43" i="6"/>
  <c r="C44" i="6"/>
  <c r="C45" i="6"/>
  <c r="C46" i="6"/>
  <c r="C47" i="6"/>
  <c r="C48" i="6"/>
  <c r="C39" i="6"/>
  <c r="F11" i="5" l="1"/>
  <c r="G11" i="5"/>
  <c r="E11" i="5" l="1"/>
  <c r="D11" i="5"/>
  <c r="C11" i="5"/>
  <c r="J16" i="6" l="1"/>
  <c r="J17" i="6"/>
  <c r="J18" i="6"/>
  <c r="J19" i="6"/>
  <c r="J20" i="6"/>
  <c r="J21" i="6"/>
  <c r="J22" i="6"/>
  <c r="J23" i="6"/>
  <c r="J24" i="6"/>
  <c r="J15" i="6"/>
  <c r="H16" i="6"/>
  <c r="H17" i="6"/>
  <c r="H18" i="6"/>
  <c r="H19" i="6"/>
  <c r="H20" i="6"/>
  <c r="H21" i="6"/>
  <c r="H22" i="6"/>
  <c r="H23" i="6"/>
  <c r="H24" i="6"/>
  <c r="H15" i="6"/>
  <c r="D33" i="6"/>
  <c r="G16" i="6"/>
  <c r="G17" i="6" s="1"/>
  <c r="G18" i="6" s="1"/>
  <c r="G19" i="6" s="1"/>
  <c r="G20" i="6" s="1"/>
  <c r="G21" i="6" s="1"/>
  <c r="G22" i="6" s="1"/>
  <c r="G23" i="6" s="1"/>
  <c r="G24" i="6" s="1"/>
  <c r="G25" i="6" s="1"/>
  <c r="C16" i="6"/>
  <c r="C17" i="6"/>
  <c r="C18" i="6"/>
  <c r="C19" i="6"/>
  <c r="C20" i="6"/>
  <c r="C21" i="6"/>
  <c r="C22" i="6"/>
  <c r="C23" i="6"/>
  <c r="C24" i="6"/>
  <c r="C15" i="6"/>
  <c r="B16" i="6"/>
  <c r="B17" i="6"/>
  <c r="B18" i="6"/>
  <c r="B19" i="6"/>
  <c r="B20" i="6"/>
  <c r="B21" i="6"/>
  <c r="B22" i="6"/>
  <c r="B23" i="6"/>
  <c r="B24" i="6"/>
  <c r="B15" i="6"/>
  <c r="B14" i="6"/>
  <c r="C23" i="4" l="1"/>
  <c r="C9" i="5" s="1"/>
  <c r="B49" i="5"/>
  <c r="B45" i="5"/>
  <c r="B23" i="5"/>
  <c r="C23" i="5" s="1"/>
  <c r="G6" i="4"/>
  <c r="G7" i="4"/>
  <c r="G8" i="4"/>
  <c r="G9" i="4"/>
  <c r="G10" i="4"/>
  <c r="G11" i="4"/>
  <c r="G5" i="4"/>
  <c r="B34" i="5"/>
  <c r="C34" i="5" s="1"/>
  <c r="B30" i="5"/>
  <c r="G12" i="4" l="1"/>
  <c r="C12" i="5" s="1"/>
  <c r="D23" i="5"/>
  <c r="B36" i="5"/>
  <c r="D34" i="5"/>
  <c r="E23" i="5" l="1"/>
  <c r="F23" i="5" s="1"/>
  <c r="E34" i="5"/>
  <c r="G23" i="5" l="1"/>
  <c r="F34" i="5"/>
  <c r="G34" i="5" l="1"/>
  <c r="D10" i="3" l="1"/>
  <c r="D9" i="3"/>
  <c r="F17" i="4"/>
  <c r="F31" i="4"/>
  <c r="C10" i="5" s="1"/>
  <c r="D10" i="5" s="1"/>
  <c r="E10" i="5" s="1"/>
  <c r="F10" i="5" s="1"/>
  <c r="G10" i="5" s="1"/>
  <c r="C12" i="4"/>
  <c r="D11" i="3" l="1"/>
  <c r="C33" i="6"/>
  <c r="C4" i="3"/>
  <c r="B24" i="5"/>
  <c r="C25" i="5"/>
  <c r="C49" i="5" s="1"/>
  <c r="D12" i="5"/>
  <c r="D9" i="5"/>
  <c r="E9" i="5" s="1"/>
  <c r="F9" i="5" s="1"/>
  <c r="R16" i="1"/>
  <c r="S16" i="1"/>
  <c r="V16" i="1"/>
  <c r="W16" i="1"/>
  <c r="G2" i="1"/>
  <c r="B31" i="1"/>
  <c r="P18" i="1"/>
  <c r="P19" i="1"/>
  <c r="Q19" i="1" s="1"/>
  <c r="R19" i="1" s="1"/>
  <c r="P20" i="1"/>
  <c r="Q20" i="1" s="1"/>
  <c r="R20" i="1" s="1"/>
  <c r="S20" i="1" s="1"/>
  <c r="P21" i="1"/>
  <c r="Q21" i="1" s="1"/>
  <c r="R21" i="1" s="1"/>
  <c r="P22" i="1"/>
  <c r="P23" i="1"/>
  <c r="P24" i="1"/>
  <c r="P25" i="1"/>
  <c r="Q25" i="1" s="1"/>
  <c r="R25" i="1" s="1"/>
  <c r="P26" i="1"/>
  <c r="Q26" i="1" s="1"/>
  <c r="R26" i="1" s="1"/>
  <c r="S26" i="1" s="1"/>
  <c r="P17" i="1"/>
  <c r="P16" i="1"/>
  <c r="Q16" i="1"/>
  <c r="T16" i="1"/>
  <c r="U16" i="1"/>
  <c r="P4" i="1"/>
  <c r="Q4" i="1" s="1"/>
  <c r="R4" i="1" s="1"/>
  <c r="S4" i="1" s="1"/>
  <c r="P5" i="1"/>
  <c r="Q5" i="1" s="1"/>
  <c r="R5" i="1" s="1"/>
  <c r="S5" i="1" s="1"/>
  <c r="P6" i="1"/>
  <c r="Q6" i="1" s="1"/>
  <c r="R6" i="1" s="1"/>
  <c r="S6" i="1" s="1"/>
  <c r="P7" i="1"/>
  <c r="Q7" i="1" s="1"/>
  <c r="R7" i="1" s="1"/>
  <c r="S7" i="1" s="1"/>
  <c r="P8" i="1"/>
  <c r="Q8" i="1" s="1"/>
  <c r="R8" i="1" s="1"/>
  <c r="S8" i="1" s="1"/>
  <c r="P9" i="1"/>
  <c r="Q9" i="1" s="1"/>
  <c r="R9" i="1" s="1"/>
  <c r="S9" i="1" s="1"/>
  <c r="P10" i="1"/>
  <c r="Q10" i="1" s="1"/>
  <c r="R10" i="1" s="1"/>
  <c r="S10" i="1" s="1"/>
  <c r="P11" i="1"/>
  <c r="Q11" i="1" s="1"/>
  <c r="R11" i="1" s="1"/>
  <c r="S11" i="1" s="1"/>
  <c r="P12" i="1"/>
  <c r="Q12" i="1" s="1"/>
  <c r="R12" i="1" s="1"/>
  <c r="S12" i="1" s="1"/>
  <c r="P3" i="1"/>
  <c r="Q3" i="1" s="1"/>
  <c r="R3" i="1" s="1"/>
  <c r="S3" i="1" s="1"/>
  <c r="L4" i="1"/>
  <c r="L5" i="1"/>
  <c r="M5" i="1" s="1"/>
  <c r="N5" i="1" s="1"/>
  <c r="O5" i="1" s="1"/>
  <c r="L6" i="1"/>
  <c r="M6" i="1" s="1"/>
  <c r="N6" i="1" s="1"/>
  <c r="O6" i="1" s="1"/>
  <c r="L7" i="1"/>
  <c r="M7" i="1" s="1"/>
  <c r="N7" i="1" s="1"/>
  <c r="O7" i="1" s="1"/>
  <c r="L8" i="1"/>
  <c r="L9" i="1"/>
  <c r="L10" i="1"/>
  <c r="M10" i="1" s="1"/>
  <c r="N10" i="1" s="1"/>
  <c r="O10" i="1" s="1"/>
  <c r="L11" i="1"/>
  <c r="M11" i="1" s="1"/>
  <c r="N11" i="1" s="1"/>
  <c r="O11" i="1" s="1"/>
  <c r="L12" i="1"/>
  <c r="M12" i="1" s="1"/>
  <c r="N12" i="1" s="1"/>
  <c r="O12" i="1" s="1"/>
  <c r="L3" i="1"/>
  <c r="M3" i="1" s="1"/>
  <c r="N3" i="1" s="1"/>
  <c r="O3" i="1" s="1"/>
  <c r="D27" i="1"/>
  <c r="E4" i="1"/>
  <c r="E5" i="1"/>
  <c r="E6" i="1"/>
  <c r="E7" i="1"/>
  <c r="E8" i="1"/>
  <c r="E9" i="1"/>
  <c r="E10" i="1"/>
  <c r="E11" i="1"/>
  <c r="E12" i="1"/>
  <c r="E3" i="1"/>
  <c r="B18" i="1"/>
  <c r="B19" i="1"/>
  <c r="B20" i="1"/>
  <c r="B21" i="1"/>
  <c r="B22" i="1"/>
  <c r="B23" i="1"/>
  <c r="B24" i="1"/>
  <c r="B25" i="1"/>
  <c r="B26" i="1"/>
  <c r="B17" i="1"/>
  <c r="C18" i="1"/>
  <c r="E18" i="1" s="1"/>
  <c r="C19" i="1"/>
  <c r="E19" i="1" s="1"/>
  <c r="C20" i="1"/>
  <c r="E20" i="1" s="1"/>
  <c r="C21" i="1"/>
  <c r="L21" i="1" s="1"/>
  <c r="M21" i="1" s="1"/>
  <c r="N21" i="1" s="1"/>
  <c r="O21" i="1" s="1"/>
  <c r="C22" i="1"/>
  <c r="E22" i="1" s="1"/>
  <c r="C23" i="1"/>
  <c r="E23" i="1" s="1"/>
  <c r="C24" i="1"/>
  <c r="E24" i="1" s="1"/>
  <c r="C25" i="1"/>
  <c r="E25" i="1" s="1"/>
  <c r="C26" i="1"/>
  <c r="E26" i="1" s="1"/>
  <c r="C17" i="1"/>
  <c r="E17" i="1" s="1"/>
  <c r="A17" i="1"/>
  <c r="A4" i="1"/>
  <c r="A18" i="1" s="1"/>
  <c r="C5" i="5" l="1"/>
  <c r="C20" i="5" s="1"/>
  <c r="D7" i="6" s="1"/>
  <c r="E9" i="3"/>
  <c r="G9" i="5"/>
  <c r="H2" i="1"/>
  <c r="B28" i="4"/>
  <c r="C34" i="6"/>
  <c r="C35" i="6" s="1"/>
  <c r="F33" i="6"/>
  <c r="W12" i="1"/>
  <c r="W11" i="1"/>
  <c r="W10" i="1"/>
  <c r="W7" i="1"/>
  <c r="W6" i="1"/>
  <c r="W5" i="1"/>
  <c r="W3" i="1"/>
  <c r="B26" i="5"/>
  <c r="B48" i="5" s="1"/>
  <c r="B50" i="5" s="1"/>
  <c r="C24" i="5"/>
  <c r="E12" i="5"/>
  <c r="F12" i="5" s="1"/>
  <c r="D25" i="5"/>
  <c r="D49" i="5" s="1"/>
  <c r="C31" i="1"/>
  <c r="L2" i="1"/>
  <c r="L16" i="1" s="1"/>
  <c r="S25" i="1"/>
  <c r="S21" i="1"/>
  <c r="W21" i="1" s="1"/>
  <c r="V21" i="1"/>
  <c r="S19" i="1"/>
  <c r="V12" i="1"/>
  <c r="V10" i="1"/>
  <c r="V6" i="1"/>
  <c r="V3" i="1"/>
  <c r="V11" i="1"/>
  <c r="V7" i="1"/>
  <c r="V5" i="1"/>
  <c r="I2" i="1"/>
  <c r="Z3" i="1"/>
  <c r="AA3" i="1" s="1"/>
  <c r="AB3" i="1" s="1"/>
  <c r="AC3" i="1" s="1"/>
  <c r="L19" i="1"/>
  <c r="M19" i="1" s="1"/>
  <c r="L17" i="1"/>
  <c r="M17" i="1" s="1"/>
  <c r="N17" i="1" s="1"/>
  <c r="O17" i="1" s="1"/>
  <c r="L18" i="1"/>
  <c r="M18" i="1" s="1"/>
  <c r="N18" i="1" s="1"/>
  <c r="O18" i="1" s="1"/>
  <c r="L23" i="1"/>
  <c r="M23" i="1" s="1"/>
  <c r="N23" i="1" s="1"/>
  <c r="O23" i="1" s="1"/>
  <c r="Q23" i="1"/>
  <c r="R23" i="1" s="1"/>
  <c r="S23" i="1" s="1"/>
  <c r="L22" i="1"/>
  <c r="M22" i="1" s="1"/>
  <c r="N22" i="1" s="1"/>
  <c r="O22" i="1" s="1"/>
  <c r="A5" i="1"/>
  <c r="A6" i="1" s="1"/>
  <c r="A7" i="1" s="1"/>
  <c r="A8" i="1" s="1"/>
  <c r="A9" i="1" s="1"/>
  <c r="A10" i="1" s="1"/>
  <c r="A11" i="1" s="1"/>
  <c r="A12" i="1" s="1"/>
  <c r="A26" i="1" s="1"/>
  <c r="E21" i="1"/>
  <c r="E27" i="1" s="1"/>
  <c r="L25" i="1"/>
  <c r="M25" i="1" s="1"/>
  <c r="U21" i="1"/>
  <c r="Q17" i="1"/>
  <c r="R17" i="1" s="1"/>
  <c r="S17" i="1" s="1"/>
  <c r="L26" i="1"/>
  <c r="M26" i="1" s="1"/>
  <c r="U6" i="1"/>
  <c r="L24" i="1"/>
  <c r="M24" i="1" s="1"/>
  <c r="N24" i="1" s="1"/>
  <c r="O24" i="1" s="1"/>
  <c r="L20" i="1"/>
  <c r="M20" i="1" s="1"/>
  <c r="Q24" i="1"/>
  <c r="R24" i="1" s="1"/>
  <c r="Q22" i="1"/>
  <c r="R22" i="1" s="1"/>
  <c r="S22" i="1" s="1"/>
  <c r="Q18" i="1"/>
  <c r="R18" i="1" s="1"/>
  <c r="T21" i="1"/>
  <c r="T9" i="1"/>
  <c r="U5" i="1"/>
  <c r="U10" i="1"/>
  <c r="T3" i="1"/>
  <c r="T10" i="1"/>
  <c r="T6" i="1"/>
  <c r="U11" i="1"/>
  <c r="U7" i="1"/>
  <c r="U3" i="1"/>
  <c r="T5" i="1"/>
  <c r="U12" i="1"/>
  <c r="T12" i="1"/>
  <c r="T8" i="1"/>
  <c r="T4" i="1"/>
  <c r="T11" i="1"/>
  <c r="M9" i="1"/>
  <c r="M8" i="1"/>
  <c r="T7" i="1"/>
  <c r="M4" i="1"/>
  <c r="E13" i="1"/>
  <c r="D5" i="5" l="1"/>
  <c r="D20" i="5" s="1"/>
  <c r="E7" i="6" s="1"/>
  <c r="E10" i="3"/>
  <c r="C43" i="5"/>
  <c r="G12" i="5"/>
  <c r="F25" i="5"/>
  <c r="J2" i="1"/>
  <c r="B31" i="4" s="1"/>
  <c r="B30" i="4"/>
  <c r="M2" i="1"/>
  <c r="B29" i="4"/>
  <c r="A21" i="1"/>
  <c r="F24" i="1"/>
  <c r="F21" i="1"/>
  <c r="F25" i="1"/>
  <c r="F18" i="1"/>
  <c r="F22" i="1"/>
  <c r="F26" i="1"/>
  <c r="F19" i="1"/>
  <c r="F23" i="1"/>
  <c r="F17" i="1"/>
  <c r="F20" i="1"/>
  <c r="F4" i="1"/>
  <c r="D16" i="6" s="1"/>
  <c r="E16" i="6" s="1"/>
  <c r="F5" i="1"/>
  <c r="D17" i="6" s="1"/>
  <c r="E17" i="6" s="1"/>
  <c r="F9" i="1"/>
  <c r="D21" i="6" s="1"/>
  <c r="E21" i="6" s="1"/>
  <c r="F3" i="1"/>
  <c r="D15" i="6" s="1"/>
  <c r="E15" i="6" s="1"/>
  <c r="F6" i="1"/>
  <c r="D18" i="6" s="1"/>
  <c r="E18" i="6" s="1"/>
  <c r="F10" i="1"/>
  <c r="D22" i="6" s="1"/>
  <c r="E22" i="6" s="1"/>
  <c r="F7" i="1"/>
  <c r="D19" i="6" s="1"/>
  <c r="E19" i="6" s="1"/>
  <c r="F11" i="1"/>
  <c r="D23" i="6" s="1"/>
  <c r="E23" i="6" s="1"/>
  <c r="F8" i="1"/>
  <c r="D20" i="6" s="1"/>
  <c r="E20" i="6" s="1"/>
  <c r="F12" i="1"/>
  <c r="D24" i="6" s="1"/>
  <c r="E24" i="6" s="1"/>
  <c r="B33" i="1"/>
  <c r="B32" i="1"/>
  <c r="C6" i="5" s="1"/>
  <c r="W23" i="1"/>
  <c r="W22" i="1"/>
  <c r="U26" i="1"/>
  <c r="N26" i="1"/>
  <c r="U25" i="1"/>
  <c r="N25" i="1"/>
  <c r="U9" i="1"/>
  <c r="N9" i="1"/>
  <c r="U8" i="1"/>
  <c r="N8" i="1"/>
  <c r="U20" i="1"/>
  <c r="N20" i="1"/>
  <c r="U19" i="1"/>
  <c r="N19" i="1"/>
  <c r="U4" i="1"/>
  <c r="N4" i="1"/>
  <c r="W17" i="1"/>
  <c r="D24" i="5"/>
  <c r="C26" i="5"/>
  <c r="C48" i="5" s="1"/>
  <c r="C50" i="5" s="1"/>
  <c r="E25" i="5"/>
  <c r="E49" i="5" s="1"/>
  <c r="D31" i="1"/>
  <c r="V23" i="1"/>
  <c r="S18" i="1"/>
  <c r="W18" i="1" s="1"/>
  <c r="V18" i="1"/>
  <c r="V22" i="1"/>
  <c r="V17" i="1"/>
  <c r="S24" i="1"/>
  <c r="W24" i="1" s="1"/>
  <c r="V24" i="1"/>
  <c r="T18" i="1"/>
  <c r="A24" i="1"/>
  <c r="A19" i="1"/>
  <c r="U23" i="1"/>
  <c r="U18" i="1"/>
  <c r="T25" i="1"/>
  <c r="U22" i="1"/>
  <c r="T22" i="1"/>
  <c r="A25" i="1"/>
  <c r="A22" i="1"/>
  <c r="T23" i="1"/>
  <c r="A23" i="1"/>
  <c r="A20" i="1"/>
  <c r="U24" i="1"/>
  <c r="T20" i="1"/>
  <c r="U17" i="1"/>
  <c r="T17" i="1"/>
  <c r="T26" i="1"/>
  <c r="T24" i="1"/>
  <c r="T19" i="1"/>
  <c r="T13" i="1"/>
  <c r="C32" i="1" s="1"/>
  <c r="D6" i="5" s="1"/>
  <c r="D43" i="5" l="1"/>
  <c r="E5" i="5"/>
  <c r="E20" i="5" s="1"/>
  <c r="F7" i="6" s="1"/>
  <c r="E11" i="3"/>
  <c r="G25" i="5"/>
  <c r="D8" i="3"/>
  <c r="D12" i="3" s="1"/>
  <c r="D14" i="3" s="1"/>
  <c r="C8" i="6" s="1"/>
  <c r="M16" i="1"/>
  <c r="N2" i="1"/>
  <c r="E27" i="6"/>
  <c r="E28" i="6" s="1"/>
  <c r="C7" i="5"/>
  <c r="C8" i="5" s="1"/>
  <c r="U13" i="1"/>
  <c r="D32" i="1" s="1"/>
  <c r="E6" i="5" s="1"/>
  <c r="F27" i="1"/>
  <c r="F13" i="1"/>
  <c r="B34" i="1"/>
  <c r="O26" i="1"/>
  <c r="W26" i="1" s="1"/>
  <c r="V26" i="1"/>
  <c r="O25" i="1"/>
  <c r="W25" i="1" s="1"/>
  <c r="V25" i="1"/>
  <c r="O9" i="1"/>
  <c r="W9" i="1" s="1"/>
  <c r="V9" i="1"/>
  <c r="O8" i="1"/>
  <c r="W8" i="1" s="1"/>
  <c r="V8" i="1"/>
  <c r="O20" i="1"/>
  <c r="W20" i="1" s="1"/>
  <c r="V20" i="1"/>
  <c r="O19" i="1"/>
  <c r="W19" i="1" s="1"/>
  <c r="V19" i="1"/>
  <c r="O4" i="1"/>
  <c r="W4" i="1" s="1"/>
  <c r="V4" i="1"/>
  <c r="E24" i="5"/>
  <c r="F24" i="5" s="1"/>
  <c r="D26" i="5"/>
  <c r="D48" i="5" s="1"/>
  <c r="D50" i="5" s="1"/>
  <c r="F49" i="5"/>
  <c r="E31" i="1"/>
  <c r="U27" i="1"/>
  <c r="D33" i="1" s="1"/>
  <c r="T27" i="1"/>
  <c r="C33" i="1" s="1"/>
  <c r="E43" i="5" l="1"/>
  <c r="F5" i="5"/>
  <c r="F20" i="5" s="1"/>
  <c r="G7" i="6" s="1"/>
  <c r="E12" i="3"/>
  <c r="G24" i="5"/>
  <c r="G26" i="5" s="1"/>
  <c r="F26" i="5"/>
  <c r="D16" i="3"/>
  <c r="N16" i="1"/>
  <c r="O2" i="1"/>
  <c r="O16" i="1" s="1"/>
  <c r="C13" i="5"/>
  <c r="C55" i="5" s="1"/>
  <c r="C56" i="5" s="1"/>
  <c r="C57" i="5" s="1"/>
  <c r="F23" i="6"/>
  <c r="D47" i="6" s="1"/>
  <c r="E47" i="6" s="1"/>
  <c r="F24" i="6"/>
  <c r="D48" i="6" s="1"/>
  <c r="E48" i="6" s="1"/>
  <c r="F19" i="6"/>
  <c r="D43" i="6" s="1"/>
  <c r="E43" i="6" s="1"/>
  <c r="F20" i="6"/>
  <c r="D44" i="6" s="1"/>
  <c r="E44" i="6" s="1"/>
  <c r="F16" i="6"/>
  <c r="D40" i="6" s="1"/>
  <c r="E40" i="6" s="1"/>
  <c r="F18" i="6"/>
  <c r="D42" i="6" s="1"/>
  <c r="E42" i="6" s="1"/>
  <c r="F15" i="6"/>
  <c r="D39" i="6" s="1"/>
  <c r="E39" i="6" s="1"/>
  <c r="F17" i="6"/>
  <c r="D41" i="6" s="1"/>
  <c r="E41" i="6" s="1"/>
  <c r="F21" i="6"/>
  <c r="D45" i="6" s="1"/>
  <c r="E45" i="6" s="1"/>
  <c r="F22" i="6"/>
  <c r="D46" i="6" s="1"/>
  <c r="E46" i="6" s="1"/>
  <c r="V13" i="1"/>
  <c r="V27" i="1"/>
  <c r="E33" i="1" s="1"/>
  <c r="F7" i="5" s="1"/>
  <c r="W27" i="1"/>
  <c r="W13" i="1"/>
  <c r="E26" i="5"/>
  <c r="E48" i="5" s="1"/>
  <c r="E50" i="5" s="1"/>
  <c r="G49" i="5"/>
  <c r="C34" i="1"/>
  <c r="D7" i="5"/>
  <c r="D8" i="5" s="1"/>
  <c r="D34" i="1"/>
  <c r="E7" i="5"/>
  <c r="E8" i="5" s="1"/>
  <c r="F31" i="1"/>
  <c r="E13" i="3" s="1"/>
  <c r="E49" i="6" l="1"/>
  <c r="E29" i="6" s="1"/>
  <c r="F43" i="5"/>
  <c r="J8" i="3"/>
  <c r="B31" i="5" s="1"/>
  <c r="B32" i="5" s="1"/>
  <c r="F33" i="1"/>
  <c r="G7" i="5" s="1"/>
  <c r="F32" i="1"/>
  <c r="G6" i="5" s="1"/>
  <c r="E32" i="1"/>
  <c r="F6" i="5" s="1"/>
  <c r="F8" i="5" s="1"/>
  <c r="F13" i="5" s="1"/>
  <c r="D13" i="5"/>
  <c r="D55" i="5" s="1"/>
  <c r="D56" i="5" s="1"/>
  <c r="D57" i="5" s="1"/>
  <c r="E13" i="5"/>
  <c r="E55" i="5" s="1"/>
  <c r="E56" i="5" s="1"/>
  <c r="E57" i="5" s="1"/>
  <c r="E34" i="6"/>
  <c r="F34" i="6" s="1"/>
  <c r="D34" i="6"/>
  <c r="F25" i="6"/>
  <c r="B34" i="6" s="1"/>
  <c r="B35" i="6" s="1"/>
  <c r="G48" i="5"/>
  <c r="G50" i="5" s="1"/>
  <c r="F48" i="5"/>
  <c r="F50" i="5" s="1"/>
  <c r="G5" i="5"/>
  <c r="G20" i="5" s="1"/>
  <c r="H7" i="6" s="1"/>
  <c r="B38" i="5" l="1"/>
  <c r="B22" i="5" s="1"/>
  <c r="B44" i="5" s="1"/>
  <c r="B46" i="5" s="1"/>
  <c r="B52" i="5" s="1"/>
  <c r="F34" i="1"/>
  <c r="E34" i="1"/>
  <c r="G8" i="5"/>
  <c r="G13" i="5" s="1"/>
  <c r="G55" i="5" s="1"/>
  <c r="G56" i="5" s="1"/>
  <c r="G57" i="5" s="1"/>
  <c r="I9" i="3"/>
  <c r="F9" i="3"/>
  <c r="G9" i="3" s="1"/>
  <c r="C14" i="5" s="1"/>
  <c r="C15" i="5" s="1"/>
  <c r="C16" i="5" s="1"/>
  <c r="C29" i="5" s="1"/>
  <c r="F55" i="5"/>
  <c r="F56" i="5" s="1"/>
  <c r="F57" i="5" s="1"/>
  <c r="I16" i="6"/>
  <c r="I17" i="6"/>
  <c r="I22" i="6"/>
  <c r="I20" i="6"/>
  <c r="I21" i="6"/>
  <c r="I23" i="6"/>
  <c r="I24" i="6"/>
  <c r="I15" i="6"/>
  <c r="I19" i="6"/>
  <c r="I18" i="6"/>
  <c r="G43" i="5"/>
  <c r="B27" i="5" l="1"/>
  <c r="B39" i="5" s="1"/>
  <c r="C17" i="5"/>
  <c r="C35" i="5" s="1"/>
  <c r="C36" i="5" s="1"/>
  <c r="H9" i="3"/>
  <c r="J9" i="3" s="1"/>
  <c r="I10" i="3" s="1"/>
  <c r="E35" i="6"/>
  <c r="F35" i="6" s="1"/>
  <c r="D35" i="6"/>
  <c r="C30" i="5"/>
  <c r="C45" i="5"/>
  <c r="H52" i="6" l="1"/>
  <c r="H53" i="6"/>
  <c r="F10" i="3"/>
  <c r="G10" i="3" s="1"/>
  <c r="D14" i="5" s="1"/>
  <c r="D15" i="5" s="1"/>
  <c r="D16" i="5" s="1"/>
  <c r="D29" i="5" s="1"/>
  <c r="D45" i="5" s="1"/>
  <c r="C31" i="5"/>
  <c r="C32" i="5" s="1"/>
  <c r="C38" i="5" s="1"/>
  <c r="C22" i="5" s="1"/>
  <c r="H10" i="3" l="1"/>
  <c r="J10" i="3" s="1"/>
  <c r="D31" i="5" s="1"/>
  <c r="D30" i="5"/>
  <c r="D17" i="5"/>
  <c r="D35" i="5" s="1"/>
  <c r="D36" i="5" s="1"/>
  <c r="C27" i="5"/>
  <c r="C39" i="5" s="1"/>
  <c r="C44" i="5"/>
  <c r="C46" i="5" l="1"/>
  <c r="C52" i="5" s="1"/>
  <c r="C58" i="5" s="1"/>
  <c r="C59" i="5" s="1"/>
  <c r="D8" i="6" s="1"/>
  <c r="I11" i="3"/>
  <c r="F11" i="3"/>
  <c r="G11" i="3" s="1"/>
  <c r="E14" i="5" s="1"/>
  <c r="E15" i="5" s="1"/>
  <c r="E16" i="5" s="1"/>
  <c r="E29" i="5" s="1"/>
  <c r="E30" i="5" s="1"/>
  <c r="D32" i="5"/>
  <c r="D38" i="5" s="1"/>
  <c r="D22" i="5" s="1"/>
  <c r="D27" i="5" s="1"/>
  <c r="D39" i="5" s="1"/>
  <c r="H11" i="3" l="1"/>
  <c r="J11" i="3" s="1"/>
  <c r="D44" i="5"/>
  <c r="E45" i="5"/>
  <c r="E17" i="5"/>
  <c r="E35" i="5" s="1"/>
  <c r="E36" i="5" s="1"/>
  <c r="I12" i="3" l="1"/>
  <c r="F12" i="3"/>
  <c r="G12" i="3" s="1"/>
  <c r="F14" i="5" s="1"/>
  <c r="F15" i="5" s="1"/>
  <c r="F16" i="5" s="1"/>
  <c r="F17" i="5" s="1"/>
  <c r="F35" i="5" s="1"/>
  <c r="F36" i="5" s="1"/>
  <c r="E31" i="5"/>
  <c r="E32" i="5" s="1"/>
  <c r="E38" i="5" s="1"/>
  <c r="E22" i="5" s="1"/>
  <c r="E27" i="5" s="1"/>
  <c r="E39" i="5" s="1"/>
  <c r="D46" i="5"/>
  <c r="D52" i="5" s="1"/>
  <c r="D58" i="5" s="1"/>
  <c r="D59" i="5" s="1"/>
  <c r="E8" i="6" s="1"/>
  <c r="H12" i="3" l="1"/>
  <c r="J12" i="3" s="1"/>
  <c r="F13" i="3" s="1"/>
  <c r="G13" i="3" s="1"/>
  <c r="G14" i="5" s="1"/>
  <c r="G15" i="5" s="1"/>
  <c r="G16" i="5" s="1"/>
  <c r="G17" i="5" s="1"/>
  <c r="F29" i="5"/>
  <c r="F45" i="5" s="1"/>
  <c r="E44" i="5"/>
  <c r="F31" i="5" l="1"/>
  <c r="I13" i="3"/>
  <c r="H13" i="3" s="1"/>
  <c r="J13" i="3" s="1"/>
  <c r="G31" i="5" s="1"/>
  <c r="G29" i="5"/>
  <c r="G45" i="5" s="1"/>
  <c r="F30" i="5"/>
  <c r="E46" i="5"/>
  <c r="E52" i="5" s="1"/>
  <c r="E58" i="5" s="1"/>
  <c r="E59" i="5" s="1"/>
  <c r="F8" i="6" s="1"/>
  <c r="G35" i="5"/>
  <c r="G36" i="5" s="1"/>
  <c r="F32" i="5" l="1"/>
  <c r="F38" i="5" s="1"/>
  <c r="F22" i="5" s="1"/>
  <c r="F44" i="5" s="1"/>
  <c r="F46" i="5" s="1"/>
  <c r="F52" i="5" s="1"/>
  <c r="F58" i="5" s="1"/>
  <c r="F59" i="5" s="1"/>
  <c r="G8" i="6" s="1"/>
  <c r="G30" i="5"/>
  <c r="G32" i="5" s="1"/>
  <c r="G38" i="5" s="1"/>
  <c r="G22" i="5" s="1"/>
  <c r="F27" i="5" l="1"/>
  <c r="F39" i="5" s="1"/>
  <c r="G27" i="5"/>
  <c r="G39" i="5" s="1"/>
  <c r="G44" i="5"/>
  <c r="G46" i="5" l="1"/>
  <c r="G52" i="5" s="1"/>
  <c r="G58" i="5" s="1"/>
  <c r="G59" i="5" s="1"/>
  <c r="H8" i="6" s="1"/>
  <c r="D11" i="6" s="1"/>
  <c r="C9" i="6" l="1"/>
  <c r="E9" i="6"/>
  <c r="D9" i="6"/>
  <c r="F9" i="6"/>
  <c r="G9" i="6"/>
  <c r="H9" i="6"/>
  <c r="D10" i="6"/>
  <c r="H11" i="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Z1" authorId="0" shapeId="0" xr:uid="{00000000-0006-0000-0100-000001000000}">
      <text>
        <r>
          <rPr>
            <b/>
            <sz val="9"/>
            <color indexed="81"/>
            <rFont val="Tahoma"/>
            <family val="2"/>
          </rPr>
          <t>DARIO MAURICIO REYES GIRALDO:</t>
        </r>
        <r>
          <rPr>
            <sz val="9"/>
            <color indexed="81"/>
            <rFont val="Tahoma"/>
            <family val="2"/>
          </rPr>
          <t xml:space="preserve">
Defina el año base o de inicio de la operación del negocio.</t>
        </r>
      </text>
    </comment>
    <comment ref="B3" authorId="0" shapeId="0" xr:uid="{00000000-0006-0000-0100-000002000000}">
      <text>
        <r>
          <rPr>
            <b/>
            <sz val="9"/>
            <color indexed="81"/>
            <rFont val="Tahoma"/>
            <family val="2"/>
          </rPr>
          <t>DARIO MAURICIO REYES GIRALDO:</t>
        </r>
        <r>
          <rPr>
            <sz val="9"/>
            <color indexed="81"/>
            <rFont val="Tahoma"/>
            <family val="2"/>
          </rPr>
          <t xml:space="preserve">
Digita el nombre de cada línea de producto o servicio a vender</t>
        </r>
      </text>
    </comment>
    <comment ref="C3" authorId="0" shapeId="0" xr:uid="{00000000-0006-0000-0100-000003000000}">
      <text>
        <r>
          <rPr>
            <b/>
            <sz val="9"/>
            <color indexed="81"/>
            <rFont val="Tahoma"/>
            <family val="2"/>
          </rPr>
          <t>DARIO MAURICIO REYES GIRALDO:</t>
        </r>
        <r>
          <rPr>
            <sz val="9"/>
            <color indexed="81"/>
            <rFont val="Tahoma"/>
            <family val="2"/>
          </rPr>
          <t xml:space="preserve">
Digita las cantidades a vender en el primer año de cada pdto/servicio.</t>
        </r>
      </text>
    </comment>
    <comment ref="D3" authorId="0" shapeId="0" xr:uid="{00000000-0006-0000-0100-000004000000}">
      <text>
        <r>
          <rPr>
            <b/>
            <sz val="9"/>
            <color indexed="81"/>
            <rFont val="Tahoma"/>
            <family val="2"/>
          </rPr>
          <t>DARIO MAURICIO REYES GIRALDO:</t>
        </r>
        <r>
          <rPr>
            <sz val="9"/>
            <color indexed="81"/>
            <rFont val="Tahoma"/>
            <family val="2"/>
          </rPr>
          <t xml:space="preserve">
Digita el precio UNITARIO, sin IVA, de cada pdto/servicio.</t>
        </r>
      </text>
    </comment>
    <comment ref="G3" authorId="0" shapeId="0" xr:uid="{00000000-0006-0000-0100-000005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H3" authorId="0" shapeId="0" xr:uid="{00000000-0006-0000-0100-000006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I3" authorId="0" shapeId="0" xr:uid="{00000000-0006-0000-0100-000007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J3" authorId="0" shapeId="0" xr:uid="{00000000-0006-0000-0100-000008000000}">
      <text>
        <r>
          <rPr>
            <b/>
            <sz val="9"/>
            <color indexed="81"/>
            <rFont val="Tahoma"/>
            <family val="2"/>
          </rPr>
          <t>DARIO MAURICIO REYES GIRALDO:</t>
        </r>
        <r>
          <rPr>
            <sz val="9"/>
            <color indexed="81"/>
            <rFont val="Tahoma"/>
            <family val="2"/>
          </rPr>
          <t xml:space="preserve">
Ingrese en cada celda el crecimiento porcentual que se espera en las ventas para cada línea de producto o servicio, al pasar de un año a otro.</t>
        </r>
      </text>
    </comment>
    <comment ref="Y4" authorId="0" shapeId="0" xr:uid="{00000000-0006-0000-0100-000009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Y5" authorId="0" shapeId="0" xr:uid="{00000000-0006-0000-0100-00000A000000}">
      <text>
        <r>
          <rPr>
            <b/>
            <sz val="9"/>
            <color indexed="81"/>
            <rFont val="Tahoma"/>
            <family val="2"/>
          </rPr>
          <t>DARIO MAURICIO REYES GIRALDO:</t>
        </r>
        <r>
          <rPr>
            <sz val="9"/>
            <color indexed="81"/>
            <rFont val="Tahoma"/>
            <family val="2"/>
          </rPr>
          <t xml:space="preserve">
Actualizar los datos según proyecciones macroeconómicas. Se pueden buscar en la página web del Banco de la República o del Banco de Colombia.</t>
        </r>
      </text>
    </comment>
    <comment ref="AB7" authorId="0" shapeId="0" xr:uid="{00000000-0006-0000-0100-00000B000000}">
      <text>
        <r>
          <rPr>
            <b/>
            <sz val="9"/>
            <color indexed="81"/>
            <rFont val="Tahoma"/>
            <family val="2"/>
          </rPr>
          <t>DARIO MAURICIO REYES GIRALDO:</t>
        </r>
        <r>
          <rPr>
            <sz val="9"/>
            <color indexed="81"/>
            <rFont val="Tahoma"/>
            <family val="2"/>
          </rPr>
          <t xml:space="preserve">
incluya la tasa de impuesto de Renta vigente.</t>
        </r>
      </text>
    </comment>
    <comment ref="D17" authorId="0" shapeId="0" xr:uid="{00000000-0006-0000-0100-00000C000000}">
      <text>
        <r>
          <rPr>
            <b/>
            <sz val="9"/>
            <color indexed="81"/>
            <rFont val="Tahoma"/>
            <family val="2"/>
          </rPr>
          <t>DARIO MAURICIO REYES GIRALDO:</t>
        </r>
        <r>
          <rPr>
            <sz val="9"/>
            <color indexed="81"/>
            <rFont val="Tahoma"/>
            <family val="2"/>
          </rPr>
          <t xml:space="preserve">
INCLUIR  SOLO LOS COSTOS VARIABLES UNITARIOS DE PRODUCCIÓN, COMERCIALIZACIÓN O DE PRESTACIÓN DEL SERVICIO.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C4" authorId="0" shapeId="0" xr:uid="{00000000-0006-0000-0200-000001000000}">
      <text>
        <r>
          <rPr>
            <b/>
            <sz val="9"/>
            <color indexed="81"/>
            <rFont val="Tahoma"/>
            <family val="2"/>
          </rPr>
          <t>DARIO MAURICIO REYES GIRALDO:</t>
        </r>
        <r>
          <rPr>
            <sz val="9"/>
            <color indexed="81"/>
            <rFont val="Tahoma"/>
            <family val="2"/>
          </rPr>
          <t xml:space="preserve">
Todos los valores deben se anuales.</t>
        </r>
      </text>
    </comment>
    <comment ref="C18" authorId="0" shapeId="0" xr:uid="{00000000-0006-0000-0200-000002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F18" authorId="0" shapeId="0" xr:uid="{00000000-0006-0000-0200-000003000000}">
      <text>
        <r>
          <rPr>
            <b/>
            <sz val="9"/>
            <color indexed="81"/>
            <rFont val="Tahoma"/>
            <family val="2"/>
          </rPr>
          <t>DARIO MAURICIO REYES GIRALDO:</t>
        </r>
        <r>
          <rPr>
            <sz val="9"/>
            <color indexed="81"/>
            <rFont val="Tahoma"/>
            <family val="2"/>
          </rPr>
          <t xml:space="preserve">
Todos los valores deben se anuales.</t>
        </r>
      </text>
    </comment>
    <comment ref="C20" authorId="0" shapeId="0" xr:uid="{00000000-0006-0000-0200-000004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2" authorId="0" shapeId="0" xr:uid="{00000000-0006-0000-0200-000005000000}">
      <text>
        <r>
          <rPr>
            <b/>
            <sz val="9"/>
            <color indexed="81"/>
            <rFont val="Tahoma"/>
            <family val="2"/>
          </rPr>
          <t>DARIO MAURICIO REYES GIRALDO:</t>
        </r>
        <r>
          <rPr>
            <sz val="9"/>
            <color indexed="81"/>
            <rFont val="Tahoma"/>
            <family val="2"/>
          </rPr>
          <t xml:space="preserve">
Tengan en cuenta el valor de la nómina que deberá asumir como un pago fijo durante el año, indiferentemente del nivel de ventas o de producción. 
Calcule este valor  de forma apróximada teniendo en cuenta el factor prestacional actual, sí hay contratos directos con la empresa, de lo contrario calcule el valor como si fueran contratos de prestación de servicios o una mezcla de ambos si su modelo de negocio así lo ha definido.</t>
        </r>
      </text>
    </comment>
    <comment ref="C25" authorId="0" shapeId="0" xr:uid="{00000000-0006-0000-0200-000006000000}">
      <text>
        <r>
          <rPr>
            <b/>
            <sz val="9"/>
            <color indexed="81"/>
            <rFont val="Tahoma"/>
            <family val="2"/>
          </rPr>
          <t>DARIO MAURICIO REYES GIRALDO:</t>
        </r>
        <r>
          <rPr>
            <sz val="9"/>
            <color indexed="81"/>
            <rFont val="Tahoma"/>
            <family val="2"/>
          </rPr>
          <t xml:space="preserve">
Incluya el valor anual del presupuesto para el desarrollo de las estrategias de:
1. Producto (diseño, empaque, imagen)
2. Promoción.
3. Comunicación.
4. Servicio.
5. Precio (si hay presupuestos asociados para este proceso).</t>
        </r>
      </text>
    </comment>
    <comment ref="E25" authorId="0" shapeId="0" xr:uid="{00000000-0006-0000-0200-000007000000}">
      <text>
        <r>
          <rPr>
            <b/>
            <sz val="9"/>
            <color indexed="81"/>
            <rFont val="Tahoma"/>
            <family val="2"/>
          </rPr>
          <t>DARIO MAURICIO REYES GIRALDO:</t>
        </r>
        <r>
          <rPr>
            <sz val="9"/>
            <color indexed="81"/>
            <rFont val="Tahoma"/>
            <family val="2"/>
          </rPr>
          <t xml:space="preserve">
Digite el nombre de los rubros adicionales.</t>
        </r>
      </text>
    </comment>
    <comment ref="E26" authorId="0" shapeId="0" xr:uid="{00000000-0006-0000-0200-000008000000}">
      <text>
        <r>
          <rPr>
            <b/>
            <sz val="9"/>
            <color indexed="81"/>
            <rFont val="Tahoma"/>
            <family val="2"/>
          </rPr>
          <t>DARIO MAURICIO REYES GIRALDO:</t>
        </r>
        <r>
          <rPr>
            <sz val="9"/>
            <color indexed="81"/>
            <rFont val="Tahoma"/>
            <family val="2"/>
          </rPr>
          <t xml:space="preserve">
Digite el nombre de los rubros adicionales.</t>
        </r>
      </text>
    </comment>
    <comment ref="E27" authorId="0" shapeId="0" xr:uid="{00000000-0006-0000-0200-000009000000}">
      <text>
        <r>
          <rPr>
            <b/>
            <sz val="9"/>
            <color indexed="81"/>
            <rFont val="Tahoma"/>
            <family val="2"/>
          </rPr>
          <t>DARIO MAURICIO REYES GIRALDO:</t>
        </r>
        <r>
          <rPr>
            <sz val="9"/>
            <color indexed="81"/>
            <rFont val="Tahoma"/>
            <family val="2"/>
          </rPr>
          <t xml:space="preserve">
Digite el nombre de los rubros adicionales.</t>
        </r>
      </text>
    </comment>
    <comment ref="E28" authorId="0" shapeId="0" xr:uid="{00000000-0006-0000-0200-00000A000000}">
      <text>
        <r>
          <rPr>
            <b/>
            <sz val="9"/>
            <color indexed="81"/>
            <rFont val="Tahoma"/>
            <family val="2"/>
          </rPr>
          <t>DARIO MAURICIO REYES GIRALDO:</t>
        </r>
        <r>
          <rPr>
            <sz val="9"/>
            <color indexed="81"/>
            <rFont val="Tahoma"/>
            <family val="2"/>
          </rPr>
          <t xml:space="preserve">
Digite el nombre de los rubros adicionales.</t>
        </r>
      </text>
    </comment>
    <comment ref="E29" authorId="0" shapeId="0" xr:uid="{00000000-0006-0000-0200-00000B000000}">
      <text>
        <r>
          <rPr>
            <b/>
            <sz val="9"/>
            <color indexed="81"/>
            <rFont val="Tahoma"/>
            <family val="2"/>
          </rPr>
          <t>DARIO MAURICIO REYES GIRALDO:</t>
        </r>
        <r>
          <rPr>
            <sz val="9"/>
            <color indexed="81"/>
            <rFont val="Tahoma"/>
            <family val="2"/>
          </rPr>
          <t xml:space="preserve">
Digite el nombre de los rubros adicionales.</t>
        </r>
      </text>
    </comment>
    <comment ref="E30" authorId="0" shapeId="0" xr:uid="{00000000-0006-0000-0200-00000C000000}">
      <text>
        <r>
          <rPr>
            <b/>
            <sz val="9"/>
            <color indexed="81"/>
            <rFont val="Tahoma"/>
            <family val="2"/>
          </rPr>
          <t>DARIO MAURICIO REYES GIRALDO:</t>
        </r>
        <r>
          <rPr>
            <sz val="9"/>
            <color indexed="81"/>
            <rFont val="Tahoma"/>
            <family val="2"/>
          </rPr>
          <t xml:space="preserve">
Digite el nombre de los rubros adicionales.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F4" authorId="0" shapeId="0" xr:uid="{00000000-0006-0000-0300-000001000000}">
      <text>
        <r>
          <rPr>
            <b/>
            <sz val="9"/>
            <color indexed="81"/>
            <rFont val="Tahoma"/>
            <family val="2"/>
          </rPr>
          <t>DARIO MAURICIO REYES GIRALDO:</t>
        </r>
        <r>
          <rPr>
            <sz val="9"/>
            <color indexed="81"/>
            <rFont val="Tahoma"/>
            <family val="2"/>
          </rPr>
          <t xml:space="preserve">
Digite la tasa de interés anual a la que un banco les podría prestar esete dinero.</t>
        </r>
      </text>
    </comment>
    <comment ref="J4" authorId="0" shapeId="0" xr:uid="{00000000-0006-0000-0300-000002000000}">
      <text>
        <r>
          <rPr>
            <b/>
            <sz val="9"/>
            <color indexed="81"/>
            <rFont val="Tahoma"/>
            <family val="2"/>
          </rPr>
          <t>DARIO MAURICIO REYES GIRALDO:</t>
        </r>
        <r>
          <rPr>
            <sz val="9"/>
            <color indexed="81"/>
            <rFont val="Tahoma"/>
            <family val="2"/>
          </rPr>
          <t xml:space="preserve">
Escoja un valor entre 1 y 5.</t>
        </r>
      </text>
    </comment>
    <comment ref="C7" authorId="0" shapeId="0" xr:uid="{00000000-0006-0000-0300-000003000000}">
      <text>
        <r>
          <rPr>
            <b/>
            <sz val="9"/>
            <color indexed="81"/>
            <rFont val="Tahoma"/>
            <family val="2"/>
          </rPr>
          <t>DARIO MAURICIO REYES GIRALDO:</t>
        </r>
        <r>
          <rPr>
            <sz val="9"/>
            <color indexed="81"/>
            <rFont val="Tahoma"/>
            <family val="2"/>
          </rPr>
          <t xml:space="preserve">
Este valor debe ser el resultado de la política de Capital de Trabajo, es decir, deben calcular cuantos meses de efectivo  requieren para cubrir estas necesidades, hasta que se recuperen las primeras ventas. Luego el negocio debe ser autosuficiente por si mismo.</t>
        </r>
      </text>
    </comment>
    <comment ref="D15" authorId="0" shapeId="0" xr:uid="{00000000-0006-0000-0300-000004000000}">
      <text>
        <r>
          <rPr>
            <b/>
            <sz val="9"/>
            <color indexed="81"/>
            <rFont val="Tahoma"/>
            <family val="2"/>
          </rPr>
          <t>DARIO MAURICIO REYES GIRALDO:</t>
        </r>
        <r>
          <rPr>
            <sz val="9"/>
            <color indexed="81"/>
            <rFont val="Tahoma"/>
            <family val="2"/>
          </rPr>
          <t xml:space="preserve">
Digitar el valor del aporte realizado por los emprendedores.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DARIO MAURICIO REYES GIRALDO</author>
  </authors>
  <commentList>
    <comment ref="E3" authorId="0" shapeId="0" xr:uid="{00000000-0006-0000-0500-000001000000}">
      <text>
        <r>
          <rPr>
            <b/>
            <sz val="9"/>
            <color indexed="81"/>
            <rFont val="Tahoma"/>
            <family val="2"/>
          </rPr>
          <t>DARIO MAURICIO REYES GIRALDO:</t>
        </r>
        <r>
          <rPr>
            <sz val="9"/>
            <color indexed="81"/>
            <rFont val="Tahoma"/>
            <family val="2"/>
          </rPr>
          <t xml:space="preserve">
Esta es la tasa mínima que usted como emprendedor espera obtener al invertir en este plan de negocio.
Sea justo y realista en su determinación, revise la rentabilidad promedio de las empresas del sector, también tenga en cuenta que usted debe aspirar como mínimo a ganar rentabilidades por encima de las que ofrezcan las inversiones de bajo o cero riesgo, en nuestro caso puede tomar como punto de partida las tasas de los CDT.  A esta tasa le puede sumar la tasa de inflación promedio para los próximos 5 años, estos indicadores los puede consultar en la Página del Banco de la República o En la de estudios económicos de Bancolombia, por último puede sumar un porcentaje adicional debido al riesgo implícito en el tipo de actividad económica que usted como emprendedor piensa desarrollar, para ello consulte la rentabilidad promedio de la Industria. </t>
        </r>
      </text>
    </comment>
    <comment ref="H11" authorId="0" shapeId="0" xr:uid="{00000000-0006-0000-0500-000002000000}">
      <text>
        <r>
          <rPr>
            <b/>
            <sz val="9"/>
            <color indexed="81"/>
            <rFont val="Tahoma"/>
            <family val="2"/>
          </rPr>
          <t>DARIO MAURICIO REYES GIRALDO:</t>
        </r>
        <r>
          <rPr>
            <sz val="9"/>
            <color indexed="81"/>
            <rFont val="Tahoma"/>
            <family val="2"/>
          </rPr>
          <t xml:space="preserve">
Si el resultado es negativo, no es valido!</t>
        </r>
      </text>
    </comment>
  </commentList>
</comments>
</file>

<file path=xl/sharedStrings.xml><?xml version="1.0" encoding="utf-8"?>
<sst xmlns="http://schemas.openxmlformats.org/spreadsheetml/2006/main" count="181" uniqueCount="172">
  <si>
    <t>CANTIDADES</t>
  </si>
  <si>
    <t>INGRESOS TOTALES</t>
  </si>
  <si>
    <t>COSTOS TOTALES</t>
  </si>
  <si>
    <t>NOMBRE DEL PRODUCTO SERVICIO</t>
  </si>
  <si>
    <t>NOMBRE DEL PRODUCTO O SERVICIO</t>
  </si>
  <si>
    <t>INGRESOS/VENTAS DEL PRIMER AÑO</t>
  </si>
  <si>
    <t>COSTOS DE CADA PRODUCTO O SERVICIO</t>
  </si>
  <si>
    <t>PRECIO DE VENTA UNITARIO SIN IVA</t>
  </si>
  <si>
    <t>TOTAL</t>
  </si>
  <si>
    <t>AÑO BASE</t>
  </si>
  <si>
    <t>AÑO</t>
  </si>
  <si>
    <t>AÑO 3</t>
  </si>
  <si>
    <t>CRECIMIENTO PORCENTUAL  EN VTAS (CANTIDADES)</t>
  </si>
  <si>
    <t>AÑO 2</t>
  </si>
  <si>
    <t>INFLACIÓN</t>
  </si>
  <si>
    <t>IPP</t>
  </si>
  <si>
    <t>INCREMENTO EN PRECIO</t>
  </si>
  <si>
    <t>año 2</t>
  </si>
  <si>
    <t>año 3</t>
  </si>
  <si>
    <t>PROYECCIONES</t>
  </si>
  <si>
    <t>VENTAS ANUALES</t>
  </si>
  <si>
    <t>COSTOS ANUALES</t>
  </si>
  <si>
    <t>MARGEN OPERATIVO</t>
  </si>
  <si>
    <t>AÑO 4</t>
  </si>
  <si>
    <t>AÑO 5</t>
  </si>
  <si>
    <t>año 4</t>
  </si>
  <si>
    <t>año 5</t>
  </si>
  <si>
    <t>AÑO:</t>
  </si>
  <si>
    <t>NÓMINAS:</t>
  </si>
  <si>
    <t>ADMINISTRATIVA:</t>
  </si>
  <si>
    <t>VALOR AÑO 1</t>
  </si>
  <si>
    <t>VENTAS</t>
  </si>
  <si>
    <t>VENTAS:</t>
  </si>
  <si>
    <t>GASTOS FIJOS</t>
  </si>
  <si>
    <t>GASTOS FIJOS:</t>
  </si>
  <si>
    <t>SERVICIOS PÚBLICOS:</t>
  </si>
  <si>
    <t>TELEFONÍA CELULAR:</t>
  </si>
  <si>
    <t>INTERNET:</t>
  </si>
  <si>
    <t>PAPELERÍA:</t>
  </si>
  <si>
    <t>SERVICIOS DE SEGURIDAD:</t>
  </si>
  <si>
    <t>SERVICIOS DE ASEO:</t>
  </si>
  <si>
    <t>TOTAL GASTOS FIJOS</t>
  </si>
  <si>
    <t>INCLUYA EN CADA CATEGORÍA LOS COSTOS Y GASTOS FIJOS DEL PRIMER AÑO, EN LOS QUE DEBERÁN INCURRRIR PARA LA OPERACIÓN DEL NEGOCIO</t>
  </si>
  <si>
    <t>TERRENOS</t>
  </si>
  <si>
    <t>MUEBLES Y ENSERES</t>
  </si>
  <si>
    <t>EQUIPO DE OFICINA</t>
  </si>
  <si>
    <t>PROPIEDAD PLANTA Y EQUIPO</t>
  </si>
  <si>
    <t>EQUIPO DE TRANSPORTE</t>
  </si>
  <si>
    <t>FRANQUICIAS</t>
  </si>
  <si>
    <t>GASTOS DE PUESTA EN MARCHA</t>
  </si>
  <si>
    <t>TOTAL INVERSIONES</t>
  </si>
  <si>
    <t>INVERSIÓN INICIAL</t>
  </si>
  <si>
    <t>CALCULO DEL CAPITAL DE TRABAJO INICIAL</t>
  </si>
  <si>
    <t>COSTOS OPERATIVOS</t>
  </si>
  <si>
    <t>MESES</t>
  </si>
  <si>
    <t>VALOR</t>
  </si>
  <si>
    <t>TOTAL NÓMINAS</t>
  </si>
  <si>
    <t>NÓMINAS</t>
  </si>
  <si>
    <t>MARKETING MIX</t>
  </si>
  <si>
    <t>TOTAL INVERSIÓN</t>
  </si>
  <si>
    <t>APORTE DE LOS EMPRENDEDORES</t>
  </si>
  <si>
    <t>PRÉSTAMO A SOLICITAR</t>
  </si>
  <si>
    <t>TASA DE INT ANUAL CRÉDITO</t>
  </si>
  <si>
    <t>AÑOS</t>
  </si>
  <si>
    <t>BALANCE</t>
  </si>
  <si>
    <t xml:space="preserve">ACTIVO </t>
  </si>
  <si>
    <t>COSTO VENTAS</t>
  </si>
  <si>
    <t>UTILIDAD BRUTA</t>
  </si>
  <si>
    <t>GASTOS ADTIVOS Y VTAS</t>
  </si>
  <si>
    <t>OTROS GASTOS</t>
  </si>
  <si>
    <t>UTILIDAD OPERATIVA</t>
  </si>
  <si>
    <t>GASTOS FINACIEROS</t>
  </si>
  <si>
    <t>UTILIDAD ANTES DE IMPTOS</t>
  </si>
  <si>
    <t>IMPUESTOS</t>
  </si>
  <si>
    <t>UTILIDAD NETA</t>
  </si>
  <si>
    <t>PASIVO</t>
  </si>
  <si>
    <t>Impuestos X Pagar</t>
  </si>
  <si>
    <t>TOTAL PASIVO CORRIENTE</t>
  </si>
  <si>
    <t>Obligaciones Financieras</t>
  </si>
  <si>
    <t>PATRIMONIO</t>
  </si>
  <si>
    <t>Capital Social</t>
  </si>
  <si>
    <t>Utilidades del Ejercicio</t>
  </si>
  <si>
    <t>TOTAL PATRIMONIO</t>
  </si>
  <si>
    <t>TOTAL PAS + PAT</t>
  </si>
  <si>
    <t>AÑO 0</t>
  </si>
  <si>
    <t>TOTAL ACTIVO</t>
  </si>
  <si>
    <t>DEPRECIACIÓN</t>
  </si>
  <si>
    <t>DEPRECIACIÓN ACUMULADA</t>
  </si>
  <si>
    <t>ACTIVO FIJO NETO</t>
  </si>
  <si>
    <t>ESTADO DE RESULTADOS</t>
  </si>
  <si>
    <t>CUADRE (ACT = PAS+PAT)</t>
  </si>
  <si>
    <t>TASA IMPTO RENTA</t>
  </si>
  <si>
    <t>DEP</t>
  </si>
  <si>
    <t>FIJO NO DEPRECIABLE</t>
  </si>
  <si>
    <t>FIJO DEPRECIABLE</t>
  </si>
  <si>
    <t>CAJA/BANCOS</t>
  </si>
  <si>
    <t>FLUJO DE CAJA DEL PROYECTO:</t>
  </si>
  <si>
    <t>CAPITAL INVERTIDO</t>
  </si>
  <si>
    <t>Activos Corrientes</t>
  </si>
  <si>
    <t>Pasivos Corrientes</t>
  </si>
  <si>
    <t>KTNO</t>
  </si>
  <si>
    <t>Activo Fijo Neto</t>
  </si>
  <si>
    <t>Depreciación Acumulada</t>
  </si>
  <si>
    <t>Activo Fijo Bruto</t>
  </si>
  <si>
    <t>Total Capital Operativo Neto</t>
  </si>
  <si>
    <t>CALCULO DEL FLUJO DE CAJA LIBRE</t>
  </si>
  <si>
    <t>EBIT</t>
  </si>
  <si>
    <t>Impuestos</t>
  </si>
  <si>
    <t>NOPLAT</t>
  </si>
  <si>
    <t>Inversión Neta</t>
  </si>
  <si>
    <t>Flujo de Caja Libre del periódo</t>
  </si>
  <si>
    <t>FLUJO DE CAJA DE PROYECTO</t>
  </si>
  <si>
    <t>INVERSIÓN AÑO 0</t>
  </si>
  <si>
    <t>VALOR PRESENTE NETO DEL PROYECTO =</t>
  </si>
  <si>
    <t>TASA INTERNA DE RETORNO =</t>
  </si>
  <si>
    <t>INVERSIÓN TOTAL Y NECESIDADES DE FINANCIACIÓN</t>
  </si>
  <si>
    <t xml:space="preserve">CALCULO DEL PRÉSTAMO </t>
  </si>
  <si>
    <t>ESTADOS FINANCIEROS BÁSICOS PROYECTADOS</t>
  </si>
  <si>
    <t>PUNTO DE EQULIBRIO</t>
  </si>
  <si>
    <t>MARGEN DE CONTRIBUCIÓN UNITARIO</t>
  </si>
  <si>
    <t>PARTICIPACIÓN % EN VENTAS TOTALES</t>
  </si>
  <si>
    <t>MARGEN DE CONTRIBUCIÓN PONDERADO</t>
  </si>
  <si>
    <t>UNIDADES</t>
  </si>
  <si>
    <t>PTO EQUILIBRIO POR REFERENCIA DE PDTO O SERVICIO</t>
  </si>
  <si>
    <t>COSTOS FIJO</t>
  </si>
  <si>
    <t>INGRESOS</t>
  </si>
  <si>
    <t>COSTO TOTAL</t>
  </si>
  <si>
    <t>COSTO</t>
  </si>
  <si>
    <t>COSTO VAR</t>
  </si>
  <si>
    <t>PUNTO DE EQULIBRIO = COSTOS Y GTOS FIJO/MCPP    =</t>
  </si>
  <si>
    <t>TOTAL MARGEN DE CONTRIBUCIÓN PROMEDIO PONDERADO  =</t>
  </si>
  <si>
    <t>EVALUACIÓN FINANCIERA Y PUNTO DE EQULIBRIO</t>
  </si>
  <si>
    <t>Todos los datos de los Estados financieros se generan de forma automática.</t>
  </si>
  <si>
    <t>DEFINA LA INVERISIÓN INICIAL QUE REALIZARÁN PARA LA PUESTA EN MARCHA DEL NEGOCIO:</t>
  </si>
  <si>
    <t>GASTOS FIJOS DEL PERIODO</t>
  </si>
  <si>
    <t>TUTORIAL</t>
  </si>
  <si>
    <t>PERIODO DE RECUPERACIÓN:</t>
  </si>
  <si>
    <r>
      <t xml:space="preserve">COSTO UNITARIO DEL PDTO O </t>
    </r>
    <r>
      <rPr>
        <b/>
        <u/>
        <sz val="8"/>
        <color theme="1"/>
        <rFont val="Antique Olive"/>
      </rPr>
      <t>SERVICIO</t>
    </r>
  </si>
  <si>
    <t>PRODUCCIÓN/SERVICIO:</t>
  </si>
  <si>
    <t>ARRIENDO:</t>
  </si>
  <si>
    <t>polizas de seguro</t>
  </si>
  <si>
    <t>Outsourcing</t>
  </si>
  <si>
    <t>PATENTES /INV en INTANGIBLES</t>
  </si>
  <si>
    <t>PRESUPUESTO DEL MARKETING MIX año de INICIO.</t>
  </si>
  <si>
    <t>GASTO PUBLICITARIO AÑOS SIGUIENTES</t>
  </si>
  <si>
    <t>inicial</t>
  </si>
  <si>
    <t>interés</t>
  </si>
  <si>
    <t>amort</t>
  </si>
  <si>
    <t>cuota</t>
  </si>
  <si>
    <t>final</t>
  </si>
  <si>
    <t>AÑOS DE CRÉDITO</t>
  </si>
  <si>
    <t xml:space="preserve">PRECIOS </t>
  </si>
  <si>
    <t>TOTAL VENTAS</t>
  </si>
  <si>
    <t>PUNTO DE EQULIBRIO EN PESOS (VALOR VENTAS MÍNIMAS EN TOTAL SIN IVA)</t>
  </si>
  <si>
    <t>PASIVO /ACTIVOS</t>
  </si>
  <si>
    <t>PATRIMONIO/ACTIVOS</t>
  </si>
  <si>
    <t>IMPTO</t>
  </si>
  <si>
    <t>COSTO DEUDA</t>
  </si>
  <si>
    <t>TASA M R EMPRENDEDORES</t>
  </si>
  <si>
    <t>TASA DE EVALUACIÓN DEL PROYECTO</t>
  </si>
  <si>
    <t>web hosting</t>
  </si>
  <si>
    <t xml:space="preserve"> </t>
  </si>
  <si>
    <t>Diagnóstico de madurez analítica</t>
  </si>
  <si>
    <t>Implementación de dashboards</t>
  </si>
  <si>
    <t>Automatización de reportes</t>
  </si>
  <si>
    <t>Auditoría de calidad de datos</t>
  </si>
  <si>
    <t>Gobierno de datos</t>
  </si>
  <si>
    <t>Arquitectura de datos</t>
  </si>
  <si>
    <t>Modelo predictivo básico</t>
  </si>
  <si>
    <t>Curso alfabetización en datos</t>
  </si>
  <si>
    <t>Pack visualizaciones estándar</t>
  </si>
  <si>
    <t>Segmentación de clientes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</si>
</sst>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3" formatCode="_(* #,##0.00_);_(* \(#,##0.00\);_(* &quot;-&quot;??_);_(@_)"/>
    <numFmt numFmtId="164" formatCode="&quot;$&quot;#,##0.00;[Red]\-&quot;$&quot;#,##0.00"/>
    <numFmt numFmtId="165" formatCode="&quot;$&quot;\ #,##0.00_);[Red]\(&quot;$&quot;\ #,##0.00\)"/>
    <numFmt numFmtId="166" formatCode="_(&quot;$&quot;\ * #,##0.00_);_(&quot;$&quot;\ * \(#,##0.00\);_(&quot;$&quot;\ * &quot;-&quot;??_);_(@_)"/>
    <numFmt numFmtId="167" formatCode="_(&quot;$&quot;\ * #,##0.0_);_(&quot;$&quot;\ * \(#,##0.0\);_(&quot;$&quot;\ * &quot;-&quot;??_);_(@_)"/>
    <numFmt numFmtId="168" formatCode="_(&quot;$&quot;\ * #,##0_);_(&quot;$&quot;\ * \(#,##0\);_(&quot;$&quot;\ * &quot;-&quot;??_);_(@_)"/>
    <numFmt numFmtId="169" formatCode="0.0%"/>
    <numFmt numFmtId="170" formatCode="_([$$-240A]\ * #,##0.00_);_([$$-240A]\ * \(#,##0.00\);_([$$-240A]\ * &quot;-&quot;??_);_(@_)"/>
    <numFmt numFmtId="171" formatCode="_(&quot;$&quot;\ * #,##0.00000_);_(&quot;$&quot;\ * \(#,##0.00000\);_(&quot;$&quot;\ * &quot;-&quot;??_);_(@_)"/>
    <numFmt numFmtId="172" formatCode="_ &quot;$&quot;\ * #,##0_ ;_ &quot;$&quot;\ * \-#,##0_ ;_ &quot;$&quot;\ * &quot;-&quot;??_ ;_ @_ "/>
    <numFmt numFmtId="173" formatCode="_(&quot;$&quot;\ * #,##0.0_);_(&quot;$&quot;\ * \(#,##0.0\);_(&quot;$&quot;\ * &quot;-&quot;?_);_(@_)"/>
    <numFmt numFmtId="174" formatCode="_(* #,##0_);_(* \(#,##0\);_(* &quot;-&quot;??_);_(@_)"/>
    <numFmt numFmtId="175" formatCode="_ &quot;$&quot;\ * #,##0.0_ ;_ &quot;$&quot;\ * \-#,##0.0_ ;_ &quot;$&quot;\ * &quot;-&quot;??_ ;_ @_ "/>
    <numFmt numFmtId="176" formatCode="_(* #,##0.0_);_(* \(#,##0.0\);_(* &quot;-&quot;??_);_(@_)"/>
    <numFmt numFmtId="177" formatCode="_ * #,##0.00_ ;_ * \-#,##0.00_ ;_ * &quot;-&quot;??_ ;_ @_ "/>
    <numFmt numFmtId="178" formatCode="&quot;$&quot;#,##0.00"/>
    <numFmt numFmtId="179" formatCode="_-&quot;$&quot;* #,##0.0_-;\-&quot;$&quot;* #,##0.0_-;_-&quot;$&quot;* &quot;-&quot;??_-;_-@_-"/>
  </numFmts>
  <fonts count="54">
    <font>
      <sz val="11"/>
      <color theme="1"/>
      <name val="Calibri"/>
      <family val="2"/>
      <scheme val="minor"/>
    </font>
    <font>
      <sz val="11"/>
      <color theme="1"/>
      <name val="Calibri"/>
      <family val="2"/>
      <scheme val="minor"/>
    </font>
    <font>
      <b/>
      <sz val="11"/>
      <color theme="1"/>
      <name val="Calibri"/>
      <family val="2"/>
      <scheme val="minor"/>
    </font>
    <font>
      <b/>
      <sz val="11"/>
      <color theme="1"/>
      <name val="Aharoni"/>
    </font>
    <font>
      <sz val="11"/>
      <color theme="1"/>
      <name val="Aharoni"/>
    </font>
    <font>
      <b/>
      <sz val="8"/>
      <color theme="1"/>
      <name val="Antique Olive"/>
      <family val="2"/>
    </font>
    <font>
      <sz val="11"/>
      <color theme="1"/>
      <name val="Arial"/>
      <family val="2"/>
    </font>
    <font>
      <b/>
      <sz val="11"/>
      <color theme="1"/>
      <name val="Arial"/>
      <family val="2"/>
    </font>
    <font>
      <sz val="18"/>
      <color theme="1"/>
      <name val="Aharoni"/>
    </font>
    <font>
      <sz val="20"/>
      <color theme="1"/>
      <name val="Aharoni"/>
    </font>
    <font>
      <b/>
      <sz val="10"/>
      <color theme="1"/>
      <name val="Aharoni"/>
    </font>
    <font>
      <b/>
      <sz val="12"/>
      <color theme="1"/>
      <name val="Aharoni"/>
    </font>
    <font>
      <b/>
      <sz val="14"/>
      <color theme="1"/>
      <name val="Aharoni"/>
    </font>
    <font>
      <b/>
      <sz val="18"/>
      <color theme="1"/>
      <name val="Aharoni"/>
    </font>
    <font>
      <sz val="9"/>
      <color indexed="81"/>
      <name val="Tahoma"/>
      <family val="2"/>
    </font>
    <font>
      <b/>
      <sz val="9"/>
      <color indexed="81"/>
      <name val="Tahoma"/>
      <family val="2"/>
    </font>
    <font>
      <sz val="10"/>
      <color theme="1"/>
      <name val="Aharoni"/>
    </font>
    <font>
      <sz val="9"/>
      <color theme="1"/>
      <name val="Arial"/>
      <family val="2"/>
    </font>
    <font>
      <sz val="11"/>
      <color theme="0"/>
      <name val="Calibri"/>
      <family val="2"/>
      <scheme val="minor"/>
    </font>
    <font>
      <b/>
      <sz val="9"/>
      <color theme="1"/>
      <name val="Aharoni"/>
    </font>
    <font>
      <sz val="10"/>
      <name val="Arial"/>
      <family val="2"/>
    </font>
    <font>
      <b/>
      <sz val="12"/>
      <color theme="1"/>
      <name val="Calibri"/>
      <family val="2"/>
      <scheme val="minor"/>
    </font>
    <font>
      <b/>
      <sz val="14"/>
      <color theme="1"/>
      <name val="Calibri"/>
      <family val="2"/>
      <scheme val="minor"/>
    </font>
    <font>
      <sz val="14"/>
      <color theme="1"/>
      <name val="Aharoni"/>
    </font>
    <font>
      <b/>
      <sz val="10"/>
      <name val="Arial"/>
      <family val="2"/>
    </font>
    <font>
      <sz val="11"/>
      <name val="Arial"/>
      <family val="2"/>
    </font>
    <font>
      <b/>
      <sz val="11"/>
      <name val="Arial"/>
      <family val="2"/>
    </font>
    <font>
      <sz val="10"/>
      <color theme="1"/>
      <name val="Arial"/>
      <family val="2"/>
    </font>
    <font>
      <b/>
      <sz val="9"/>
      <name val="Arial"/>
      <family val="2"/>
    </font>
    <font>
      <sz val="11"/>
      <color theme="0"/>
      <name val="Arial"/>
      <family val="2"/>
    </font>
    <font>
      <sz val="18"/>
      <color theme="0"/>
      <name val="Aharoni"/>
    </font>
    <font>
      <sz val="12"/>
      <color theme="0"/>
      <name val="Aharoni"/>
    </font>
    <font>
      <sz val="12"/>
      <color theme="1"/>
      <name val="Aharoni"/>
    </font>
    <font>
      <b/>
      <sz val="12"/>
      <color rgb="FFFF0000"/>
      <name val="Calibri"/>
      <family val="2"/>
      <scheme val="minor"/>
    </font>
    <font>
      <sz val="9"/>
      <color theme="1"/>
      <name val="Aharoni"/>
    </font>
    <font>
      <b/>
      <sz val="20"/>
      <color theme="1"/>
      <name val="Aharoni"/>
    </font>
    <font>
      <u/>
      <sz val="11"/>
      <color theme="10"/>
      <name val="Calibri"/>
      <family val="2"/>
      <scheme val="minor"/>
    </font>
    <font>
      <u/>
      <sz val="16"/>
      <color rgb="FF0070C0"/>
      <name val="Arial"/>
      <family val="2"/>
    </font>
    <font>
      <b/>
      <sz val="16"/>
      <color theme="1"/>
      <name val="Calibri"/>
      <family val="2"/>
      <scheme val="minor"/>
    </font>
    <font>
      <b/>
      <sz val="18"/>
      <color theme="1"/>
      <name val="Calibri"/>
      <family val="2"/>
      <scheme val="minor"/>
    </font>
    <font>
      <sz val="22"/>
      <color theme="1"/>
      <name val="Aharoni"/>
    </font>
    <font>
      <b/>
      <sz val="12"/>
      <color theme="1"/>
      <name val="Aharoni"/>
    </font>
    <font>
      <sz val="14"/>
      <color theme="1"/>
      <name val="Calibri"/>
      <family val="2"/>
      <scheme val="minor"/>
    </font>
    <font>
      <b/>
      <sz val="16"/>
      <color theme="0"/>
      <name val="Arial"/>
      <family val="2"/>
    </font>
    <font>
      <b/>
      <u/>
      <sz val="8"/>
      <color theme="1"/>
      <name val="Antique Olive"/>
    </font>
    <font>
      <b/>
      <sz val="8"/>
      <color theme="1"/>
      <name val="Antique Olive"/>
    </font>
    <font>
      <b/>
      <sz val="11"/>
      <color theme="1"/>
      <name val="Aharoni"/>
    </font>
    <font>
      <b/>
      <sz val="9"/>
      <color theme="1"/>
      <name val="Aharoni"/>
    </font>
    <font>
      <sz val="10"/>
      <color theme="1"/>
      <name val="Aharoni"/>
    </font>
    <font>
      <b/>
      <sz val="16"/>
      <color theme="1"/>
      <name val="Arial"/>
      <family val="2"/>
    </font>
    <font>
      <b/>
      <sz val="8"/>
      <color theme="1"/>
      <name val="Aharoni"/>
    </font>
    <font>
      <sz val="11"/>
      <color rgb="FFFF0000"/>
      <name val="Calibri"/>
      <family val="2"/>
      <scheme val="minor"/>
    </font>
    <font>
      <b/>
      <sz val="11"/>
      <color theme="0"/>
      <name val="Calibri"/>
      <family val="2"/>
      <scheme val="minor"/>
    </font>
    <font>
      <b/>
      <sz val="11"/>
      <color theme="0"/>
      <name val="Aharoni"/>
    </font>
  </fonts>
  <fills count="8">
    <fill>
      <patternFill patternType="none"/>
    </fill>
    <fill>
      <patternFill patternType="gray125"/>
    </fill>
    <fill>
      <patternFill patternType="solid">
        <fgColor rgb="FF92D050"/>
        <bgColor indexed="64"/>
      </patternFill>
    </fill>
    <fill>
      <patternFill patternType="solid">
        <fgColor theme="6" tint="0.59999389629810485"/>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3"/>
        <bgColor indexed="64"/>
      </patternFill>
    </fill>
    <fill>
      <patternFill patternType="solid">
        <fgColor rgb="FFFFFF00"/>
        <bgColor indexed="64"/>
      </patternFill>
    </fill>
  </fills>
  <borders count="17">
    <border>
      <left/>
      <right/>
      <top/>
      <bottom/>
      <diagonal/>
    </border>
    <border>
      <left/>
      <right/>
      <top style="thin">
        <color indexed="64"/>
      </top>
      <bottom style="double">
        <color indexed="64"/>
      </bottom>
      <diagonal/>
    </border>
    <border>
      <left/>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7">
    <xf numFmtId="0" fontId="0" fillId="0" borderId="0"/>
    <xf numFmtId="166" fontId="1" fillId="0" borderId="0" applyFont="0" applyFill="0" applyBorder="0" applyAlignment="0" applyProtection="0"/>
    <xf numFmtId="9" fontId="1" fillId="0" borderId="0" applyFont="0" applyFill="0" applyBorder="0" applyAlignment="0" applyProtection="0"/>
    <xf numFmtId="43" fontId="20" fillId="0" borderId="0" applyFont="0" applyFill="0" applyBorder="0" applyAlignment="0" applyProtection="0"/>
    <xf numFmtId="43" fontId="1" fillId="0" borderId="0" applyFont="0" applyFill="0" applyBorder="0" applyAlignment="0" applyProtection="0"/>
    <xf numFmtId="0" fontId="36" fillId="0" borderId="0" applyNumberFormat="0" applyFill="0" applyBorder="0" applyAlignment="0" applyProtection="0"/>
    <xf numFmtId="0" fontId="20" fillId="0" borderId="0"/>
  </cellStyleXfs>
  <cellXfs count="164">
    <xf numFmtId="0" fontId="0" fillId="0" borderId="0" xfId="0"/>
    <xf numFmtId="0" fontId="25" fillId="0" borderId="0" xfId="0" applyFont="1" applyProtection="1">
      <protection hidden="1"/>
    </xf>
    <xf numFmtId="172" fontId="0" fillId="0" borderId="0" xfId="1" applyNumberFormat="1" applyFont="1" applyFill="1" applyProtection="1">
      <protection hidden="1"/>
    </xf>
    <xf numFmtId="172" fontId="0" fillId="0" borderId="7" xfId="1" applyNumberFormat="1" applyFont="1" applyFill="1" applyBorder="1" applyProtection="1">
      <protection hidden="1"/>
    </xf>
    <xf numFmtId="0" fontId="26" fillId="0" borderId="0" xfId="0" applyFont="1" applyProtection="1">
      <protection hidden="1"/>
    </xf>
    <xf numFmtId="172" fontId="24" fillId="0" borderId="0" xfId="1" applyNumberFormat="1" applyFont="1" applyFill="1" applyProtection="1">
      <protection hidden="1"/>
    </xf>
    <xf numFmtId="172" fontId="24" fillId="0" borderId="1" xfId="1" applyNumberFormat="1" applyFont="1" applyFill="1" applyBorder="1" applyProtection="1">
      <protection hidden="1"/>
    </xf>
    <xf numFmtId="174" fontId="20" fillId="0" borderId="0" xfId="3" applyNumberFormat="1" applyFont="1" applyFill="1" applyProtection="1">
      <protection hidden="1"/>
    </xf>
    <xf numFmtId="0" fontId="0" fillId="0" borderId="0" xfId="0" applyProtection="1">
      <protection hidden="1"/>
    </xf>
    <xf numFmtId="175" fontId="0" fillId="0" borderId="0" xfId="1" applyNumberFormat="1" applyFont="1" applyFill="1" applyProtection="1">
      <protection hidden="1"/>
    </xf>
    <xf numFmtId="175" fontId="0" fillId="0" borderId="7" xfId="1" applyNumberFormat="1" applyFont="1" applyFill="1" applyBorder="1" applyProtection="1">
      <protection hidden="1"/>
    </xf>
    <xf numFmtId="174" fontId="27" fillId="0" borderId="0" xfId="3" applyNumberFormat="1" applyFont="1" applyFill="1" applyBorder="1" applyProtection="1">
      <protection hidden="1"/>
    </xf>
    <xf numFmtId="0" fontId="28" fillId="0" borderId="0" xfId="0" applyFont="1" applyProtection="1">
      <protection hidden="1"/>
    </xf>
    <xf numFmtId="0" fontId="29" fillId="4" borderId="0" xfId="0" applyFont="1" applyFill="1" applyProtection="1">
      <protection locked="0"/>
    </xf>
    <xf numFmtId="166" fontId="29" fillId="4" borderId="0" xfId="1" applyFont="1" applyFill="1" applyProtection="1">
      <protection locked="0"/>
    </xf>
    <xf numFmtId="0" fontId="31" fillId="6" borderId="0" xfId="0" applyFont="1" applyFill="1" applyProtection="1">
      <protection hidden="1"/>
    </xf>
    <xf numFmtId="0" fontId="4" fillId="0" borderId="0" xfId="0" applyFont="1" applyProtection="1">
      <protection hidden="1"/>
    </xf>
    <xf numFmtId="0" fontId="5" fillId="0" borderId="0" xfId="0" applyFont="1" applyAlignment="1" applyProtection="1">
      <alignment wrapText="1"/>
      <protection hidden="1"/>
    </xf>
    <xf numFmtId="0" fontId="5" fillId="0" borderId="0" xfId="0" applyFont="1" applyAlignment="1" applyProtection="1">
      <alignment vertical="center" wrapText="1"/>
      <protection hidden="1"/>
    </xf>
    <xf numFmtId="0" fontId="12" fillId="0" borderId="0" xfId="0" applyFont="1" applyAlignment="1" applyProtection="1">
      <alignment horizontal="right"/>
      <protection hidden="1"/>
    </xf>
    <xf numFmtId="0" fontId="13" fillId="3" borderId="0" xfId="0" applyFont="1" applyFill="1" applyAlignment="1" applyProtection="1">
      <alignment wrapText="1"/>
      <protection hidden="1"/>
    </xf>
    <xf numFmtId="0" fontId="7" fillId="0" borderId="0" xfId="0" applyFont="1" applyAlignment="1" applyProtection="1">
      <alignment horizontal="center"/>
      <protection hidden="1"/>
    </xf>
    <xf numFmtId="168" fontId="6" fillId="0" borderId="0" xfId="1" applyNumberFormat="1" applyFont="1" applyProtection="1">
      <protection hidden="1"/>
    </xf>
    <xf numFmtId="9" fontId="0" fillId="0" borderId="0" xfId="2" applyFont="1" applyAlignment="1" applyProtection="1">
      <alignment horizontal="center"/>
      <protection hidden="1"/>
    </xf>
    <xf numFmtId="168" fontId="0" fillId="0" borderId="0" xfId="1" applyNumberFormat="1" applyFont="1" applyProtection="1">
      <protection hidden="1"/>
    </xf>
    <xf numFmtId="166" fontId="0" fillId="0" borderId="0" xfId="1" applyFont="1" applyProtection="1">
      <protection hidden="1"/>
    </xf>
    <xf numFmtId="166" fontId="0" fillId="0" borderId="0" xfId="0" applyNumberFormat="1" applyProtection="1">
      <protection hidden="1"/>
    </xf>
    <xf numFmtId="0" fontId="12" fillId="0" borderId="4" xfId="0" applyFont="1" applyBorder="1" applyProtection="1">
      <protection hidden="1"/>
    </xf>
    <xf numFmtId="0" fontId="13" fillId="0" borderId="5" xfId="0" applyFont="1" applyBorder="1" applyAlignment="1" applyProtection="1">
      <alignment horizontal="center"/>
      <protection hidden="1"/>
    </xf>
    <xf numFmtId="0" fontId="13" fillId="0" borderId="6" xfId="0" applyFont="1" applyBorder="1" applyAlignment="1" applyProtection="1">
      <alignment horizontal="center"/>
      <protection hidden="1"/>
    </xf>
    <xf numFmtId="0" fontId="3" fillId="0" borderId="4" xfId="0" applyFont="1" applyBorder="1" applyProtection="1">
      <protection hidden="1"/>
    </xf>
    <xf numFmtId="0" fontId="0" fillId="0" borderId="5" xfId="0" applyBorder="1" applyProtection="1">
      <protection hidden="1"/>
    </xf>
    <xf numFmtId="0" fontId="0" fillId="0" borderId="6" xfId="0" applyBorder="1" applyProtection="1">
      <protection hidden="1"/>
    </xf>
    <xf numFmtId="168" fontId="7" fillId="5" borderId="0" xfId="0" applyNumberFormat="1" applyFont="1" applyFill="1" applyProtection="1">
      <protection hidden="1"/>
    </xf>
    <xf numFmtId="9" fontId="7" fillId="5" borderId="0" xfId="2" applyFont="1" applyFill="1" applyAlignment="1" applyProtection="1">
      <alignment horizontal="center"/>
      <protection hidden="1"/>
    </xf>
    <xf numFmtId="166" fontId="2" fillId="0" borderId="0" xfId="0" applyNumberFormat="1" applyFont="1" applyProtection="1">
      <protection hidden="1"/>
    </xf>
    <xf numFmtId="168" fontId="0" fillId="0" borderId="0" xfId="0" applyNumberFormat="1" applyProtection="1">
      <protection hidden="1"/>
    </xf>
    <xf numFmtId="0" fontId="5"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center"/>
      <protection hidden="1"/>
    </xf>
    <xf numFmtId="170" fontId="0" fillId="0" borderId="0" xfId="0" applyNumberFormat="1" applyProtection="1">
      <protection hidden="1"/>
    </xf>
    <xf numFmtId="49" fontId="6" fillId="0" borderId="0" xfId="0" applyNumberFormat="1" applyFont="1" applyProtection="1">
      <protection hidden="1"/>
    </xf>
    <xf numFmtId="0" fontId="11" fillId="0" borderId="0" xfId="0" applyFont="1" applyProtection="1">
      <protection hidden="1"/>
    </xf>
    <xf numFmtId="0" fontId="9" fillId="0" borderId="0" xfId="0" applyFont="1" applyAlignment="1" applyProtection="1">
      <alignment horizontal="center"/>
      <protection hidden="1"/>
    </xf>
    <xf numFmtId="0" fontId="9" fillId="0" borderId="0" xfId="0" applyFont="1" applyProtection="1">
      <protection hidden="1"/>
    </xf>
    <xf numFmtId="0" fontId="17" fillId="0" borderId="0" xfId="0" applyFont="1" applyProtection="1">
      <protection hidden="1"/>
    </xf>
    <xf numFmtId="167" fontId="6" fillId="0" borderId="0" xfId="1" applyNumberFormat="1" applyFont="1" applyProtection="1">
      <protection hidden="1"/>
    </xf>
    <xf numFmtId="167" fontId="6" fillId="0" borderId="0" xfId="0" applyNumberFormat="1" applyFont="1" applyProtection="1">
      <protection hidden="1"/>
    </xf>
    <xf numFmtId="0" fontId="16" fillId="0" borderId="0" xfId="0" applyFont="1" applyProtection="1">
      <protection hidden="1"/>
    </xf>
    <xf numFmtId="0" fontId="30" fillId="6" borderId="0" xfId="0" applyFont="1" applyFill="1" applyProtection="1">
      <protection locked="0"/>
    </xf>
    <xf numFmtId="169" fontId="30" fillId="6" borderId="0" xfId="2" applyNumberFormat="1" applyFont="1" applyFill="1" applyBorder="1" applyProtection="1">
      <protection locked="0"/>
    </xf>
    <xf numFmtId="169" fontId="30" fillId="6" borderId="3" xfId="2" applyNumberFormat="1" applyFont="1" applyFill="1" applyBorder="1" applyProtection="1">
      <protection locked="0"/>
    </xf>
    <xf numFmtId="169" fontId="30" fillId="6" borderId="5" xfId="2" applyNumberFormat="1" applyFont="1" applyFill="1" applyBorder="1" applyProtection="1">
      <protection locked="0"/>
    </xf>
    <xf numFmtId="43" fontId="29" fillId="4" borderId="0" xfId="4" applyFont="1" applyFill="1" applyProtection="1">
      <protection locked="0"/>
    </xf>
    <xf numFmtId="176" fontId="29" fillId="4" borderId="0" xfId="4" applyNumberFormat="1" applyFont="1" applyFill="1" applyAlignment="1" applyProtection="1">
      <alignment horizontal="center"/>
      <protection locked="0"/>
    </xf>
    <xf numFmtId="166" fontId="29" fillId="4" borderId="0" xfId="1" applyFont="1" applyFill="1" applyAlignment="1" applyProtection="1">
      <alignment horizontal="center"/>
      <protection locked="0"/>
    </xf>
    <xf numFmtId="0" fontId="13" fillId="0" borderId="0" xfId="0" applyFont="1" applyAlignment="1" applyProtection="1">
      <alignment horizontal="center" vertical="center"/>
      <protection hidden="1"/>
    </xf>
    <xf numFmtId="0" fontId="26" fillId="5" borderId="0" xfId="0" applyFont="1" applyFill="1" applyProtection="1">
      <protection hidden="1"/>
    </xf>
    <xf numFmtId="0" fontId="0" fillId="5" borderId="0" xfId="0" applyFill="1" applyProtection="1">
      <protection hidden="1"/>
    </xf>
    <xf numFmtId="172" fontId="24" fillId="5" borderId="1" xfId="1" applyNumberFormat="1" applyFont="1" applyFill="1" applyBorder="1" applyProtection="1">
      <protection hidden="1"/>
    </xf>
    <xf numFmtId="0" fontId="8" fillId="0" borderId="0" xfId="0" applyFont="1" applyAlignment="1" applyProtection="1">
      <alignment horizontal="center" vertical="center"/>
      <protection hidden="1"/>
    </xf>
    <xf numFmtId="167" fontId="0" fillId="0" borderId="0" xfId="1" applyNumberFormat="1" applyFont="1" applyProtection="1">
      <protection hidden="1"/>
    </xf>
    <xf numFmtId="0" fontId="2" fillId="0" borderId="1" xfId="0" applyFont="1" applyBorder="1" applyProtection="1">
      <protection hidden="1"/>
    </xf>
    <xf numFmtId="167" fontId="0" fillId="0" borderId="1" xfId="0" applyNumberFormat="1" applyBorder="1" applyProtection="1">
      <protection hidden="1"/>
    </xf>
    <xf numFmtId="173" fontId="0" fillId="0" borderId="1" xfId="0" applyNumberFormat="1" applyBorder="1" applyProtection="1">
      <protection hidden="1"/>
    </xf>
    <xf numFmtId="173" fontId="0" fillId="0" borderId="0" xfId="0" applyNumberFormat="1" applyProtection="1">
      <protection hidden="1"/>
    </xf>
    <xf numFmtId="0" fontId="2" fillId="0" borderId="2" xfId="0" applyFont="1" applyBorder="1" applyProtection="1">
      <protection hidden="1"/>
    </xf>
    <xf numFmtId="173" fontId="2" fillId="0" borderId="2" xfId="0" applyNumberFormat="1" applyFont="1" applyBorder="1" applyProtection="1">
      <protection hidden="1"/>
    </xf>
    <xf numFmtId="0" fontId="23" fillId="0" borderId="0" xfId="0" applyFont="1" applyAlignment="1" applyProtection="1">
      <alignment horizontal="center" vertical="center"/>
      <protection hidden="1"/>
    </xf>
    <xf numFmtId="166" fontId="2" fillId="0" borderId="1" xfId="0" applyNumberFormat="1" applyFont="1" applyBorder="1" applyProtection="1">
      <protection hidden="1"/>
    </xf>
    <xf numFmtId="166" fontId="0" fillId="5" borderId="0" xfId="0" applyNumberFormat="1" applyFill="1" applyProtection="1">
      <protection hidden="1"/>
    </xf>
    <xf numFmtId="0" fontId="18" fillId="0" borderId="0" xfId="0" applyFont="1" applyProtection="1">
      <protection hidden="1"/>
    </xf>
    <xf numFmtId="166" fontId="18" fillId="0" borderId="0" xfId="0" applyNumberFormat="1" applyFont="1" applyProtection="1">
      <protection hidden="1"/>
    </xf>
    <xf numFmtId="0" fontId="7" fillId="0" borderId="0" xfId="0" applyFont="1" applyProtection="1">
      <protection hidden="1"/>
    </xf>
    <xf numFmtId="166" fontId="21" fillId="0" borderId="0" xfId="0" applyNumberFormat="1" applyFont="1" applyProtection="1">
      <protection hidden="1"/>
    </xf>
    <xf numFmtId="0" fontId="3" fillId="0" borderId="0" xfId="0" applyFont="1" applyAlignment="1" applyProtection="1">
      <alignment horizontal="left" wrapText="1"/>
      <protection hidden="1"/>
    </xf>
    <xf numFmtId="0" fontId="3" fillId="0" borderId="0" xfId="0" applyFont="1" applyProtection="1">
      <protection hidden="1"/>
    </xf>
    <xf numFmtId="0" fontId="19" fillId="0" borderId="0" xfId="0" applyFont="1" applyAlignment="1" applyProtection="1">
      <alignment wrapText="1"/>
      <protection hidden="1"/>
    </xf>
    <xf numFmtId="171" fontId="0" fillId="0" borderId="0" xfId="1" applyNumberFormat="1" applyFont="1" applyProtection="1">
      <protection hidden="1"/>
    </xf>
    <xf numFmtId="0" fontId="16" fillId="0" borderId="0" xfId="0" applyFont="1" applyAlignment="1" applyProtection="1">
      <alignment horizontal="center"/>
      <protection hidden="1"/>
    </xf>
    <xf numFmtId="0" fontId="32" fillId="5" borderId="0" xfId="0" applyFont="1" applyFill="1" applyProtection="1">
      <protection hidden="1"/>
    </xf>
    <xf numFmtId="166" fontId="21" fillId="5" borderId="0" xfId="0" applyNumberFormat="1" applyFont="1" applyFill="1" applyProtection="1">
      <protection hidden="1"/>
    </xf>
    <xf numFmtId="166" fontId="33" fillId="0" borderId="0" xfId="0" applyNumberFormat="1" applyFont="1" applyProtection="1">
      <protection hidden="1"/>
    </xf>
    <xf numFmtId="0" fontId="23" fillId="0" borderId="9" xfId="0" applyFont="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0" xfId="0" applyFont="1" applyBorder="1" applyAlignment="1" applyProtection="1">
      <alignment horizontal="center" vertical="center"/>
      <protection hidden="1"/>
    </xf>
    <xf numFmtId="0" fontId="0" fillId="0" borderId="11" xfId="0" applyBorder="1" applyProtection="1">
      <protection hidden="1"/>
    </xf>
    <xf numFmtId="0" fontId="34" fillId="0" borderId="0" xfId="0" applyFont="1" applyAlignment="1" applyProtection="1">
      <alignment wrapText="1"/>
      <protection hidden="1"/>
    </xf>
    <xf numFmtId="166" fontId="6" fillId="0" borderId="0" xfId="0" applyNumberFormat="1" applyFont="1" applyProtection="1">
      <protection hidden="1"/>
    </xf>
    <xf numFmtId="9" fontId="6" fillId="0" borderId="0" xfId="0" applyNumberFormat="1" applyFont="1" applyProtection="1">
      <protection hidden="1"/>
    </xf>
    <xf numFmtId="43" fontId="6" fillId="0" borderId="0" xfId="0" applyNumberFormat="1" applyFont="1" applyProtection="1">
      <protection hidden="1"/>
    </xf>
    <xf numFmtId="43" fontId="18" fillId="0" borderId="0" xfId="0" applyNumberFormat="1" applyFont="1" applyProtection="1">
      <protection hidden="1"/>
    </xf>
    <xf numFmtId="0" fontId="6" fillId="0" borderId="0" xfId="0" applyFont="1" applyAlignment="1" applyProtection="1">
      <alignment horizontal="left"/>
      <protection hidden="1"/>
    </xf>
    <xf numFmtId="9" fontId="0" fillId="0" borderId="0" xfId="0" applyNumberFormat="1" applyProtection="1">
      <protection hidden="1"/>
    </xf>
    <xf numFmtId="43" fontId="35" fillId="0" borderId="0" xfId="4" applyFont="1" applyProtection="1">
      <protection hidden="1"/>
    </xf>
    <xf numFmtId="166" fontId="35" fillId="0" borderId="0" xfId="1" applyFont="1" applyProtection="1">
      <protection hidden="1"/>
    </xf>
    <xf numFmtId="0" fontId="2" fillId="0" borderId="0" xfId="0" applyFont="1" applyProtection="1">
      <protection hidden="1"/>
    </xf>
    <xf numFmtId="43" fontId="2" fillId="0" borderId="0" xfId="4" applyFont="1" applyProtection="1">
      <protection hidden="1"/>
    </xf>
    <xf numFmtId="0" fontId="19" fillId="0" borderId="0" xfId="0" applyFont="1" applyAlignment="1" applyProtection="1">
      <alignment wrapText="1"/>
      <protection locked="0"/>
    </xf>
    <xf numFmtId="0" fontId="21" fillId="0" borderId="8" xfId="0" applyFont="1" applyBorder="1" applyProtection="1">
      <protection hidden="1"/>
    </xf>
    <xf numFmtId="164" fontId="0" fillId="0" borderId="0" xfId="0" applyNumberFormat="1" applyProtection="1">
      <protection hidden="1"/>
    </xf>
    <xf numFmtId="0" fontId="20" fillId="0" borderId="0" xfId="6"/>
    <xf numFmtId="177" fontId="20" fillId="0" borderId="0" xfId="6" applyNumberFormat="1"/>
    <xf numFmtId="164" fontId="20" fillId="0" borderId="0" xfId="6" applyNumberFormat="1"/>
    <xf numFmtId="0" fontId="22" fillId="0" borderId="4" xfId="0" applyFont="1" applyBorder="1" applyProtection="1">
      <protection hidden="1"/>
    </xf>
    <xf numFmtId="2" fontId="39" fillId="7" borderId="5" xfId="0" applyNumberFormat="1" applyFont="1" applyFill="1" applyBorder="1" applyProtection="1">
      <protection hidden="1"/>
    </xf>
    <xf numFmtId="0" fontId="38" fillId="0" borderId="6" xfId="0" applyFont="1" applyBorder="1" applyProtection="1">
      <protection hidden="1"/>
    </xf>
    <xf numFmtId="0" fontId="41" fillId="0" borderId="4" xfId="0" applyFont="1" applyBorder="1" applyProtection="1">
      <protection hidden="1"/>
    </xf>
    <xf numFmtId="178" fontId="42" fillId="0" borderId="3" xfId="0" applyNumberFormat="1" applyFont="1" applyBorder="1" applyProtection="1">
      <protection hidden="1"/>
    </xf>
    <xf numFmtId="178" fontId="42" fillId="0" borderId="12" xfId="0" applyNumberFormat="1" applyFont="1" applyBorder="1" applyProtection="1">
      <protection hidden="1"/>
    </xf>
    <xf numFmtId="165" fontId="39" fillId="5" borderId="6" xfId="0" applyNumberFormat="1" applyFont="1" applyFill="1" applyBorder="1" applyProtection="1">
      <protection hidden="1"/>
    </xf>
    <xf numFmtId="10" fontId="40" fillId="0" borderId="6" xfId="2" applyNumberFormat="1" applyFont="1" applyBorder="1" applyAlignment="1" applyProtection="1">
      <alignment horizontal="center" vertical="center"/>
      <protection hidden="1"/>
    </xf>
    <xf numFmtId="0" fontId="45" fillId="0" borderId="0" xfId="0" applyFont="1" applyAlignment="1" applyProtection="1">
      <alignment wrapText="1"/>
      <protection hidden="1"/>
    </xf>
    <xf numFmtId="0" fontId="46" fillId="0" borderId="0" xfId="0" applyFont="1" applyProtection="1">
      <protection hidden="1"/>
    </xf>
    <xf numFmtId="0" fontId="47" fillId="0" borderId="0" xfId="0" applyFont="1" applyAlignment="1" applyProtection="1">
      <alignment wrapText="1"/>
      <protection hidden="1"/>
    </xf>
    <xf numFmtId="0" fontId="2" fillId="0" borderId="0" xfId="0" applyFont="1" applyAlignment="1" applyProtection="1">
      <alignment horizontal="center"/>
      <protection hidden="1"/>
    </xf>
    <xf numFmtId="0" fontId="47" fillId="0" borderId="0" xfId="0" applyFont="1" applyAlignment="1" applyProtection="1">
      <alignment wrapText="1"/>
      <protection locked="0"/>
    </xf>
    <xf numFmtId="0" fontId="48" fillId="0" borderId="0" xfId="0" applyFont="1" applyProtection="1">
      <protection hidden="1"/>
    </xf>
    <xf numFmtId="169" fontId="29" fillId="4" borderId="0" xfId="2" applyNumberFormat="1" applyFont="1" applyFill="1" applyProtection="1">
      <protection locked="0"/>
    </xf>
    <xf numFmtId="167" fontId="49" fillId="7" borderId="1" xfId="1" applyNumberFormat="1" applyFont="1" applyFill="1" applyBorder="1" applyProtection="1">
      <protection hidden="1"/>
    </xf>
    <xf numFmtId="0" fontId="50" fillId="0" borderId="13" xfId="0" applyFont="1" applyBorder="1" applyAlignment="1" applyProtection="1">
      <alignment wrapText="1"/>
      <protection hidden="1"/>
    </xf>
    <xf numFmtId="0" fontId="50" fillId="0" borderId="11" xfId="0" applyFont="1" applyBorder="1" applyProtection="1">
      <protection hidden="1"/>
    </xf>
    <xf numFmtId="0" fontId="0" fillId="0" borderId="8" xfId="0" applyBorder="1" applyProtection="1">
      <protection hidden="1"/>
    </xf>
    <xf numFmtId="0" fontId="26" fillId="0" borderId="15" xfId="0" applyFont="1" applyBorder="1" applyAlignment="1">
      <alignment horizontal="center"/>
    </xf>
    <xf numFmtId="0" fontId="26" fillId="0" borderId="16" xfId="0" applyFont="1" applyBorder="1" applyAlignment="1">
      <alignment horizontal="center"/>
    </xf>
    <xf numFmtId="0" fontId="2" fillId="0" borderId="13" xfId="0" applyFont="1" applyBorder="1" applyAlignment="1" applyProtection="1">
      <alignment horizontal="center"/>
      <protection hidden="1"/>
    </xf>
    <xf numFmtId="179" fontId="6" fillId="0" borderId="0" xfId="0" applyNumberFormat="1" applyFont="1"/>
    <xf numFmtId="179" fontId="6" fillId="0" borderId="14" xfId="0" applyNumberFormat="1" applyFont="1" applyBorder="1"/>
    <xf numFmtId="0" fontId="2" fillId="0" borderId="11" xfId="0" applyFont="1" applyBorder="1" applyAlignment="1" applyProtection="1">
      <alignment horizontal="center"/>
      <protection hidden="1"/>
    </xf>
    <xf numFmtId="179" fontId="6" fillId="0" borderId="0" xfId="0" applyNumberFormat="1" applyFont="1" applyProtection="1">
      <protection hidden="1"/>
    </xf>
    <xf numFmtId="179" fontId="6" fillId="0" borderId="14" xfId="0" applyNumberFormat="1" applyFont="1" applyBorder="1" applyProtection="1">
      <protection hidden="1"/>
    </xf>
    <xf numFmtId="179" fontId="6" fillId="0" borderId="3" xfId="0" applyNumberFormat="1" applyFont="1" applyBorder="1" applyProtection="1">
      <protection hidden="1"/>
    </xf>
    <xf numFmtId="179" fontId="6" fillId="0" borderId="12" xfId="0" applyNumberFormat="1" applyFont="1" applyBorder="1" applyProtection="1">
      <protection hidden="1"/>
    </xf>
    <xf numFmtId="0" fontId="18" fillId="4" borderId="0" xfId="0" applyFont="1" applyFill="1" applyProtection="1">
      <protection locked="0" hidden="1"/>
    </xf>
    <xf numFmtId="0" fontId="51" fillId="0" borderId="0" xfId="0" applyFont="1" applyProtection="1">
      <protection hidden="1"/>
    </xf>
    <xf numFmtId="166" fontId="18" fillId="0" borderId="0" xfId="1" applyFont="1" applyProtection="1">
      <protection hidden="1"/>
    </xf>
    <xf numFmtId="0" fontId="18" fillId="0" borderId="0" xfId="0" applyFont="1" applyAlignment="1" applyProtection="1">
      <alignment horizontal="center"/>
      <protection hidden="1"/>
    </xf>
    <xf numFmtId="166" fontId="52" fillId="0" borderId="0" xfId="1" applyFont="1" applyProtection="1">
      <protection hidden="1"/>
    </xf>
    <xf numFmtId="9" fontId="18" fillId="0" borderId="0" xfId="2" applyFont="1" applyProtection="1">
      <protection hidden="1"/>
    </xf>
    <xf numFmtId="10" fontId="43" fillId="0" borderId="0" xfId="2" applyNumberFormat="1" applyFont="1" applyFill="1" applyAlignment="1" applyProtection="1">
      <alignment horizontal="center" vertical="center"/>
      <protection locked="0"/>
    </xf>
    <xf numFmtId="0" fontId="37" fillId="7" borderId="0" xfId="5" applyFont="1" applyFill="1" applyAlignment="1">
      <alignment horizontal="center"/>
    </xf>
    <xf numFmtId="0" fontId="4" fillId="0" borderId="0" xfId="0" applyFont="1" applyAlignment="1" applyProtection="1">
      <alignment horizontal="center"/>
      <protection hidden="1"/>
    </xf>
    <xf numFmtId="0" fontId="12" fillId="0" borderId="0" xfId="0" applyFont="1" applyAlignment="1" applyProtection="1">
      <alignment horizontal="center" vertical="center"/>
      <protection hidden="1"/>
    </xf>
    <xf numFmtId="0" fontId="10" fillId="0" borderId="0" xfId="0" applyFont="1" applyAlignment="1" applyProtection="1">
      <alignment horizontal="center" wrapText="1"/>
      <protection hidden="1"/>
    </xf>
    <xf numFmtId="0" fontId="12" fillId="0" borderId="0" xfId="0" applyFont="1" applyAlignment="1" applyProtection="1">
      <alignment horizontal="left" wrapText="1"/>
      <protection hidden="1"/>
    </xf>
    <xf numFmtId="0" fontId="3" fillId="2" borderId="8" xfId="0" applyFont="1" applyFill="1" applyBorder="1" applyAlignment="1" applyProtection="1">
      <alignment horizontal="left" wrapText="1"/>
      <protection hidden="1"/>
    </xf>
    <xf numFmtId="0" fontId="3" fillId="2" borderId="9" xfId="0" applyFont="1" applyFill="1" applyBorder="1" applyAlignment="1" applyProtection="1">
      <alignment horizontal="left" wrapText="1"/>
      <protection hidden="1"/>
    </xf>
    <xf numFmtId="0" fontId="3" fillId="2" borderId="10" xfId="0" applyFont="1" applyFill="1" applyBorder="1" applyAlignment="1" applyProtection="1">
      <alignment horizontal="left" wrapText="1"/>
      <protection hidden="1"/>
    </xf>
    <xf numFmtId="0" fontId="3" fillId="2" borderId="11" xfId="0" applyFont="1" applyFill="1" applyBorder="1" applyAlignment="1" applyProtection="1">
      <alignment horizontal="left" wrapText="1"/>
      <protection hidden="1"/>
    </xf>
    <xf numFmtId="0" fontId="3" fillId="2" borderId="3" xfId="0" applyFont="1" applyFill="1" applyBorder="1" applyAlignment="1" applyProtection="1">
      <alignment horizontal="left" wrapText="1"/>
      <protection hidden="1"/>
    </xf>
    <xf numFmtId="0" fontId="3" fillId="2" borderId="12" xfId="0" applyFont="1" applyFill="1" applyBorder="1" applyAlignment="1" applyProtection="1">
      <alignment horizontal="left" wrapText="1"/>
      <protection hidden="1"/>
    </xf>
    <xf numFmtId="0" fontId="0" fillId="0" borderId="0" xfId="0" applyAlignment="1" applyProtection="1">
      <alignment horizontal="center"/>
      <protection hidden="1"/>
    </xf>
    <xf numFmtId="10" fontId="29" fillId="4" borderId="0" xfId="2" applyNumberFormat="1" applyFont="1" applyFill="1" applyAlignment="1" applyProtection="1">
      <alignment horizontal="center"/>
      <protection locked="0"/>
    </xf>
    <xf numFmtId="0" fontId="13" fillId="0" borderId="0" xfId="0" applyFont="1" applyAlignment="1" applyProtection="1">
      <alignment horizontal="center" vertical="center"/>
      <protection hidden="1"/>
    </xf>
    <xf numFmtId="0" fontId="13" fillId="5" borderId="0" xfId="0" applyFont="1" applyFill="1" applyAlignment="1" applyProtection="1">
      <alignment horizontal="center" vertical="center"/>
      <protection hidden="1"/>
    </xf>
    <xf numFmtId="0" fontId="11" fillId="0" borderId="0" xfId="0" applyFont="1" applyAlignment="1" applyProtection="1">
      <alignment horizontal="center"/>
      <protection hidden="1"/>
    </xf>
    <xf numFmtId="0" fontId="2" fillId="0" borderId="0" xfId="0" applyFont="1" applyAlignment="1" applyProtection="1">
      <alignment horizontal="center"/>
      <protection hidden="1"/>
    </xf>
    <xf numFmtId="0" fontId="3" fillId="0" borderId="0" xfId="0" applyFont="1" applyAlignment="1" applyProtection="1">
      <alignment horizontal="center"/>
      <protection hidden="1"/>
    </xf>
    <xf numFmtId="0" fontId="11" fillId="0" borderId="0" xfId="0" applyFont="1" applyAlignment="1" applyProtection="1">
      <alignment wrapText="1"/>
      <protection hidden="1"/>
    </xf>
    <xf numFmtId="10" fontId="43" fillId="4" borderId="0" xfId="2" applyNumberFormat="1" applyFont="1" applyFill="1" applyAlignment="1" applyProtection="1">
      <alignment horizontal="center" vertical="center"/>
      <protection locked="0"/>
    </xf>
    <xf numFmtId="0" fontId="12" fillId="5" borderId="0" xfId="0" applyFont="1" applyFill="1" applyAlignment="1" applyProtection="1">
      <alignment horizontal="center"/>
      <protection hidden="1"/>
    </xf>
    <xf numFmtId="0" fontId="53" fillId="0" borderId="0" xfId="0" applyFont="1" applyAlignment="1" applyProtection="1">
      <alignment horizontal="left"/>
      <protection hidden="1"/>
    </xf>
    <xf numFmtId="0" fontId="11" fillId="0" borderId="0" xfId="0" applyFont="1" applyAlignment="1" applyProtection="1">
      <alignment horizontal="left" wrapText="1"/>
      <protection hidden="1"/>
    </xf>
    <xf numFmtId="0" fontId="3" fillId="0" borderId="0" xfId="0" applyFont="1" applyAlignment="1" applyProtection="1">
      <alignment horizontal="left"/>
      <protection hidden="1"/>
    </xf>
  </cellXfs>
  <cellStyles count="7">
    <cellStyle name="Hipervínculo" xfId="5" builtinId="8"/>
    <cellStyle name="Millares" xfId="4" builtinId="3"/>
    <cellStyle name="Millares_Modelo Financiero ACME Final 2" xfId="3" xr:uid="{00000000-0005-0000-0000-000002000000}"/>
    <cellStyle name="Moneda" xfId="1" builtinId="4"/>
    <cellStyle name="Normal" xfId="0" builtinId="0"/>
    <cellStyle name="Normal 2" xfId="6" xr:uid="{00000000-0005-0000-0000-000005000000}"/>
    <cellStyle name="Porcentaje" xfId="2" builtinId="5"/>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tint="4.9989318521683403E-2"/>
      </font>
      <fill>
        <patternFill>
          <bgColor rgb="FF00B05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FF0000"/>
      </font>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978299507161174"/>
          <c:y val="4.2355815040486779E-2"/>
          <c:w val="0.70800194207522693"/>
          <c:h val="0.80141434497983866"/>
        </c:manualLayout>
      </c:layout>
      <c:lineChart>
        <c:grouping val="standard"/>
        <c:varyColors val="0"/>
        <c:ser>
          <c:idx val="0"/>
          <c:order val="0"/>
          <c:tx>
            <c:strRef>
              <c:f>'5'!$C$32</c:f>
              <c:strCache>
                <c:ptCount val="1"/>
                <c:pt idx="0">
                  <c:v>COSTOS FIJO</c:v>
                </c:pt>
              </c:strCache>
            </c:strRef>
          </c:tx>
          <c:spPr>
            <a:ln w="28575" cap="rnd">
              <a:solidFill>
                <a:schemeClr val="accent1"/>
              </a:solidFill>
              <a:round/>
            </a:ln>
            <a:effectLst/>
          </c:spPr>
          <c:marker>
            <c:symbol val="none"/>
          </c:marker>
          <c:cat>
            <c:numRef>
              <c:f>'5'!$B$33:$B$35</c:f>
              <c:numCache>
                <c:formatCode>_(* #,##0.00_);_(* \(#,##0.00\);_(* "-"??_);_(@_)</c:formatCode>
                <c:ptCount val="3"/>
                <c:pt idx="0" formatCode="General">
                  <c:v>0</c:v>
                </c:pt>
                <c:pt idx="1">
                  <c:v>224.07988844127678</c:v>
                </c:pt>
                <c:pt idx="2">
                  <c:v>448.15977688255356</c:v>
                </c:pt>
              </c:numCache>
            </c:numRef>
          </c:cat>
          <c:val>
            <c:numRef>
              <c:f>'5'!$C$33:$C$35</c:f>
              <c:numCache>
                <c:formatCode>_("$"\ * #,##0.00_);_("$"\ * \(#,##0.00\);_("$"\ * "-"??_);_(@_)</c:formatCode>
                <c:ptCount val="3"/>
                <c:pt idx="0">
                  <c:v>1040440000</c:v>
                </c:pt>
                <c:pt idx="1">
                  <c:v>1040440000</c:v>
                </c:pt>
                <c:pt idx="2">
                  <c:v>1040440000</c:v>
                </c:pt>
              </c:numCache>
            </c:numRef>
          </c:val>
          <c:smooth val="0"/>
          <c:extLst>
            <c:ext xmlns:c16="http://schemas.microsoft.com/office/drawing/2014/chart" uri="{C3380CC4-5D6E-409C-BE32-E72D297353CC}">
              <c16:uniqueId val="{00000000-8A79-4BFE-9417-0186D0F8B071}"/>
            </c:ext>
          </c:extLst>
        </c:ser>
        <c:ser>
          <c:idx val="1"/>
          <c:order val="1"/>
          <c:tx>
            <c:strRef>
              <c:f>'5'!$D$32</c:f>
              <c:strCache>
                <c:ptCount val="1"/>
                <c:pt idx="0">
                  <c:v>INGRESOS</c:v>
                </c:pt>
              </c:strCache>
            </c:strRef>
          </c:tx>
          <c:spPr>
            <a:ln w="28575" cap="rnd">
              <a:solidFill>
                <a:schemeClr val="accent2"/>
              </a:solidFill>
              <a:round/>
            </a:ln>
            <a:effectLst/>
          </c:spPr>
          <c:marker>
            <c:symbol val="none"/>
          </c:marker>
          <c:cat>
            <c:numRef>
              <c:f>'5'!$B$33:$B$35</c:f>
              <c:numCache>
                <c:formatCode>_(* #,##0.00_);_(* \(#,##0.00\);_(* "-"??_);_(@_)</c:formatCode>
                <c:ptCount val="3"/>
                <c:pt idx="0" formatCode="General">
                  <c:v>0</c:v>
                </c:pt>
                <c:pt idx="1">
                  <c:v>224.07988844127678</c:v>
                </c:pt>
                <c:pt idx="2">
                  <c:v>448.15977688255356</c:v>
                </c:pt>
              </c:numCache>
            </c:numRef>
          </c:cat>
          <c:val>
            <c:numRef>
              <c:f>'5'!$D$33:$D$35</c:f>
              <c:numCache>
                <c:formatCode>_("$"\ * #,##0.00_);_("$"\ * \(#,##0.00\);_("$"\ * "-"??_);_(@_)</c:formatCode>
                <c:ptCount val="3"/>
                <c:pt idx="0" formatCode="General">
                  <c:v>0</c:v>
                </c:pt>
                <c:pt idx="1">
                  <c:v>1463773659.745894</c:v>
                </c:pt>
                <c:pt idx="2">
                  <c:v>2927547319.4917884</c:v>
                </c:pt>
              </c:numCache>
            </c:numRef>
          </c:val>
          <c:smooth val="0"/>
          <c:extLst>
            <c:ext xmlns:c16="http://schemas.microsoft.com/office/drawing/2014/chart" uri="{C3380CC4-5D6E-409C-BE32-E72D297353CC}">
              <c16:uniqueId val="{00000001-8A79-4BFE-9417-0186D0F8B071}"/>
            </c:ext>
          </c:extLst>
        </c:ser>
        <c:ser>
          <c:idx val="2"/>
          <c:order val="2"/>
          <c:tx>
            <c:strRef>
              <c:f>'5'!$F$32</c:f>
              <c:strCache>
                <c:ptCount val="1"/>
                <c:pt idx="0">
                  <c:v>COSTO TOTAL</c:v>
                </c:pt>
              </c:strCache>
            </c:strRef>
          </c:tx>
          <c:spPr>
            <a:ln w="28575" cap="rnd">
              <a:solidFill>
                <a:schemeClr val="accent3"/>
              </a:solidFill>
              <a:round/>
            </a:ln>
            <a:effectLst/>
          </c:spPr>
          <c:marker>
            <c:symbol val="none"/>
          </c:marker>
          <c:cat>
            <c:numRef>
              <c:f>'5'!$B$33:$B$35</c:f>
              <c:numCache>
                <c:formatCode>_(* #,##0.00_);_(* \(#,##0.00\);_(* "-"??_);_(@_)</c:formatCode>
                <c:ptCount val="3"/>
                <c:pt idx="0" formatCode="General">
                  <c:v>0</c:v>
                </c:pt>
                <c:pt idx="1">
                  <c:v>224.07988844127678</c:v>
                </c:pt>
                <c:pt idx="2">
                  <c:v>448.15977688255356</c:v>
                </c:pt>
              </c:numCache>
            </c:numRef>
          </c:cat>
          <c:val>
            <c:numRef>
              <c:f>'5'!$F$33:$F$35</c:f>
              <c:numCache>
                <c:formatCode>_("$"\ * #,##0.00_);_("$"\ * \(#,##0.00\);_("$"\ * "-"??_);_(@_)</c:formatCode>
                <c:ptCount val="3"/>
                <c:pt idx="0">
                  <c:v>1040440000</c:v>
                </c:pt>
                <c:pt idx="1">
                  <c:v>1463773659.745894</c:v>
                </c:pt>
                <c:pt idx="2">
                  <c:v>1887107319.4917881</c:v>
                </c:pt>
              </c:numCache>
            </c:numRef>
          </c:val>
          <c:smooth val="0"/>
          <c:extLst>
            <c:ext xmlns:c16="http://schemas.microsoft.com/office/drawing/2014/chart" uri="{C3380CC4-5D6E-409C-BE32-E72D297353CC}">
              <c16:uniqueId val="{00000002-8A79-4BFE-9417-0186D0F8B071}"/>
            </c:ext>
          </c:extLst>
        </c:ser>
        <c:dLbls>
          <c:showLegendKey val="0"/>
          <c:showVal val="0"/>
          <c:showCatName val="0"/>
          <c:showSerName val="0"/>
          <c:showPercent val="0"/>
          <c:showBubbleSize val="0"/>
        </c:dLbls>
        <c:smooth val="0"/>
        <c:axId val="123640448"/>
        <c:axId val="123654528"/>
      </c:lineChart>
      <c:catAx>
        <c:axId val="1236404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3654528"/>
        <c:crosses val="autoZero"/>
        <c:auto val="1"/>
        <c:lblAlgn val="ctr"/>
        <c:lblOffset val="100"/>
        <c:noMultiLvlLbl val="0"/>
      </c:catAx>
      <c:valAx>
        <c:axId val="123654528"/>
        <c:scaling>
          <c:orientation val="minMax"/>
        </c:scaling>
        <c:delete val="0"/>
        <c:axPos val="l"/>
        <c:majorGridlines>
          <c:spPr>
            <a:ln w="9525" cap="flat" cmpd="sng" algn="ctr">
              <a:solidFill>
                <a:schemeClr val="tx1">
                  <a:lumMod val="15000"/>
                  <a:lumOff val="85000"/>
                </a:schemeClr>
              </a:solidFill>
              <a:round/>
            </a:ln>
            <a:effectLst/>
          </c:spPr>
        </c:majorGridlines>
        <c:numFmt formatCode="_(&quot;$&quot;\ * #,##0.00_);_(&quot;$&quot;\ * \(#,##0.00\);_(&quot;$&quot;\ *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3640448"/>
        <c:crosses val="autoZero"/>
        <c:crossBetween val="midCat"/>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hyperlink" Target="#'3'!A1"/><Relationship Id="rId7" Type="http://schemas.openxmlformats.org/officeDocument/2006/relationships/image" Target="../media/image1.png"/><Relationship Id="rId2" Type="http://schemas.openxmlformats.org/officeDocument/2006/relationships/hyperlink" Target="#'2'!A1"/><Relationship Id="rId1" Type="http://schemas.openxmlformats.org/officeDocument/2006/relationships/hyperlink" Target="#'1'!A1"/><Relationship Id="rId6" Type="http://schemas.openxmlformats.org/officeDocument/2006/relationships/hyperlink" Target="mailto:dmreyes@ean.edu.co" TargetMode="External"/><Relationship Id="rId5" Type="http://schemas.openxmlformats.org/officeDocument/2006/relationships/hyperlink" Target="#'5'!A1"/><Relationship Id="rId4" Type="http://schemas.openxmlformats.org/officeDocument/2006/relationships/hyperlink" Target="#'4'!A1"/></Relationships>
</file>

<file path=xl/drawings/_rels/drawing2.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3.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4.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5.xml.rels><?xml version="1.0" encoding="UTF-8" standalone="yes"?>
<Relationships xmlns="http://schemas.openxmlformats.org/package/2006/relationships"><Relationship Id="rId2" Type="http://schemas.openxmlformats.org/officeDocument/2006/relationships/hyperlink" Target="mailto:dmreyes@ean.edu.co" TargetMode="External"/><Relationship Id="rId1" Type="http://schemas.openxmlformats.org/officeDocument/2006/relationships/hyperlink" Target="#Men&#250;!A1"/></Relationships>
</file>

<file path=xl/drawings/_rels/drawing6.xml.rels><?xml version="1.0" encoding="UTF-8" standalone="yes"?>
<Relationships xmlns="http://schemas.openxmlformats.org/package/2006/relationships"><Relationship Id="rId3" Type="http://schemas.openxmlformats.org/officeDocument/2006/relationships/hyperlink" Target="mailto:dmreyes@ean.edu.co" TargetMode="External"/><Relationship Id="rId2" Type="http://schemas.openxmlformats.org/officeDocument/2006/relationships/hyperlink" Target="#Men&#250;!A1"/><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200025</xdr:colOff>
      <xdr:row>2</xdr:row>
      <xdr:rowOff>19050</xdr:rowOff>
    </xdr:from>
    <xdr:to>
      <xdr:col>5</xdr:col>
      <xdr:colOff>190500</xdr:colOff>
      <xdr:row>22</xdr:row>
      <xdr:rowOff>95250</xdr:rowOff>
    </xdr:to>
    <xdr:sp macro="" textlink="">
      <xdr:nvSpPr>
        <xdr:cNvPr id="2" name="1 CuadroTexto">
          <a:extLst>
            <a:ext uri="{FF2B5EF4-FFF2-40B4-BE49-F238E27FC236}">
              <a16:creationId xmlns:a16="http://schemas.microsoft.com/office/drawing/2014/main" id="{00000000-0008-0000-0000-000002000000}"/>
            </a:ext>
          </a:extLst>
        </xdr:cNvPr>
        <xdr:cNvSpPr txBox="1"/>
      </xdr:nvSpPr>
      <xdr:spPr>
        <a:xfrm>
          <a:off x="962025" y="400050"/>
          <a:ext cx="3038475" cy="38862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just"/>
          <a:r>
            <a:rPr lang="es-CO" sz="1200">
              <a:latin typeface="Aharoni" pitchFamily="2" charset="-79"/>
              <a:cs typeface="Aharoni" pitchFamily="2" charset="-79"/>
            </a:rPr>
            <a:t>BIENVENIDO A LA SIMULACIÓN</a:t>
          </a:r>
          <a:r>
            <a:rPr lang="es-CO" sz="1200" baseline="0">
              <a:latin typeface="Aharoni" pitchFamily="2" charset="-79"/>
              <a:cs typeface="Aharoni" pitchFamily="2" charset="-79"/>
            </a:rPr>
            <a:t> FINANCIERA BÁSICA DE TU MODELO DE NEGOCIO.</a:t>
          </a:r>
        </a:p>
        <a:p>
          <a:pPr algn="just"/>
          <a:endParaRPr lang="es-CO" sz="1200" baseline="0">
            <a:latin typeface="Aharoni" pitchFamily="2" charset="-79"/>
            <a:cs typeface="Aharoni" pitchFamily="2" charset="-79"/>
          </a:endParaRPr>
        </a:p>
        <a:p>
          <a:pPr algn="just"/>
          <a:r>
            <a:rPr lang="es-CO" sz="1200" baseline="0">
              <a:latin typeface="Aharoni" pitchFamily="2" charset="-79"/>
              <a:cs typeface="Aharoni" pitchFamily="2" charset="-79"/>
            </a:rPr>
            <a:t>ANTES DE DIGITAR LA INFORMACIÓN EN ESTE SIMULADOR, TEN EN CUENTA QUE:</a:t>
          </a:r>
        </a:p>
        <a:p>
          <a:pPr algn="just"/>
          <a:endParaRPr lang="es-CO" sz="1200" baseline="0">
            <a:latin typeface="Aharoni" pitchFamily="2" charset="-79"/>
            <a:cs typeface="Aharoni" pitchFamily="2" charset="-79"/>
          </a:endParaRPr>
        </a:p>
        <a:p>
          <a:pPr algn="just"/>
          <a:r>
            <a:rPr lang="es-CO" sz="1800" baseline="0">
              <a:latin typeface="Aharoni" pitchFamily="2" charset="-79"/>
              <a:cs typeface="Aharoni" pitchFamily="2" charset="-79"/>
            </a:rPr>
            <a:t>1. </a:t>
          </a:r>
          <a:r>
            <a:rPr lang="es-CO" sz="1100" baseline="0">
              <a:latin typeface="Aharoni" pitchFamily="2" charset="-79"/>
              <a:cs typeface="Aharoni" pitchFamily="2" charset="-79"/>
            </a:rPr>
            <a:t>SOLO SE PODRÁN MODIFICAR LAS CELDAS RESALTAS CON COLOR AZUL</a:t>
          </a:r>
          <a:r>
            <a:rPr lang="es-CO" sz="1200" baseline="0">
              <a:latin typeface="Aharoni" pitchFamily="2" charset="-79"/>
              <a:cs typeface="Aharoni" pitchFamily="2" charset="-79"/>
            </a:rPr>
            <a:t>.</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2. </a:t>
          </a:r>
          <a:r>
            <a:rPr lang="es-CO" sz="1100" baseline="0">
              <a:latin typeface="Aharoni" pitchFamily="2" charset="-79"/>
              <a:cs typeface="Aharoni" pitchFamily="2" charset="-79"/>
            </a:rPr>
            <a:t>REVISA LOS COMENTARIOS DE LAS CELDAS, TE DARÁN CLAVES PARA EL CORRECTO DILIGENCIAMIENTO DE LA INFORMACIÓN.</a:t>
          </a:r>
        </a:p>
        <a:p>
          <a:pPr algn="just"/>
          <a:endParaRPr lang="es-CO" sz="1200" baseline="0">
            <a:latin typeface="Aharoni" pitchFamily="2" charset="-79"/>
            <a:cs typeface="Aharoni" pitchFamily="2" charset="-79"/>
          </a:endParaRPr>
        </a:p>
        <a:p>
          <a:pPr algn="just"/>
          <a:r>
            <a:rPr lang="es-CO" sz="1600" baseline="0">
              <a:latin typeface="Aharoni" pitchFamily="2" charset="-79"/>
              <a:cs typeface="Aharoni" pitchFamily="2" charset="-79"/>
            </a:rPr>
            <a:t>3. </a:t>
          </a:r>
          <a:r>
            <a:rPr lang="es-CO" sz="1100" baseline="0">
              <a:latin typeface="Aharoni" pitchFamily="2" charset="-79"/>
              <a:cs typeface="Aharoni" pitchFamily="2" charset="-79"/>
            </a:rPr>
            <a:t>LOS ESTADOS FINANCIEROS SE ELABORAN DE FORMA AUTÓMATICA Y NO REQUIEREN NINGUNA INTERVENCIÓN DEL EMPRENDEDOR.</a:t>
          </a:r>
        </a:p>
        <a:p>
          <a:pPr algn="just"/>
          <a:endParaRPr lang="es-CO" sz="1200" baseline="0">
            <a:latin typeface="Aharoni" pitchFamily="2" charset="-79"/>
            <a:cs typeface="Aharoni" pitchFamily="2" charset="-79"/>
          </a:endParaRPr>
        </a:p>
        <a:p>
          <a:endParaRPr lang="es-CO" sz="1100" baseline="0"/>
        </a:p>
        <a:p>
          <a:endParaRPr lang="es-CO" sz="1100"/>
        </a:p>
      </xdr:txBody>
    </xdr:sp>
    <xdr:clientData/>
  </xdr:twoCellAnchor>
  <xdr:oneCellAnchor>
    <xdr:from>
      <xdr:col>9</xdr:col>
      <xdr:colOff>257175</xdr:colOff>
      <xdr:row>19</xdr:row>
      <xdr:rowOff>66675</xdr:rowOff>
    </xdr:from>
    <xdr:ext cx="184731" cy="264560"/>
    <xdr:sp macro="" textlink="">
      <xdr:nvSpPr>
        <xdr:cNvPr id="3" name="2 CuadroTexto">
          <a:extLst>
            <a:ext uri="{FF2B5EF4-FFF2-40B4-BE49-F238E27FC236}">
              <a16:creationId xmlns:a16="http://schemas.microsoft.com/office/drawing/2014/main" id="{00000000-0008-0000-0000-000003000000}"/>
            </a:ext>
          </a:extLst>
        </xdr:cNvPr>
        <xdr:cNvSpPr txBox="1"/>
      </xdr:nvSpPr>
      <xdr:spPr>
        <a:xfrm>
          <a:off x="6353175" y="3495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s-CO" sz="1100"/>
        </a:p>
      </xdr:txBody>
    </xdr:sp>
    <xdr:clientData/>
  </xdr:oneCellAnchor>
  <xdr:twoCellAnchor>
    <xdr:from>
      <xdr:col>5</xdr:col>
      <xdr:colOff>238124</xdr:colOff>
      <xdr:row>2</xdr:row>
      <xdr:rowOff>171450</xdr:rowOff>
    </xdr:from>
    <xdr:to>
      <xdr:col>8</xdr:col>
      <xdr:colOff>514349</xdr:colOff>
      <xdr:row>5</xdr:row>
      <xdr:rowOff>152400</xdr:rowOff>
    </xdr:to>
    <xdr:sp macro="" textlink="">
      <xdr:nvSpPr>
        <xdr:cNvPr id="4" name="3 CuadroTexto">
          <a:hlinkClick xmlns:r="http://schemas.openxmlformats.org/officeDocument/2006/relationships" r:id="rId1"/>
          <a:extLst>
            <a:ext uri="{FF2B5EF4-FFF2-40B4-BE49-F238E27FC236}">
              <a16:creationId xmlns:a16="http://schemas.microsoft.com/office/drawing/2014/main" id="{00000000-0008-0000-0000-000004000000}"/>
            </a:ext>
          </a:extLst>
        </xdr:cNvPr>
        <xdr:cNvSpPr txBox="1"/>
      </xdr:nvSpPr>
      <xdr:spPr>
        <a:xfrm>
          <a:off x="3286124" y="361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PROYECCIÓN</a:t>
          </a:r>
          <a:r>
            <a:rPr lang="es-CO" sz="1400" b="1" baseline="0">
              <a:latin typeface="Arial" pitchFamily="34" charset="0"/>
              <a:cs typeface="Arial" pitchFamily="34" charset="0"/>
            </a:rPr>
            <a:t> DE VENTAS Y PREMISAS</a:t>
          </a:r>
          <a:endParaRPr lang="es-CO" sz="1400" b="1">
            <a:latin typeface="Arial" pitchFamily="34" charset="0"/>
            <a:cs typeface="Arial" pitchFamily="34" charset="0"/>
          </a:endParaRPr>
        </a:p>
      </xdr:txBody>
    </xdr:sp>
    <xdr:clientData/>
  </xdr:twoCellAnchor>
  <xdr:twoCellAnchor>
    <xdr:from>
      <xdr:col>5</xdr:col>
      <xdr:colOff>228600</xdr:colOff>
      <xdr:row>6</xdr:row>
      <xdr:rowOff>171450</xdr:rowOff>
    </xdr:from>
    <xdr:to>
      <xdr:col>8</xdr:col>
      <xdr:colOff>504825</xdr:colOff>
      <xdr:row>9</xdr:row>
      <xdr:rowOff>152400</xdr:rowOff>
    </xdr:to>
    <xdr:sp macro="" textlink="">
      <xdr:nvSpPr>
        <xdr:cNvPr id="5" name="4 CuadroTexto">
          <a:hlinkClick xmlns:r="http://schemas.openxmlformats.org/officeDocument/2006/relationships" r:id="rId2"/>
          <a:extLst>
            <a:ext uri="{FF2B5EF4-FFF2-40B4-BE49-F238E27FC236}">
              <a16:creationId xmlns:a16="http://schemas.microsoft.com/office/drawing/2014/main" id="{00000000-0008-0000-0000-000005000000}"/>
            </a:ext>
          </a:extLst>
        </xdr:cNvPr>
        <xdr:cNvSpPr txBox="1"/>
      </xdr:nvSpPr>
      <xdr:spPr>
        <a:xfrm>
          <a:off x="3276600" y="11239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INFRAESTRUCTURA</a:t>
          </a:r>
          <a:r>
            <a:rPr lang="es-CO" sz="1400" b="1" baseline="0">
              <a:latin typeface="Arial" pitchFamily="34" charset="0"/>
              <a:cs typeface="Arial" pitchFamily="34" charset="0"/>
            </a:rPr>
            <a:t>  Y GASTOS</a:t>
          </a:r>
          <a:endParaRPr lang="es-CO" sz="1400" b="1">
            <a:latin typeface="Arial" pitchFamily="34" charset="0"/>
            <a:cs typeface="Arial" pitchFamily="34" charset="0"/>
          </a:endParaRPr>
        </a:p>
      </xdr:txBody>
    </xdr:sp>
    <xdr:clientData/>
  </xdr:twoCellAnchor>
  <xdr:twoCellAnchor>
    <xdr:from>
      <xdr:col>5</xdr:col>
      <xdr:colOff>209550</xdr:colOff>
      <xdr:row>10</xdr:row>
      <xdr:rowOff>123825</xdr:rowOff>
    </xdr:from>
    <xdr:to>
      <xdr:col>8</xdr:col>
      <xdr:colOff>485775</xdr:colOff>
      <xdr:row>13</xdr:row>
      <xdr:rowOff>104775</xdr:rowOff>
    </xdr:to>
    <xdr:sp macro="" textlink="">
      <xdr:nvSpPr>
        <xdr:cNvPr id="6" name="5 CuadroTexto">
          <a:hlinkClick xmlns:r="http://schemas.openxmlformats.org/officeDocument/2006/relationships" r:id="rId3"/>
          <a:extLst>
            <a:ext uri="{FF2B5EF4-FFF2-40B4-BE49-F238E27FC236}">
              <a16:creationId xmlns:a16="http://schemas.microsoft.com/office/drawing/2014/main" id="{00000000-0008-0000-0000-000006000000}"/>
            </a:ext>
          </a:extLst>
        </xdr:cNvPr>
        <xdr:cNvSpPr txBox="1"/>
      </xdr:nvSpPr>
      <xdr:spPr>
        <a:xfrm>
          <a:off x="3257550" y="1838325"/>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INVERSIÓN</a:t>
          </a:r>
          <a:r>
            <a:rPr lang="es-CO" sz="1400" b="1" baseline="0">
              <a:latin typeface="Arial" pitchFamily="34" charset="0"/>
              <a:cs typeface="Arial" pitchFamily="34" charset="0"/>
            </a:rPr>
            <a:t> TOTAL Y FINANCIACIÓN</a:t>
          </a:r>
          <a:endParaRPr lang="es-CO" sz="1400" b="1">
            <a:latin typeface="Arial" pitchFamily="34" charset="0"/>
            <a:cs typeface="Arial" pitchFamily="34" charset="0"/>
          </a:endParaRPr>
        </a:p>
      </xdr:txBody>
    </xdr:sp>
    <xdr:clientData/>
  </xdr:twoCellAnchor>
  <xdr:twoCellAnchor>
    <xdr:from>
      <xdr:col>5</xdr:col>
      <xdr:colOff>200025</xdr:colOff>
      <xdr:row>14</xdr:row>
      <xdr:rowOff>38100</xdr:rowOff>
    </xdr:from>
    <xdr:to>
      <xdr:col>8</xdr:col>
      <xdr:colOff>476250</xdr:colOff>
      <xdr:row>17</xdr:row>
      <xdr:rowOff>19050</xdr:rowOff>
    </xdr:to>
    <xdr:sp macro="" textlink="">
      <xdr:nvSpPr>
        <xdr:cNvPr id="7" name="6 CuadroTexto">
          <a:hlinkClick xmlns:r="http://schemas.openxmlformats.org/officeDocument/2006/relationships" r:id="rId4"/>
          <a:extLst>
            <a:ext uri="{FF2B5EF4-FFF2-40B4-BE49-F238E27FC236}">
              <a16:creationId xmlns:a16="http://schemas.microsoft.com/office/drawing/2014/main" id="{00000000-0008-0000-0000-000007000000}"/>
            </a:ext>
          </a:extLst>
        </xdr:cNvPr>
        <xdr:cNvSpPr txBox="1"/>
      </xdr:nvSpPr>
      <xdr:spPr>
        <a:xfrm>
          <a:off x="3248025" y="251460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ESTADOS</a:t>
          </a:r>
          <a:r>
            <a:rPr lang="es-CO" sz="1400" b="1" baseline="0">
              <a:latin typeface="Arial" pitchFamily="34" charset="0"/>
              <a:cs typeface="Arial" pitchFamily="34" charset="0"/>
            </a:rPr>
            <a:t> FINANCIEROS</a:t>
          </a:r>
          <a:endParaRPr lang="es-CO" sz="1400" b="1">
            <a:latin typeface="Arial" pitchFamily="34" charset="0"/>
            <a:cs typeface="Arial" pitchFamily="34" charset="0"/>
          </a:endParaRPr>
        </a:p>
      </xdr:txBody>
    </xdr:sp>
    <xdr:clientData/>
  </xdr:twoCellAnchor>
  <xdr:twoCellAnchor>
    <xdr:from>
      <xdr:col>5</xdr:col>
      <xdr:colOff>180975</xdr:colOff>
      <xdr:row>18</xdr:row>
      <xdr:rowOff>19050</xdr:rowOff>
    </xdr:from>
    <xdr:to>
      <xdr:col>8</xdr:col>
      <xdr:colOff>457200</xdr:colOff>
      <xdr:row>21</xdr:row>
      <xdr:rowOff>0</xdr:rowOff>
    </xdr:to>
    <xdr:sp macro="" textlink="">
      <xdr:nvSpPr>
        <xdr:cNvPr id="8" name="7 CuadroTexto">
          <a:hlinkClick xmlns:r="http://schemas.openxmlformats.org/officeDocument/2006/relationships" r:id="rId5"/>
          <a:extLst>
            <a:ext uri="{FF2B5EF4-FFF2-40B4-BE49-F238E27FC236}">
              <a16:creationId xmlns:a16="http://schemas.microsoft.com/office/drawing/2014/main" id="{00000000-0008-0000-0000-000008000000}"/>
            </a:ext>
          </a:extLst>
        </xdr:cNvPr>
        <xdr:cNvSpPr txBox="1"/>
      </xdr:nvSpPr>
      <xdr:spPr>
        <a:xfrm>
          <a:off x="3228975" y="3257550"/>
          <a:ext cx="2562225" cy="5524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RESULTADOS DE LA SIMULACIÓN </a:t>
          </a:r>
        </a:p>
      </xdr:txBody>
    </xdr:sp>
    <xdr:clientData/>
  </xdr:twoCellAnchor>
  <xdr:twoCellAnchor>
    <xdr:from>
      <xdr:col>1</xdr:col>
      <xdr:colOff>209550</xdr:colOff>
      <xdr:row>21</xdr:row>
      <xdr:rowOff>85725</xdr:rowOff>
    </xdr:from>
    <xdr:to>
      <xdr:col>5</xdr:col>
      <xdr:colOff>200025</xdr:colOff>
      <xdr:row>23</xdr:row>
      <xdr:rowOff>95249</xdr:rowOff>
    </xdr:to>
    <xdr:sp macro="" textlink="">
      <xdr:nvSpPr>
        <xdr:cNvPr id="13" name="12 CuadroTexto">
          <a:hlinkClick xmlns:r="http://schemas.openxmlformats.org/officeDocument/2006/relationships" r:id="rId6"/>
          <a:extLst>
            <a:ext uri="{FF2B5EF4-FFF2-40B4-BE49-F238E27FC236}">
              <a16:creationId xmlns:a16="http://schemas.microsoft.com/office/drawing/2014/main" id="{00000000-0008-0000-0000-00000D000000}"/>
            </a:ext>
          </a:extLst>
        </xdr:cNvPr>
        <xdr:cNvSpPr txBox="1"/>
      </xdr:nvSpPr>
      <xdr:spPr>
        <a:xfrm>
          <a:off x="971550" y="4086225"/>
          <a:ext cx="3038475" cy="457199"/>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Asociado Universidad  Univerisdad  -EAN.</a:t>
          </a:r>
        </a:p>
        <a:p>
          <a:pPr>
            <a:lnSpc>
              <a:spcPts val="900"/>
            </a:lnSpc>
          </a:pPr>
          <a:r>
            <a:rPr lang="es-CO" sz="800" b="1" baseline="0"/>
            <a:t>contacto: dmreyes@ean.edu.co - @dmreyesg</a:t>
          </a:r>
        </a:p>
        <a:p>
          <a:pPr>
            <a:lnSpc>
              <a:spcPts val="900"/>
            </a:lnSpc>
          </a:pPr>
          <a:r>
            <a:rPr lang="es-CO" sz="800" b="1" baseline="0"/>
            <a:t> </a:t>
          </a:r>
        </a:p>
        <a:p>
          <a:pPr>
            <a:lnSpc>
              <a:spcPts val="500"/>
            </a:lnSpc>
          </a:pPr>
          <a:endParaRPr lang="es-CO" sz="500"/>
        </a:p>
      </xdr:txBody>
    </xdr:sp>
    <xdr:clientData/>
  </xdr:twoCellAnchor>
  <xdr:twoCellAnchor editAs="oneCell">
    <xdr:from>
      <xdr:col>8</xdr:col>
      <xdr:colOff>581026</xdr:colOff>
      <xdr:row>1</xdr:row>
      <xdr:rowOff>38100</xdr:rowOff>
    </xdr:from>
    <xdr:to>
      <xdr:col>9</xdr:col>
      <xdr:colOff>695326</xdr:colOff>
      <xdr:row>6</xdr:row>
      <xdr:rowOff>41163</xdr:rowOff>
    </xdr:to>
    <xdr:pic>
      <xdr:nvPicPr>
        <xdr:cNvPr id="12" name="Imagen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6677026" y="228600"/>
          <a:ext cx="876300" cy="955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47625</xdr:colOff>
      <xdr:row>13</xdr:row>
      <xdr:rowOff>142866</xdr:rowOff>
    </xdr:from>
    <xdr:to>
      <xdr:col>9</xdr:col>
      <xdr:colOff>180975</xdr:colOff>
      <xdr:row>35</xdr:row>
      <xdr:rowOff>57149</xdr:rowOff>
    </xdr:to>
    <xdr:sp macro="" textlink="">
      <xdr:nvSpPr>
        <xdr:cNvPr id="6" name="5 Flecha doblada">
          <a:extLst>
            <a:ext uri="{FF2B5EF4-FFF2-40B4-BE49-F238E27FC236}">
              <a16:creationId xmlns:a16="http://schemas.microsoft.com/office/drawing/2014/main" id="{00000000-0008-0000-0100-000006000000}"/>
            </a:ext>
          </a:extLst>
        </xdr:cNvPr>
        <xdr:cNvSpPr/>
      </xdr:nvSpPr>
      <xdr:spPr>
        <a:xfrm rot="10800000">
          <a:off x="8296275" y="3495666"/>
          <a:ext cx="1066800" cy="4476758"/>
        </a:xfrm>
        <a:prstGeom prst="ben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tx1"/>
            </a:solidFill>
          </a:endParaRPr>
        </a:p>
      </xdr:txBody>
    </xdr:sp>
    <xdr:clientData/>
  </xdr:twoCellAnchor>
  <xdr:twoCellAnchor>
    <xdr:from>
      <xdr:col>8</xdr:col>
      <xdr:colOff>400050</xdr:colOff>
      <xdr:row>13</xdr:row>
      <xdr:rowOff>152399</xdr:rowOff>
    </xdr:from>
    <xdr:to>
      <xdr:col>9</xdr:col>
      <xdr:colOff>171450</xdr:colOff>
      <xdr:row>32</xdr:row>
      <xdr:rowOff>161925</xdr:rowOff>
    </xdr:to>
    <xdr:sp macro="" textlink="">
      <xdr:nvSpPr>
        <xdr:cNvPr id="7" name="6 CuadroTexto">
          <a:extLst>
            <a:ext uri="{FF2B5EF4-FFF2-40B4-BE49-F238E27FC236}">
              <a16:creationId xmlns:a16="http://schemas.microsoft.com/office/drawing/2014/main" id="{00000000-0008-0000-0100-000007000000}"/>
            </a:ext>
          </a:extLst>
        </xdr:cNvPr>
        <xdr:cNvSpPr txBox="1"/>
      </xdr:nvSpPr>
      <xdr:spPr>
        <a:xfrm>
          <a:off x="9115425" y="3505199"/>
          <a:ext cx="238125" cy="39814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900">
              <a:latin typeface="Arial Black" pitchFamily="34" charset="0"/>
              <a:cs typeface="Aharoni" pitchFamily="2" charset="-79"/>
            </a:rPr>
            <a:t>REVISA</a:t>
          </a:r>
          <a:r>
            <a:rPr lang="es-CO" sz="900" baseline="0">
              <a:latin typeface="Arial Black" pitchFamily="34" charset="0"/>
              <a:cs typeface="Aharoni" pitchFamily="2" charset="-79"/>
            </a:rPr>
            <a:t> LAS PROYECCIONES</a:t>
          </a:r>
          <a:endParaRPr lang="es-CO" sz="900">
            <a:latin typeface="Arial Black" pitchFamily="34" charset="0"/>
            <a:cs typeface="Aharoni" pitchFamily="2" charset="-79"/>
          </a:endParaRPr>
        </a:p>
      </xdr:txBody>
    </xdr:sp>
    <xdr:clientData/>
  </xdr:twoCellAnchor>
  <xdr:twoCellAnchor>
    <xdr:from>
      <xdr:col>10</xdr:col>
      <xdr:colOff>257175</xdr:colOff>
      <xdr:row>9</xdr:row>
      <xdr:rowOff>76200</xdr:rowOff>
    </xdr:from>
    <xdr:to>
      <xdr:col>27</xdr:col>
      <xdr:colOff>447675</xdr:colOff>
      <xdr:row>11</xdr:row>
      <xdr:rowOff>104775</xdr:rowOff>
    </xdr:to>
    <xdr:sp macro="" textlink="">
      <xdr:nvSpPr>
        <xdr:cNvPr id="5" name="4 CuadroTexto">
          <a:hlinkClick xmlns:r="http://schemas.openxmlformats.org/officeDocument/2006/relationships" r:id="rId1"/>
          <a:extLst>
            <a:ext uri="{FF2B5EF4-FFF2-40B4-BE49-F238E27FC236}">
              <a16:creationId xmlns:a16="http://schemas.microsoft.com/office/drawing/2014/main" id="{00000000-0008-0000-0100-000005000000}"/>
            </a:ext>
          </a:extLst>
        </xdr:cNvPr>
        <xdr:cNvSpPr txBox="1"/>
      </xdr:nvSpPr>
      <xdr:spPr>
        <a:xfrm>
          <a:off x="9505950" y="2667000"/>
          <a:ext cx="223837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304800</xdr:colOff>
      <xdr:row>12</xdr:row>
      <xdr:rowOff>142875</xdr:rowOff>
    </xdr:from>
    <xdr:to>
      <xdr:col>7</xdr:col>
      <xdr:colOff>295275</xdr:colOff>
      <xdr:row>18</xdr:row>
      <xdr:rowOff>152400</xdr:rowOff>
    </xdr:to>
    <xdr:sp macro="" textlink="">
      <xdr:nvSpPr>
        <xdr:cNvPr id="2" name="1 Flecha abajo">
          <a:extLst>
            <a:ext uri="{FF2B5EF4-FFF2-40B4-BE49-F238E27FC236}">
              <a16:creationId xmlns:a16="http://schemas.microsoft.com/office/drawing/2014/main" id="{00000000-0008-0000-0100-000002000000}"/>
            </a:ext>
          </a:extLst>
        </xdr:cNvPr>
        <xdr:cNvSpPr/>
      </xdr:nvSpPr>
      <xdr:spPr>
        <a:xfrm>
          <a:off x="7686675" y="3305175"/>
          <a:ext cx="457200" cy="13620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11</xdr:col>
      <xdr:colOff>0</xdr:colOff>
      <xdr:row>37</xdr:row>
      <xdr:rowOff>0</xdr:rowOff>
    </xdr:from>
    <xdr:to>
      <xdr:col>29</xdr:col>
      <xdr:colOff>255058</xdr:colOff>
      <xdr:row>40</xdr:row>
      <xdr:rowOff>136525</xdr:rowOff>
    </xdr:to>
    <xdr:sp macro="" textlink="">
      <xdr:nvSpPr>
        <xdr:cNvPr id="9" name="12 CuadroTexto">
          <a:hlinkClick xmlns:r="http://schemas.openxmlformats.org/officeDocument/2006/relationships" r:id="rId2"/>
          <a:extLst>
            <a:ext uri="{FF2B5EF4-FFF2-40B4-BE49-F238E27FC236}">
              <a16:creationId xmlns:a16="http://schemas.microsoft.com/office/drawing/2014/main" id="{00000000-0008-0000-0100-000009000000}"/>
            </a:ext>
          </a:extLst>
        </xdr:cNvPr>
        <xdr:cNvSpPr txBox="1"/>
      </xdr:nvSpPr>
      <xdr:spPr>
        <a:xfrm>
          <a:off x="9937750" y="831850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5</xdr:row>
      <xdr:rowOff>0</xdr:rowOff>
    </xdr:from>
    <xdr:to>
      <xdr:col>5</xdr:col>
      <xdr:colOff>1009650</xdr:colOff>
      <xdr:row>7</xdr:row>
      <xdr:rowOff>28575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200-000002000000}"/>
            </a:ext>
          </a:extLst>
        </xdr:cNvPr>
        <xdr:cNvSpPr txBox="1"/>
      </xdr:nvSpPr>
      <xdr:spPr>
        <a:xfrm>
          <a:off x="4438650" y="809625"/>
          <a:ext cx="2562225" cy="4095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685800</xdr:colOff>
      <xdr:row>19</xdr:row>
      <xdr:rowOff>171450</xdr:rowOff>
    </xdr:from>
    <xdr:to>
      <xdr:col>12</xdr:col>
      <xdr:colOff>676275</xdr:colOff>
      <xdr:row>23</xdr:row>
      <xdr:rowOff>107950</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9658350" y="3676650"/>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5</xdr:col>
      <xdr:colOff>781050</xdr:colOff>
      <xdr:row>13</xdr:row>
      <xdr:rowOff>152400</xdr:rowOff>
    </xdr:from>
    <xdr:to>
      <xdr:col>8</xdr:col>
      <xdr:colOff>504825</xdr:colOff>
      <xdr:row>15</xdr:row>
      <xdr:rowOff>133350</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300-000002000000}"/>
            </a:ext>
          </a:extLst>
        </xdr:cNvPr>
        <xdr:cNvSpPr txBox="1"/>
      </xdr:nvSpPr>
      <xdr:spPr>
        <a:xfrm>
          <a:off x="6115050" y="2771775"/>
          <a:ext cx="2562225" cy="371475"/>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8</xdr:col>
      <xdr:colOff>638175</xdr:colOff>
      <xdr:row>17</xdr:row>
      <xdr:rowOff>19050</xdr:rowOff>
    </xdr:from>
    <xdr:to>
      <xdr:col>12</xdr:col>
      <xdr:colOff>171450</xdr:colOff>
      <xdr:row>20</xdr:row>
      <xdr:rowOff>155575</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300-000004000000}"/>
            </a:ext>
          </a:extLst>
        </xdr:cNvPr>
        <xdr:cNvSpPr txBox="1"/>
      </xdr:nvSpPr>
      <xdr:spPr>
        <a:xfrm>
          <a:off x="9572625" y="3609975"/>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76201</xdr:colOff>
      <xdr:row>0</xdr:row>
      <xdr:rowOff>66675</xdr:rowOff>
    </xdr:from>
    <xdr:to>
      <xdr:col>9</xdr:col>
      <xdr:colOff>666750</xdr:colOff>
      <xdr:row>0</xdr:row>
      <xdr:rowOff>371475</xdr:rowOff>
    </xdr:to>
    <xdr:sp macro="" textlink="">
      <xdr:nvSpPr>
        <xdr:cNvPr id="2" name="1 CuadroTexto">
          <a:hlinkClick xmlns:r="http://schemas.openxmlformats.org/officeDocument/2006/relationships" r:id="rId1"/>
          <a:extLst>
            <a:ext uri="{FF2B5EF4-FFF2-40B4-BE49-F238E27FC236}">
              <a16:creationId xmlns:a16="http://schemas.microsoft.com/office/drawing/2014/main" id="{00000000-0008-0000-0400-000002000000}"/>
            </a:ext>
          </a:extLst>
        </xdr:cNvPr>
        <xdr:cNvSpPr txBox="1"/>
      </xdr:nvSpPr>
      <xdr:spPr>
        <a:xfrm>
          <a:off x="9486901" y="66675"/>
          <a:ext cx="2114549" cy="30480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a:t>
          </a:r>
          <a:r>
            <a:rPr lang="es-CO" sz="1400" b="1" baseline="0">
              <a:latin typeface="Arial" pitchFamily="34" charset="0"/>
              <a:cs typeface="Arial" pitchFamily="34" charset="0"/>
            </a:rPr>
            <a:t> AL MENÚ</a:t>
          </a:r>
          <a:endParaRPr lang="es-CO" sz="1400" b="1">
            <a:latin typeface="Arial" pitchFamily="34" charset="0"/>
            <a:cs typeface="Arial" pitchFamily="34" charset="0"/>
          </a:endParaRPr>
        </a:p>
      </xdr:txBody>
    </xdr:sp>
    <xdr:clientData/>
  </xdr:twoCellAnchor>
  <xdr:twoCellAnchor>
    <xdr:from>
      <xdr:col>7</xdr:col>
      <xdr:colOff>190500</xdr:colOff>
      <xdr:row>51</xdr:row>
      <xdr:rowOff>158750</xdr:rowOff>
    </xdr:from>
    <xdr:to>
      <xdr:col>11</xdr:col>
      <xdr:colOff>180975</xdr:colOff>
      <xdr:row>55</xdr:row>
      <xdr:rowOff>83609</xdr:rowOff>
    </xdr:to>
    <xdr:sp macro="" textlink="">
      <xdr:nvSpPr>
        <xdr:cNvPr id="4" name="12 CuadroTexto">
          <a:hlinkClick xmlns:r="http://schemas.openxmlformats.org/officeDocument/2006/relationships" r:id="rId2"/>
          <a:extLst>
            <a:ext uri="{FF2B5EF4-FFF2-40B4-BE49-F238E27FC236}">
              <a16:creationId xmlns:a16="http://schemas.microsoft.com/office/drawing/2014/main" id="{00000000-0008-0000-0400-000004000000}"/>
            </a:ext>
          </a:extLst>
        </xdr:cNvPr>
        <xdr:cNvSpPr txBox="1"/>
      </xdr:nvSpPr>
      <xdr:spPr>
        <a:xfrm>
          <a:off x="9842500" y="10689167"/>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857248</xdr:colOff>
      <xdr:row>13</xdr:row>
      <xdr:rowOff>128589</xdr:rowOff>
    </xdr:from>
    <xdr:to>
      <xdr:col>12</xdr:col>
      <xdr:colOff>190498</xdr:colOff>
      <xdr:row>26</xdr:row>
      <xdr:rowOff>28576</xdr:rowOff>
    </xdr:to>
    <xdr:graphicFrame macro="">
      <xdr:nvGraphicFramePr>
        <xdr:cNvPr id="2" name="1 Gráfico">
          <a:extLst>
            <a:ext uri="{FF2B5EF4-FFF2-40B4-BE49-F238E27FC236}">
              <a16:creationId xmlns:a16="http://schemas.microsoft.com/office/drawing/2014/main" id="{00000000-0008-0000-05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561976</xdr:colOff>
      <xdr:row>1</xdr:row>
      <xdr:rowOff>200025</xdr:rowOff>
    </xdr:from>
    <xdr:to>
      <xdr:col>8</xdr:col>
      <xdr:colOff>676276</xdr:colOff>
      <xdr:row>2</xdr:row>
      <xdr:rowOff>76200</xdr:rowOff>
    </xdr:to>
    <xdr:sp macro="" textlink="">
      <xdr:nvSpPr>
        <xdr:cNvPr id="3" name="2 CuadroTexto">
          <a:hlinkClick xmlns:r="http://schemas.openxmlformats.org/officeDocument/2006/relationships" r:id="rId2"/>
          <a:extLst>
            <a:ext uri="{FF2B5EF4-FFF2-40B4-BE49-F238E27FC236}">
              <a16:creationId xmlns:a16="http://schemas.microsoft.com/office/drawing/2014/main" id="{00000000-0008-0000-0500-000003000000}"/>
            </a:ext>
          </a:extLst>
        </xdr:cNvPr>
        <xdr:cNvSpPr txBox="1"/>
      </xdr:nvSpPr>
      <xdr:spPr>
        <a:xfrm>
          <a:off x="8334376" y="2000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6</xdr:col>
      <xdr:colOff>866776</xdr:colOff>
      <xdr:row>26</xdr:row>
      <xdr:rowOff>161925</xdr:rowOff>
    </xdr:from>
    <xdr:to>
      <xdr:col>9</xdr:col>
      <xdr:colOff>219076</xdr:colOff>
      <xdr:row>28</xdr:row>
      <xdr:rowOff>9525</xdr:rowOff>
    </xdr:to>
    <xdr:sp macro="" textlink="">
      <xdr:nvSpPr>
        <xdr:cNvPr id="4" name="3 CuadroTexto">
          <a:hlinkClick xmlns:r="http://schemas.openxmlformats.org/officeDocument/2006/relationships" r:id="rId2"/>
          <a:extLst>
            <a:ext uri="{FF2B5EF4-FFF2-40B4-BE49-F238E27FC236}">
              <a16:creationId xmlns:a16="http://schemas.microsoft.com/office/drawing/2014/main" id="{00000000-0008-0000-0500-000004000000}"/>
            </a:ext>
          </a:extLst>
        </xdr:cNvPr>
        <xdr:cNvSpPr txBox="1"/>
      </xdr:nvSpPr>
      <xdr:spPr>
        <a:xfrm>
          <a:off x="8639176" y="5800725"/>
          <a:ext cx="2152650" cy="361950"/>
        </a:xfrm>
        <a:prstGeom prst="rect">
          <a:avLst/>
        </a:prstGeom>
        <a:ln/>
      </xdr:spPr>
      <xdr:style>
        <a:lnRef idx="0">
          <a:schemeClr val="accent3"/>
        </a:lnRef>
        <a:fillRef idx="3">
          <a:schemeClr val="accent3"/>
        </a:fillRef>
        <a:effectRef idx="3">
          <a:schemeClr val="accent3"/>
        </a:effectRef>
        <a:fontRef idx="minor">
          <a:schemeClr val="lt1"/>
        </a:fontRef>
      </xdr:style>
      <xdr:txBody>
        <a:bodyPr vertOverflow="clip" horzOverflow="clip" wrap="square" rtlCol="0" anchor="ctr"/>
        <a:lstStyle/>
        <a:p>
          <a:pPr algn="ctr"/>
          <a:r>
            <a:rPr lang="es-CO" sz="1400" b="1">
              <a:latin typeface="Arial" pitchFamily="34" charset="0"/>
              <a:cs typeface="Arial" pitchFamily="34" charset="0"/>
            </a:rPr>
            <a:t>VOLVER AL MENÚ</a:t>
          </a:r>
        </a:p>
      </xdr:txBody>
    </xdr:sp>
    <xdr:clientData/>
  </xdr:twoCellAnchor>
  <xdr:twoCellAnchor>
    <xdr:from>
      <xdr:col>8</xdr:col>
      <xdr:colOff>59531</xdr:colOff>
      <xdr:row>30</xdr:row>
      <xdr:rowOff>154781</xdr:rowOff>
    </xdr:from>
    <xdr:to>
      <xdr:col>12</xdr:col>
      <xdr:colOff>14288</xdr:colOff>
      <xdr:row>34</xdr:row>
      <xdr:rowOff>100806</xdr:rowOff>
    </xdr:to>
    <xdr:sp macro="" textlink="">
      <xdr:nvSpPr>
        <xdr:cNvPr id="6" name="12 CuadroTexto">
          <a:hlinkClick xmlns:r="http://schemas.openxmlformats.org/officeDocument/2006/relationships" r:id="rId3"/>
          <a:extLst>
            <a:ext uri="{FF2B5EF4-FFF2-40B4-BE49-F238E27FC236}">
              <a16:creationId xmlns:a16="http://schemas.microsoft.com/office/drawing/2014/main" id="{00000000-0008-0000-0500-000006000000}"/>
            </a:ext>
          </a:extLst>
        </xdr:cNvPr>
        <xdr:cNvSpPr txBox="1"/>
      </xdr:nvSpPr>
      <xdr:spPr>
        <a:xfrm>
          <a:off x="10751344" y="6893719"/>
          <a:ext cx="3038475" cy="708025"/>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900"/>
            </a:lnSpc>
          </a:pPr>
          <a:r>
            <a:rPr lang="es-CO" sz="800" b="1"/>
            <a:t>Desarrollado por: Magíster Mauricio</a:t>
          </a:r>
          <a:r>
            <a:rPr lang="es-CO" sz="800" b="1" baseline="0"/>
            <a:t> Reyes Giraldo.</a:t>
          </a:r>
        </a:p>
        <a:p>
          <a:pPr>
            <a:lnSpc>
              <a:spcPts val="900"/>
            </a:lnSpc>
          </a:pPr>
          <a:r>
            <a:rPr lang="es-CO" sz="800" b="1" baseline="0"/>
            <a:t>Docente de Tiempo Completo Universidad EAN.</a:t>
          </a:r>
        </a:p>
        <a:p>
          <a:pPr>
            <a:lnSpc>
              <a:spcPts val="900"/>
            </a:lnSpc>
          </a:pPr>
          <a:r>
            <a:rPr lang="es-CO" sz="800" b="1" baseline="0"/>
            <a:t>Coordinador Núcleo de Emprendimiento Universidad  FEAV Univerisdad  -EAN.</a:t>
          </a:r>
        </a:p>
        <a:p>
          <a:pPr>
            <a:lnSpc>
              <a:spcPts val="900"/>
            </a:lnSpc>
          </a:pPr>
          <a:r>
            <a:rPr lang="es-CO" sz="800" b="1" baseline="0"/>
            <a:t>contacto: dmreyes@ean.edu.co</a:t>
          </a:r>
        </a:p>
        <a:p>
          <a:pPr>
            <a:lnSpc>
              <a:spcPts val="900"/>
            </a:lnSpc>
          </a:pPr>
          <a:r>
            <a:rPr lang="es-CO" sz="800" b="1" baseline="0"/>
            <a:t> </a:t>
          </a:r>
        </a:p>
        <a:p>
          <a:pPr>
            <a:lnSpc>
              <a:spcPts val="500"/>
            </a:lnSpc>
          </a:pPr>
          <a:endParaRPr lang="es-CO" sz="5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youtube.com/watch?v=m2meVNuuANI"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G23:H23"/>
  <sheetViews>
    <sheetView showGridLines="0" showRowColHeaders="0" tabSelected="1" view="pageBreakPreview" zoomScaleNormal="100" zoomScaleSheetLayoutView="100" workbookViewId="0">
      <selection activeCell="G23" sqref="G23:H23"/>
    </sheetView>
  </sheetViews>
  <sheetFormatPr baseColWidth="10" defaultRowHeight="15"/>
  <sheetData>
    <row r="23" spans="7:8" ht="20.25">
      <c r="G23" s="140" t="s">
        <v>135</v>
      </c>
      <c r="H23" s="140"/>
    </row>
  </sheetData>
  <sheetProtection algorithmName="SHA-512" hashValue="qMYMYC3mPprmgwq+iE0gDINjFQi/ooyDwKL4PJKrG/dV/hj/tQbfg1gZfjbKbJU6lprMrZyYtTpH9/wv5VBROg==" saltValue="sSdmD0maTdOHDSjElDeMAA==" spinCount="100000" sheet="1" objects="1" scenarios="1"/>
  <mergeCells count="1">
    <mergeCell ref="G23:H23"/>
  </mergeCells>
  <hyperlinks>
    <hyperlink ref="G23" r:id="rId1" xr:uid="{00000000-0004-0000-0000-000000000000}"/>
  </hyperlinks>
  <pageMargins left="0.7" right="0.7" top="0.75" bottom="0.75" header="0.3" footer="0.3"/>
  <pageSetup paperSize="9" scale="6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C35"/>
  <sheetViews>
    <sheetView showGridLines="0" topLeftCell="C1" zoomScaleNormal="100" workbookViewId="0">
      <selection activeCell="C39" sqref="C39"/>
    </sheetView>
  </sheetViews>
  <sheetFormatPr baseColWidth="10" defaultColWidth="11.42578125" defaultRowHeight="15"/>
  <cols>
    <col min="1" max="1" width="22.5703125" style="8" customWidth="1"/>
    <col min="2" max="2" width="34.5703125" style="8" bestFit="1" customWidth="1"/>
    <col min="3" max="6" width="28.5703125" style="8" bestFit="1" customWidth="1"/>
    <col min="7" max="10" width="9.42578125" style="8" bestFit="1" customWidth="1"/>
    <col min="11" max="11" width="4.28515625" style="8" customWidth="1"/>
    <col min="12" max="15" width="11.42578125" style="8" hidden="1" customWidth="1"/>
    <col min="16" max="19" width="12" style="8" hidden="1" customWidth="1"/>
    <col min="20" max="24" width="15.5703125" style="8" hidden="1" customWidth="1"/>
    <col min="25" max="25" width="22.140625" style="8" bestFit="1" customWidth="1"/>
    <col min="26" max="27" width="9.42578125" style="8" bestFit="1" customWidth="1"/>
    <col min="28" max="28" width="11.42578125" style="8" bestFit="1" customWidth="1"/>
    <col min="29" max="29" width="9.42578125" style="8" bestFit="1" customWidth="1"/>
    <col min="30" max="16384" width="11.42578125" style="8"/>
  </cols>
  <sheetData>
    <row r="1" spans="1:29" ht="30.75" customHeight="1">
      <c r="A1" s="142" t="s">
        <v>5</v>
      </c>
      <c r="B1" s="142"/>
      <c r="C1" s="142"/>
      <c r="D1" s="142"/>
      <c r="E1" s="142"/>
      <c r="G1" s="143" t="s">
        <v>12</v>
      </c>
      <c r="H1" s="143"/>
      <c r="I1" s="143"/>
      <c r="J1" s="143"/>
      <c r="P1" s="8" t="s">
        <v>16</v>
      </c>
      <c r="Y1" s="15" t="s">
        <v>9</v>
      </c>
      <c r="Z1" s="49">
        <v>2025</v>
      </c>
      <c r="AA1" s="16"/>
    </row>
    <row r="2" spans="1:29" ht="32.25" customHeight="1" thickBot="1">
      <c r="B2" s="17" t="s">
        <v>4</v>
      </c>
      <c r="C2" s="18" t="s">
        <v>0</v>
      </c>
      <c r="D2" s="17" t="s">
        <v>7</v>
      </c>
      <c r="E2" s="18" t="s">
        <v>1</v>
      </c>
      <c r="F2" s="19" t="s">
        <v>27</v>
      </c>
      <c r="G2" s="20">
        <f>'1'!Z1+1</f>
        <v>2026</v>
      </c>
      <c r="H2" s="20">
        <f>G2+1</f>
        <v>2027</v>
      </c>
      <c r="I2" s="20">
        <f>H2+1</f>
        <v>2028</v>
      </c>
      <c r="J2" s="20">
        <f>I2+1</f>
        <v>2029</v>
      </c>
      <c r="L2" s="8">
        <f>G2</f>
        <v>2026</v>
      </c>
      <c r="M2" s="8">
        <f>H2</f>
        <v>2027</v>
      </c>
      <c r="N2" s="8">
        <f>M2+1</f>
        <v>2028</v>
      </c>
      <c r="O2" s="8">
        <f>N2+1</f>
        <v>2029</v>
      </c>
      <c r="P2" s="8" t="s">
        <v>13</v>
      </c>
      <c r="Q2" s="8" t="s">
        <v>11</v>
      </c>
      <c r="R2" s="8" t="s">
        <v>23</v>
      </c>
      <c r="S2" s="8" t="s">
        <v>24</v>
      </c>
      <c r="T2" s="8" t="s">
        <v>17</v>
      </c>
      <c r="U2" s="8" t="s">
        <v>18</v>
      </c>
      <c r="V2" s="8" t="s">
        <v>25</v>
      </c>
      <c r="W2" s="8" t="s">
        <v>26</v>
      </c>
      <c r="Y2" s="16"/>
      <c r="Z2" s="16"/>
      <c r="AA2" s="16"/>
    </row>
    <row r="3" spans="1:29" ht="24" thickBot="1">
      <c r="A3" s="21">
        <v>1</v>
      </c>
      <c r="B3" s="13" t="s">
        <v>162</v>
      </c>
      <c r="C3" s="53">
        <v>36</v>
      </c>
      <c r="D3" s="14">
        <v>8000000</v>
      </c>
      <c r="E3" s="22">
        <f>C3*D3</f>
        <v>288000000</v>
      </c>
      <c r="F3" s="23">
        <f>IF($E$13=0,0,E3/$E$13)</f>
        <v>0.17266187050359713</v>
      </c>
      <c r="G3" s="118">
        <v>0.08</v>
      </c>
      <c r="H3" s="118">
        <v>0.12</v>
      </c>
      <c r="I3" s="118">
        <v>0.15</v>
      </c>
      <c r="J3" s="118">
        <v>0.18</v>
      </c>
      <c r="K3" s="24"/>
      <c r="L3" s="8">
        <f t="shared" ref="L3:L12" si="0">C3*(1+G3)</f>
        <v>38.880000000000003</v>
      </c>
      <c r="M3" s="8">
        <f>L3*(1+H3)</f>
        <v>43.545600000000007</v>
      </c>
      <c r="N3" s="8">
        <f>M3*(1+I3)</f>
        <v>50.077440000000003</v>
      </c>
      <c r="O3" s="8">
        <f>N3*(1+J3)</f>
        <v>59.091379199999999</v>
      </c>
      <c r="P3" s="25">
        <f>D3*(1+'1'!$Z$4)</f>
        <v>8352000</v>
      </c>
      <c r="Q3" s="25">
        <f>P3*(1+'1'!$AA$4)</f>
        <v>8719488</v>
      </c>
      <c r="R3" s="25">
        <f>Q3*(1+'1'!$AB$4)</f>
        <v>9103145.472000001</v>
      </c>
      <c r="S3" s="25">
        <f>R3*(1+'1'!$AC$4)</f>
        <v>9503683.8727680016</v>
      </c>
      <c r="T3" s="26">
        <f>L3*P3</f>
        <v>324725760</v>
      </c>
      <c r="U3" s="26">
        <f>M3*Q3</f>
        <v>379695336.65280008</v>
      </c>
      <c r="V3" s="26">
        <f>N3*R3</f>
        <v>455862221.18535173</v>
      </c>
      <c r="W3" s="26">
        <f>O3*S3</f>
        <v>561585787.52265847</v>
      </c>
      <c r="X3" s="26"/>
      <c r="Y3" s="27" t="s">
        <v>10</v>
      </c>
      <c r="Z3" s="28">
        <f>G2</f>
        <v>2026</v>
      </c>
      <c r="AA3" s="28">
        <f>Z3+1</f>
        <v>2027</v>
      </c>
      <c r="AB3" s="28">
        <f>AA3+1</f>
        <v>2028</v>
      </c>
      <c r="AC3" s="29">
        <f>AB3+1</f>
        <v>2029</v>
      </c>
    </row>
    <row r="4" spans="1:29" ht="23.25">
      <c r="A4" s="21">
        <f>A3+1</f>
        <v>2</v>
      </c>
      <c r="B4" s="13" t="s">
        <v>163</v>
      </c>
      <c r="C4" s="53">
        <v>36</v>
      </c>
      <c r="D4" s="14">
        <v>8000000</v>
      </c>
      <c r="E4" s="22">
        <f t="shared" ref="E4:E12" si="1">C4*D4</f>
        <v>288000000</v>
      </c>
      <c r="F4" s="23">
        <f t="shared" ref="F4:F12" si="2">IF($E$13=0,0,E4/$E$13)</f>
        <v>0.17266187050359713</v>
      </c>
      <c r="G4" s="118">
        <v>0.08</v>
      </c>
      <c r="H4" s="118">
        <v>0.12</v>
      </c>
      <c r="I4" s="118">
        <v>0.15</v>
      </c>
      <c r="J4" s="118">
        <v>0.18</v>
      </c>
      <c r="K4" s="24"/>
      <c r="L4" s="8">
        <f t="shared" si="0"/>
        <v>38.880000000000003</v>
      </c>
      <c r="M4" s="8">
        <f t="shared" ref="M4:M12" si="3">L4*(1+H4)</f>
        <v>43.545600000000007</v>
      </c>
      <c r="N4" s="8">
        <f t="shared" ref="N4:N12" si="4">M4*(1+I4)</f>
        <v>50.077440000000003</v>
      </c>
      <c r="O4" s="8">
        <f t="shared" ref="O4:O12" si="5">N4*(1+J4)</f>
        <v>59.091379199999999</v>
      </c>
      <c r="P4" s="25">
        <f>D4*(1+'1'!$Z$4)</f>
        <v>8352000</v>
      </c>
      <c r="Q4" s="25">
        <f>P4*(1+'1'!$AA$4)</f>
        <v>8719488</v>
      </c>
      <c r="R4" s="25">
        <f>Q4*(1+'1'!$AB$4)</f>
        <v>9103145.472000001</v>
      </c>
      <c r="S4" s="25">
        <f>R4*(1+'1'!$AC$4)</f>
        <v>9503683.8727680016</v>
      </c>
      <c r="T4" s="26">
        <f t="shared" ref="T4:T12" si="6">L4*P4</f>
        <v>324725760</v>
      </c>
      <c r="U4" s="26">
        <f t="shared" ref="U4:U12" si="7">M4*Q4</f>
        <v>379695336.65280008</v>
      </c>
      <c r="V4" s="26">
        <f t="shared" ref="V4:V12" si="8">N4*R4</f>
        <v>455862221.18535173</v>
      </c>
      <c r="W4" s="26">
        <f t="shared" ref="W4:W12" si="9">O4*S4</f>
        <v>561585787.52265847</v>
      </c>
      <c r="X4" s="26"/>
      <c r="Y4" s="120" t="s">
        <v>14</v>
      </c>
      <c r="Z4" s="50">
        <v>4.3999999999999997E-2</v>
      </c>
      <c r="AA4" s="50">
        <v>4.3999999999999997E-2</v>
      </c>
      <c r="AB4" s="50">
        <v>4.3999999999999997E-2</v>
      </c>
      <c r="AC4" s="50">
        <v>4.3999999999999997E-2</v>
      </c>
    </row>
    <row r="5" spans="1:29" ht="24" thickBot="1">
      <c r="A5" s="21">
        <f t="shared" ref="A5:A12" si="10">A4+1</f>
        <v>3</v>
      </c>
      <c r="B5" s="13" t="s">
        <v>168</v>
      </c>
      <c r="C5" s="53">
        <v>12</v>
      </c>
      <c r="D5" s="14">
        <v>8000000</v>
      </c>
      <c r="E5" s="22">
        <f t="shared" si="1"/>
        <v>96000000</v>
      </c>
      <c r="F5" s="23">
        <f t="shared" si="2"/>
        <v>5.7553956834532377E-2</v>
      </c>
      <c r="G5" s="118">
        <v>0.08</v>
      </c>
      <c r="H5" s="118">
        <v>0.12</v>
      </c>
      <c r="I5" s="118">
        <v>0.15</v>
      </c>
      <c r="J5" s="118">
        <v>0.18</v>
      </c>
      <c r="K5" s="24"/>
      <c r="L5" s="8">
        <f t="shared" si="0"/>
        <v>12.96</v>
      </c>
      <c r="M5" s="8">
        <f t="shared" si="3"/>
        <v>14.515200000000002</v>
      </c>
      <c r="N5" s="8">
        <f t="shared" si="4"/>
        <v>16.69248</v>
      </c>
      <c r="O5" s="8">
        <f t="shared" si="5"/>
        <v>19.697126399999998</v>
      </c>
      <c r="P5" s="25">
        <f>D5*(1+'1'!$Z$4)</f>
        <v>8352000</v>
      </c>
      <c r="Q5" s="25">
        <f>P5*(1+'1'!$AA$4)</f>
        <v>8719488</v>
      </c>
      <c r="R5" s="25">
        <f>Q5*(1+'1'!$AB$4)</f>
        <v>9103145.472000001</v>
      </c>
      <c r="S5" s="25">
        <f>R5*(1+'1'!$AC$4)</f>
        <v>9503683.8727680016</v>
      </c>
      <c r="T5" s="26">
        <f t="shared" si="6"/>
        <v>108241920</v>
      </c>
      <c r="U5" s="26">
        <f t="shared" si="7"/>
        <v>126565112.21760002</v>
      </c>
      <c r="V5" s="26">
        <f t="shared" si="8"/>
        <v>151954073.72845057</v>
      </c>
      <c r="W5" s="26">
        <f t="shared" si="9"/>
        <v>187195262.50755283</v>
      </c>
      <c r="X5" s="26"/>
      <c r="Y5" s="121" t="s">
        <v>15</v>
      </c>
      <c r="Z5" s="51">
        <v>3.8399999999999997E-2</v>
      </c>
      <c r="AA5" s="51">
        <v>3.8399999999999997E-2</v>
      </c>
      <c r="AB5" s="51">
        <v>3.8399999999999997E-2</v>
      </c>
      <c r="AC5" s="51">
        <v>3.8399999999999997E-2</v>
      </c>
    </row>
    <row r="6" spans="1:29" ht="15.75" thickBot="1">
      <c r="A6" s="21">
        <f t="shared" si="10"/>
        <v>4</v>
      </c>
      <c r="B6" s="13" t="s">
        <v>164</v>
      </c>
      <c r="C6" s="53">
        <v>48</v>
      </c>
      <c r="D6" s="14">
        <v>6000000</v>
      </c>
      <c r="E6" s="22">
        <f t="shared" si="1"/>
        <v>288000000</v>
      </c>
      <c r="F6" s="23">
        <f t="shared" si="2"/>
        <v>0.17266187050359713</v>
      </c>
      <c r="G6" s="118">
        <v>0.08</v>
      </c>
      <c r="H6" s="118">
        <v>0.12</v>
      </c>
      <c r="I6" s="118">
        <v>0.15</v>
      </c>
      <c r="J6" s="118">
        <v>0.18</v>
      </c>
      <c r="K6" s="24"/>
      <c r="L6" s="8">
        <f t="shared" si="0"/>
        <v>51.84</v>
      </c>
      <c r="M6" s="8">
        <f t="shared" si="3"/>
        <v>58.060800000000008</v>
      </c>
      <c r="N6" s="8">
        <f t="shared" si="4"/>
        <v>66.769919999999999</v>
      </c>
      <c r="O6" s="8">
        <f t="shared" si="5"/>
        <v>78.788505599999993</v>
      </c>
      <c r="P6" s="25">
        <f>D6*(1+'1'!$Z$4)</f>
        <v>6264000</v>
      </c>
      <c r="Q6" s="25">
        <f>P6*(1+'1'!$AA$4)</f>
        <v>6539616</v>
      </c>
      <c r="R6" s="25">
        <f>Q6*(1+'1'!$AB$4)</f>
        <v>6827359.1040000003</v>
      </c>
      <c r="S6" s="25">
        <f>R6*(1+'1'!$AC$4)</f>
        <v>7127762.9045760008</v>
      </c>
      <c r="T6" s="26">
        <f t="shared" si="6"/>
        <v>324725760</v>
      </c>
      <c r="U6" s="26">
        <f t="shared" si="7"/>
        <v>379695336.65280002</v>
      </c>
      <c r="V6" s="26">
        <f t="shared" si="8"/>
        <v>455862221.18535167</v>
      </c>
      <c r="W6" s="26">
        <f t="shared" si="9"/>
        <v>561585787.52265847</v>
      </c>
      <c r="X6" s="26"/>
    </row>
    <row r="7" spans="1:29" ht="24" thickBot="1">
      <c r="A7" s="21">
        <f t="shared" si="10"/>
        <v>5</v>
      </c>
      <c r="B7" s="13" t="s">
        <v>165</v>
      </c>
      <c r="C7" s="53">
        <v>12</v>
      </c>
      <c r="D7" s="14">
        <v>5000000</v>
      </c>
      <c r="E7" s="22">
        <f t="shared" si="1"/>
        <v>60000000</v>
      </c>
      <c r="F7" s="23">
        <f t="shared" si="2"/>
        <v>3.5971223021582732E-2</v>
      </c>
      <c r="G7" s="118">
        <v>0.08</v>
      </c>
      <c r="H7" s="118">
        <v>0.12</v>
      </c>
      <c r="I7" s="118">
        <v>0.15</v>
      </c>
      <c r="J7" s="118">
        <v>0.18</v>
      </c>
      <c r="K7" s="24"/>
      <c r="L7" s="8">
        <f t="shared" si="0"/>
        <v>12.96</v>
      </c>
      <c r="M7" s="8">
        <f t="shared" si="3"/>
        <v>14.515200000000002</v>
      </c>
      <c r="N7" s="8">
        <f t="shared" si="4"/>
        <v>16.69248</v>
      </c>
      <c r="O7" s="8">
        <f t="shared" si="5"/>
        <v>19.697126399999998</v>
      </c>
      <c r="P7" s="25">
        <f>D7*(1+'1'!$Z$4)</f>
        <v>5220000</v>
      </c>
      <c r="Q7" s="25">
        <f>P7*(1+'1'!$AA$4)</f>
        <v>5449680</v>
      </c>
      <c r="R7" s="25">
        <f>Q7*(1+'1'!$AB$4)</f>
        <v>5689465.9199999999</v>
      </c>
      <c r="S7" s="25">
        <f>R7*(1+'1'!$AC$4)</f>
        <v>5939802.4204799999</v>
      </c>
      <c r="T7" s="26">
        <f t="shared" si="6"/>
        <v>67651200</v>
      </c>
      <c r="U7" s="26">
        <f t="shared" si="7"/>
        <v>79103195.136000007</v>
      </c>
      <c r="V7" s="26">
        <f t="shared" si="8"/>
        <v>94971296.0802816</v>
      </c>
      <c r="W7" s="26">
        <f t="shared" si="9"/>
        <v>116997039.06722049</v>
      </c>
      <c r="X7" s="26"/>
      <c r="Y7" s="30" t="s">
        <v>91</v>
      </c>
      <c r="Z7" s="31"/>
      <c r="AA7" s="31"/>
      <c r="AB7" s="52">
        <v>0.27</v>
      </c>
      <c r="AC7" s="32"/>
    </row>
    <row r="8" spans="1:29">
      <c r="A8" s="21">
        <f t="shared" si="10"/>
        <v>6</v>
      </c>
      <c r="B8" s="13" t="s">
        <v>167</v>
      </c>
      <c r="C8" s="53">
        <v>12</v>
      </c>
      <c r="D8" s="14">
        <v>10000000</v>
      </c>
      <c r="E8" s="22">
        <f t="shared" si="1"/>
        <v>120000000</v>
      </c>
      <c r="F8" s="23">
        <f t="shared" si="2"/>
        <v>7.1942446043165464E-2</v>
      </c>
      <c r="G8" s="118">
        <v>0.08</v>
      </c>
      <c r="H8" s="118">
        <v>0.12</v>
      </c>
      <c r="I8" s="118">
        <v>0.15</v>
      </c>
      <c r="J8" s="118">
        <v>0.18</v>
      </c>
      <c r="K8" s="24"/>
      <c r="L8" s="8">
        <f t="shared" si="0"/>
        <v>12.96</v>
      </c>
      <c r="M8" s="8">
        <f t="shared" si="3"/>
        <v>14.515200000000002</v>
      </c>
      <c r="N8" s="8">
        <f t="shared" si="4"/>
        <v>16.69248</v>
      </c>
      <c r="O8" s="8">
        <f t="shared" si="5"/>
        <v>19.697126399999998</v>
      </c>
      <c r="P8" s="25">
        <f>D8*(1+'1'!$Z$4)</f>
        <v>10440000</v>
      </c>
      <c r="Q8" s="25">
        <f>P8*(1+'1'!$AA$4)</f>
        <v>10899360</v>
      </c>
      <c r="R8" s="25">
        <f>Q8*(1+'1'!$AB$4)</f>
        <v>11378931.84</v>
      </c>
      <c r="S8" s="25">
        <f>R8*(1+'1'!$AC$4)</f>
        <v>11879604.84096</v>
      </c>
      <c r="T8" s="26">
        <f t="shared" si="6"/>
        <v>135302400</v>
      </c>
      <c r="U8" s="26">
        <f t="shared" si="7"/>
        <v>158206390.27200001</v>
      </c>
      <c r="V8" s="26">
        <f t="shared" si="8"/>
        <v>189942592.1605632</v>
      </c>
      <c r="W8" s="26">
        <f t="shared" si="9"/>
        <v>233994078.13444099</v>
      </c>
      <c r="X8" s="26"/>
    </row>
    <row r="9" spans="1:29">
      <c r="A9" s="21">
        <f t="shared" si="10"/>
        <v>7</v>
      </c>
      <c r="B9" s="13" t="s">
        <v>166</v>
      </c>
      <c r="C9" s="53">
        <v>12</v>
      </c>
      <c r="D9" s="14">
        <v>7000000</v>
      </c>
      <c r="E9" s="22">
        <f t="shared" si="1"/>
        <v>84000000</v>
      </c>
      <c r="F9" s="23">
        <f t="shared" si="2"/>
        <v>5.0359712230215826E-2</v>
      </c>
      <c r="G9" s="118">
        <v>0.08</v>
      </c>
      <c r="H9" s="118">
        <v>0.12</v>
      </c>
      <c r="I9" s="118">
        <v>0.15</v>
      </c>
      <c r="J9" s="118">
        <v>0.18</v>
      </c>
      <c r="K9" s="24"/>
      <c r="L9" s="8">
        <f t="shared" si="0"/>
        <v>12.96</v>
      </c>
      <c r="M9" s="8">
        <f t="shared" si="3"/>
        <v>14.515200000000002</v>
      </c>
      <c r="N9" s="8">
        <f t="shared" si="4"/>
        <v>16.69248</v>
      </c>
      <c r="O9" s="8">
        <f t="shared" si="5"/>
        <v>19.697126399999998</v>
      </c>
      <c r="P9" s="25">
        <f>D9*(1+'1'!$Z$4)</f>
        <v>7308000</v>
      </c>
      <c r="Q9" s="25">
        <f>P9*(1+'1'!$AA$4)</f>
        <v>7629552</v>
      </c>
      <c r="R9" s="25">
        <f>Q9*(1+'1'!$AB$4)</f>
        <v>7965252.2880000006</v>
      </c>
      <c r="S9" s="25">
        <f>R9*(1+'1'!$AC$4)</f>
        <v>8315723.3886720007</v>
      </c>
      <c r="T9" s="26">
        <f t="shared" si="6"/>
        <v>94711680</v>
      </c>
      <c r="U9" s="26">
        <f t="shared" si="7"/>
        <v>110744473.19040002</v>
      </c>
      <c r="V9" s="26">
        <f t="shared" si="8"/>
        <v>132959814.51239425</v>
      </c>
      <c r="W9" s="26">
        <f t="shared" si="9"/>
        <v>163795854.69410872</v>
      </c>
      <c r="X9" s="26"/>
    </row>
    <row r="10" spans="1:29">
      <c r="A10" s="21">
        <f t="shared" si="10"/>
        <v>8</v>
      </c>
      <c r="B10" s="13" t="s">
        <v>169</v>
      </c>
      <c r="C10" s="53">
        <v>12</v>
      </c>
      <c r="D10" s="14">
        <v>4000000</v>
      </c>
      <c r="E10" s="22">
        <f t="shared" si="1"/>
        <v>48000000</v>
      </c>
      <c r="F10" s="23">
        <f t="shared" si="2"/>
        <v>2.8776978417266189E-2</v>
      </c>
      <c r="G10" s="118">
        <v>0.08</v>
      </c>
      <c r="H10" s="118">
        <v>0.12</v>
      </c>
      <c r="I10" s="118">
        <v>0.15</v>
      </c>
      <c r="J10" s="118">
        <v>0.18</v>
      </c>
      <c r="K10" s="24"/>
      <c r="L10" s="8">
        <f t="shared" si="0"/>
        <v>12.96</v>
      </c>
      <c r="M10" s="8">
        <f t="shared" si="3"/>
        <v>14.515200000000002</v>
      </c>
      <c r="N10" s="8">
        <f t="shared" si="4"/>
        <v>16.69248</v>
      </c>
      <c r="O10" s="8">
        <f t="shared" si="5"/>
        <v>19.697126399999998</v>
      </c>
      <c r="P10" s="25">
        <f>D10*(1+'1'!$Z$4)</f>
        <v>4176000</v>
      </c>
      <c r="Q10" s="25">
        <f>P10*(1+'1'!$AA$4)</f>
        <v>4359744</v>
      </c>
      <c r="R10" s="25">
        <f>Q10*(1+'1'!$AB$4)</f>
        <v>4551572.7360000005</v>
      </c>
      <c r="S10" s="25">
        <f>R10*(1+'1'!$AC$4)</f>
        <v>4751841.9363840008</v>
      </c>
      <c r="T10" s="26">
        <f t="shared" si="6"/>
        <v>54120960</v>
      </c>
      <c r="U10" s="26">
        <f t="shared" si="7"/>
        <v>63282556.108800009</v>
      </c>
      <c r="V10" s="26">
        <f t="shared" si="8"/>
        <v>75977036.864225283</v>
      </c>
      <c r="W10" s="26">
        <f t="shared" si="9"/>
        <v>93597631.253776416</v>
      </c>
      <c r="X10" s="26"/>
    </row>
    <row r="11" spans="1:29">
      <c r="A11" s="21">
        <f t="shared" si="10"/>
        <v>9</v>
      </c>
      <c r="B11" s="13" t="s">
        <v>170</v>
      </c>
      <c r="C11" s="53">
        <v>60</v>
      </c>
      <c r="D11" s="14">
        <v>3000000</v>
      </c>
      <c r="E11" s="22">
        <f t="shared" si="1"/>
        <v>180000000</v>
      </c>
      <c r="F11" s="23">
        <f t="shared" si="2"/>
        <v>0.1079136690647482</v>
      </c>
      <c r="G11" s="118">
        <v>0.08</v>
      </c>
      <c r="H11" s="118">
        <v>0.12</v>
      </c>
      <c r="I11" s="118">
        <v>0.15</v>
      </c>
      <c r="J11" s="118">
        <v>0.18</v>
      </c>
      <c r="K11" s="24"/>
      <c r="L11" s="8">
        <f t="shared" si="0"/>
        <v>64.800000000000011</v>
      </c>
      <c r="M11" s="8">
        <f t="shared" si="3"/>
        <v>72.576000000000022</v>
      </c>
      <c r="N11" s="8">
        <f t="shared" si="4"/>
        <v>83.462400000000017</v>
      </c>
      <c r="O11" s="8">
        <f t="shared" si="5"/>
        <v>98.48563200000001</v>
      </c>
      <c r="P11" s="25">
        <f>D11*(1+'1'!$Z$4)</f>
        <v>3132000</v>
      </c>
      <c r="Q11" s="25">
        <f>P11*(1+'1'!$AA$4)</f>
        <v>3269808</v>
      </c>
      <c r="R11" s="25">
        <f>Q11*(1+'1'!$AB$4)</f>
        <v>3413679.5520000001</v>
      </c>
      <c r="S11" s="25">
        <f>R11*(1+'1'!$AC$4)</f>
        <v>3563881.4522880004</v>
      </c>
      <c r="T11" s="26">
        <f t="shared" si="6"/>
        <v>202953600.00000003</v>
      </c>
      <c r="U11" s="26">
        <f t="shared" si="7"/>
        <v>237309585.40800008</v>
      </c>
      <c r="V11" s="26">
        <f t="shared" si="8"/>
        <v>284913888.24084485</v>
      </c>
      <c r="W11" s="26">
        <f t="shared" si="9"/>
        <v>350991117.20166159</v>
      </c>
      <c r="X11" s="26"/>
    </row>
    <row r="12" spans="1:29">
      <c r="A12" s="21">
        <f t="shared" si="10"/>
        <v>10</v>
      </c>
      <c r="B12" s="13" t="s">
        <v>171</v>
      </c>
      <c r="C12" s="53">
        <v>48</v>
      </c>
      <c r="D12" s="14">
        <v>4500000</v>
      </c>
      <c r="E12" s="22">
        <f t="shared" si="1"/>
        <v>216000000</v>
      </c>
      <c r="F12" s="23">
        <f t="shared" si="2"/>
        <v>0.12949640287769784</v>
      </c>
      <c r="G12" s="118">
        <v>0.08</v>
      </c>
      <c r="H12" s="118">
        <v>0.12</v>
      </c>
      <c r="I12" s="118">
        <v>0.15</v>
      </c>
      <c r="J12" s="118">
        <v>0.18</v>
      </c>
      <c r="K12" s="24"/>
      <c r="L12" s="8">
        <f t="shared" si="0"/>
        <v>51.84</v>
      </c>
      <c r="M12" s="8">
        <f t="shared" si="3"/>
        <v>58.060800000000008</v>
      </c>
      <c r="N12" s="8">
        <f t="shared" si="4"/>
        <v>66.769919999999999</v>
      </c>
      <c r="O12" s="8">
        <f t="shared" si="5"/>
        <v>78.788505599999993</v>
      </c>
      <c r="P12" s="25">
        <f>D12*(1+'1'!$Z$4)</f>
        <v>4698000</v>
      </c>
      <c r="Q12" s="25">
        <f>P12*(1+'1'!$AA$4)</f>
        <v>4904712</v>
      </c>
      <c r="R12" s="25">
        <f>Q12*(1+'1'!$AB$4)</f>
        <v>5120519.3279999997</v>
      </c>
      <c r="S12" s="25">
        <f>R12*(1+'1'!$AC$4)</f>
        <v>5345822.1784319999</v>
      </c>
      <c r="T12" s="26">
        <f t="shared" si="6"/>
        <v>243544320.00000003</v>
      </c>
      <c r="U12" s="26">
        <f t="shared" si="7"/>
        <v>284771502.48960006</v>
      </c>
      <c r="V12" s="26">
        <f t="shared" si="8"/>
        <v>341896665.88901377</v>
      </c>
      <c r="W12" s="26">
        <f t="shared" si="9"/>
        <v>421189340.64199376</v>
      </c>
      <c r="X12" s="26"/>
    </row>
    <row r="13" spans="1:29">
      <c r="D13" s="8" t="s">
        <v>8</v>
      </c>
      <c r="E13" s="33">
        <f>SUM(E3:E12)</f>
        <v>1668000000</v>
      </c>
      <c r="F13" s="34">
        <f>SUM(F3:F12)</f>
        <v>1.0000000000000002</v>
      </c>
      <c r="T13" s="35">
        <f>SUM(T3:T12)</f>
        <v>1880703360</v>
      </c>
      <c r="U13" s="35">
        <f>SUM(U3:U12)</f>
        <v>2199068824.7808003</v>
      </c>
      <c r="V13" s="35">
        <f>SUM(V3:V12)</f>
        <v>2640202031.0318284</v>
      </c>
      <c r="W13" s="35">
        <f>SUM(W3:W12)</f>
        <v>3252517686.0687304</v>
      </c>
      <c r="X13" s="26"/>
    </row>
    <row r="15" spans="1:29" ht="23.25" customHeight="1">
      <c r="A15" s="142" t="s">
        <v>6</v>
      </c>
      <c r="B15" s="142"/>
      <c r="C15" s="142"/>
      <c r="D15" s="142"/>
      <c r="E15" s="142"/>
      <c r="G15" s="36"/>
    </row>
    <row r="16" spans="1:29" ht="25.5" customHeight="1">
      <c r="B16" s="17" t="s">
        <v>3</v>
      </c>
      <c r="C16" s="37" t="s">
        <v>0</v>
      </c>
      <c r="D16" s="112" t="s">
        <v>137</v>
      </c>
      <c r="E16" s="18" t="s">
        <v>2</v>
      </c>
      <c r="L16" s="8">
        <f>L2</f>
        <v>2026</v>
      </c>
      <c r="M16" s="8">
        <f t="shared" ref="M16:W16" si="11">M2</f>
        <v>2027</v>
      </c>
      <c r="N16" s="8">
        <f t="shared" si="11"/>
        <v>2028</v>
      </c>
      <c r="O16" s="8">
        <f t="shared" si="11"/>
        <v>2029</v>
      </c>
      <c r="P16" s="8" t="str">
        <f t="shared" si="11"/>
        <v>AÑO 2</v>
      </c>
      <c r="Q16" s="8" t="str">
        <f t="shared" si="11"/>
        <v>AÑO 3</v>
      </c>
      <c r="R16" s="8" t="str">
        <f t="shared" si="11"/>
        <v>AÑO 4</v>
      </c>
      <c r="S16" s="8" t="str">
        <f t="shared" si="11"/>
        <v>AÑO 5</v>
      </c>
      <c r="T16" s="8" t="str">
        <f t="shared" si="11"/>
        <v>año 2</v>
      </c>
      <c r="U16" s="8" t="str">
        <f t="shared" si="11"/>
        <v>año 3</v>
      </c>
      <c r="V16" s="8" t="str">
        <f t="shared" si="11"/>
        <v>año 4</v>
      </c>
      <c r="W16" s="8" t="str">
        <f t="shared" si="11"/>
        <v>año 5</v>
      </c>
    </row>
    <row r="17" spans="1:24">
      <c r="A17" s="21">
        <f>A3</f>
        <v>1</v>
      </c>
      <c r="B17" s="92" t="str">
        <f>B3</f>
        <v>Diagnóstico de madurez analítica</v>
      </c>
      <c r="C17" s="39">
        <f>C3</f>
        <v>36</v>
      </c>
      <c r="D17" s="14">
        <v>1000000</v>
      </c>
      <c r="E17" s="22">
        <f>C17*D17</f>
        <v>36000000</v>
      </c>
      <c r="F17" s="23">
        <f>IF($E$27=0,0,E17/$E$27)</f>
        <v>7.407407407407407E-2</v>
      </c>
      <c r="L17" s="8">
        <f t="shared" ref="L17:L26" si="12">C17*(1+G3)</f>
        <v>38.880000000000003</v>
      </c>
      <c r="M17" s="8">
        <f>L17*(1+H3)</f>
        <v>43.545600000000007</v>
      </c>
      <c r="N17" s="8">
        <f>M17*(1+I3)</f>
        <v>50.077440000000003</v>
      </c>
      <c r="O17" s="8">
        <f>N17*(1+J3)</f>
        <v>59.091379199999999</v>
      </c>
      <c r="P17" s="40">
        <f>D17*(1+'1'!$Z$5)</f>
        <v>1038400</v>
      </c>
      <c r="Q17" s="25">
        <f>P17*(1+'1'!$AA$5)</f>
        <v>1078274.5600000001</v>
      </c>
      <c r="R17" s="25">
        <f>Q17*(1+'1'!$AB$5)</f>
        <v>1119680.3031039999</v>
      </c>
      <c r="S17" s="25">
        <f>R17*(1+'1'!$AC$5)</f>
        <v>1162676.0267431936</v>
      </c>
      <c r="T17" s="40">
        <f t="shared" ref="T17:U19" si="13">L17*P17</f>
        <v>40372992</v>
      </c>
      <c r="U17" s="26">
        <f t="shared" si="13"/>
        <v>46954112.679936014</v>
      </c>
      <c r="V17" s="26">
        <f>N17*R17</f>
        <v>56070723.19787237</v>
      </c>
      <c r="W17" s="26">
        <f>O17*S17</f>
        <v>68704129.983031392</v>
      </c>
      <c r="X17" s="26"/>
    </row>
    <row r="18" spans="1:24">
      <c r="A18" s="21">
        <f t="shared" ref="A18:B25" si="14">A4</f>
        <v>2</v>
      </c>
      <c r="B18" s="41" t="str">
        <f t="shared" si="14"/>
        <v>Implementación de dashboards</v>
      </c>
      <c r="C18" s="39">
        <f t="shared" ref="C18:C26" si="15">C4</f>
        <v>36</v>
      </c>
      <c r="D18" s="14">
        <v>2500000</v>
      </c>
      <c r="E18" s="22">
        <f t="shared" ref="E18:E26" si="16">C18*D18</f>
        <v>90000000</v>
      </c>
      <c r="F18" s="23">
        <f t="shared" ref="F18:F26" si="17">IF($E$27=0,0,E18/$E$27)</f>
        <v>0.18518518518518517</v>
      </c>
      <c r="L18" s="8">
        <f t="shared" si="12"/>
        <v>38.880000000000003</v>
      </c>
      <c r="M18" s="8">
        <f t="shared" ref="M18:M26" si="18">L18*(1+H4)</f>
        <v>43.545600000000007</v>
      </c>
      <c r="N18" s="8">
        <f t="shared" ref="N18:N26" si="19">M18*(1+I4)</f>
        <v>50.077440000000003</v>
      </c>
      <c r="O18" s="8">
        <f t="shared" ref="O18:O26" si="20">N18*(1+J4)</f>
        <v>59.091379199999999</v>
      </c>
      <c r="P18" s="40">
        <f>D18*(1+'1'!$Z$5)</f>
        <v>2596000</v>
      </c>
      <c r="Q18" s="25">
        <f>P18*(1+'1'!$AA$5)</f>
        <v>2695686.4</v>
      </c>
      <c r="R18" s="25">
        <f>Q18*(1+'1'!$AB$5)</f>
        <v>2799200.7577599999</v>
      </c>
      <c r="S18" s="25">
        <f>R18*(1+'1'!$AC$5)</f>
        <v>2906690.0668579838</v>
      </c>
      <c r="T18" s="40">
        <f t="shared" si="13"/>
        <v>100932480</v>
      </c>
      <c r="U18" s="26">
        <f t="shared" si="13"/>
        <v>117385281.69984001</v>
      </c>
      <c r="V18" s="26">
        <f t="shared" ref="V18:V26" si="21">N18*R18</f>
        <v>140176807.99468094</v>
      </c>
      <c r="W18" s="26">
        <f t="shared" ref="W18:W26" si="22">O18*S18</f>
        <v>171760324.95757848</v>
      </c>
      <c r="X18" s="26"/>
    </row>
    <row r="19" spans="1:24">
      <c r="A19" s="21">
        <f t="shared" si="14"/>
        <v>3</v>
      </c>
      <c r="B19" s="41" t="str">
        <f t="shared" si="14"/>
        <v>Modelo predictivo básico</v>
      </c>
      <c r="C19" s="39">
        <f t="shared" si="15"/>
        <v>12</v>
      </c>
      <c r="D19" s="14">
        <v>3000000</v>
      </c>
      <c r="E19" s="22">
        <f t="shared" si="16"/>
        <v>36000000</v>
      </c>
      <c r="F19" s="23">
        <f t="shared" si="17"/>
        <v>7.407407407407407E-2</v>
      </c>
      <c r="L19" s="8">
        <f t="shared" si="12"/>
        <v>12.96</v>
      </c>
      <c r="M19" s="8">
        <f t="shared" si="18"/>
        <v>14.515200000000002</v>
      </c>
      <c r="N19" s="8">
        <f t="shared" si="19"/>
        <v>16.69248</v>
      </c>
      <c r="O19" s="8">
        <f t="shared" si="20"/>
        <v>19.697126399999998</v>
      </c>
      <c r="P19" s="40">
        <f>D19*(1+'1'!$Z$5)</f>
        <v>3115200</v>
      </c>
      <c r="Q19" s="25">
        <f>P19*(1+'1'!$AA$5)</f>
        <v>3234823.68</v>
      </c>
      <c r="R19" s="25">
        <f>Q19*(1+'1'!$AB$5)</f>
        <v>3359040.909312</v>
      </c>
      <c r="S19" s="25">
        <f>R19*(1+'1'!$AC$5)</f>
        <v>3488028.0802295809</v>
      </c>
      <c r="T19" s="40">
        <f t="shared" si="13"/>
        <v>40372992</v>
      </c>
      <c r="U19" s="26">
        <f t="shared" si="13"/>
        <v>46954112.679936007</v>
      </c>
      <c r="V19" s="26">
        <f t="shared" si="21"/>
        <v>56070723.19787237</v>
      </c>
      <c r="W19" s="26">
        <f t="shared" si="22"/>
        <v>68704129.983031392</v>
      </c>
      <c r="X19" s="26"/>
    </row>
    <row r="20" spans="1:24">
      <c r="A20" s="21">
        <f t="shared" si="14"/>
        <v>4</v>
      </c>
      <c r="B20" s="41" t="str">
        <f t="shared" si="14"/>
        <v>Automatización de reportes</v>
      </c>
      <c r="C20" s="39">
        <f t="shared" si="15"/>
        <v>48</v>
      </c>
      <c r="D20" s="14">
        <v>1500000</v>
      </c>
      <c r="E20" s="22">
        <f t="shared" si="16"/>
        <v>72000000</v>
      </c>
      <c r="F20" s="23">
        <f t="shared" si="17"/>
        <v>0.14814814814814814</v>
      </c>
      <c r="L20" s="8">
        <f t="shared" si="12"/>
        <v>51.84</v>
      </c>
      <c r="M20" s="8">
        <f t="shared" si="18"/>
        <v>58.060800000000008</v>
      </c>
      <c r="N20" s="8">
        <f t="shared" si="19"/>
        <v>66.769919999999999</v>
      </c>
      <c r="O20" s="8">
        <f t="shared" si="20"/>
        <v>78.788505599999993</v>
      </c>
      <c r="P20" s="40">
        <f>D20*(1+'1'!$Z$5)</f>
        <v>1557600</v>
      </c>
      <c r="Q20" s="25">
        <f>P20*(1+'1'!$AA$5)</f>
        <v>1617411.84</v>
      </c>
      <c r="R20" s="25">
        <f>Q20*(1+'1'!$AB$5)</f>
        <v>1679520.454656</v>
      </c>
      <c r="S20" s="25">
        <f>R20*(1+'1'!$AC$5)</f>
        <v>1744014.0401147904</v>
      </c>
      <c r="T20" s="40">
        <f t="shared" ref="T20:T26" si="23">L20*P20</f>
        <v>80745984</v>
      </c>
      <c r="U20" s="26">
        <f t="shared" ref="U20:U26" si="24">M20*Q20</f>
        <v>93908225.359872013</v>
      </c>
      <c r="V20" s="26">
        <f t="shared" si="21"/>
        <v>112141446.39574474</v>
      </c>
      <c r="W20" s="26">
        <f t="shared" si="22"/>
        <v>137408259.96606278</v>
      </c>
      <c r="X20" s="26"/>
    </row>
    <row r="21" spans="1:24">
      <c r="A21" s="21">
        <f t="shared" si="14"/>
        <v>5</v>
      </c>
      <c r="B21" s="41" t="str">
        <f t="shared" si="14"/>
        <v>Auditoría de calidad de datos</v>
      </c>
      <c r="C21" s="39">
        <f t="shared" si="15"/>
        <v>12</v>
      </c>
      <c r="D21" s="14">
        <v>2000000</v>
      </c>
      <c r="E21" s="22">
        <f t="shared" si="16"/>
        <v>24000000</v>
      </c>
      <c r="F21" s="23">
        <f t="shared" si="17"/>
        <v>4.9382716049382713E-2</v>
      </c>
      <c r="L21" s="8">
        <f t="shared" si="12"/>
        <v>12.96</v>
      </c>
      <c r="M21" s="8">
        <f t="shared" si="18"/>
        <v>14.515200000000002</v>
      </c>
      <c r="N21" s="8">
        <f t="shared" si="19"/>
        <v>16.69248</v>
      </c>
      <c r="O21" s="8">
        <f t="shared" si="20"/>
        <v>19.697126399999998</v>
      </c>
      <c r="P21" s="40">
        <f>D21*(1+'1'!$Z$5)</f>
        <v>2076800</v>
      </c>
      <c r="Q21" s="25">
        <f>P21*(1+'1'!$AA$5)</f>
        <v>2156549.1200000001</v>
      </c>
      <c r="R21" s="25">
        <f>Q21*(1+'1'!$AB$5)</f>
        <v>2239360.6062079999</v>
      </c>
      <c r="S21" s="25">
        <f>R21*(1+'1'!$AC$5)</f>
        <v>2325352.0534863872</v>
      </c>
      <c r="T21" s="40">
        <f t="shared" si="23"/>
        <v>26915328</v>
      </c>
      <c r="U21" s="26">
        <f t="shared" si="24"/>
        <v>31302741.786624007</v>
      </c>
      <c r="V21" s="26">
        <f t="shared" si="21"/>
        <v>37380482.131914914</v>
      </c>
      <c r="W21" s="26">
        <f t="shared" si="22"/>
        <v>45802753.322020926</v>
      </c>
      <c r="X21" s="26"/>
    </row>
    <row r="22" spans="1:24">
      <c r="A22" s="21">
        <f t="shared" si="14"/>
        <v>6</v>
      </c>
      <c r="B22" s="41" t="str">
        <f t="shared" si="14"/>
        <v>Arquitectura de datos</v>
      </c>
      <c r="C22" s="39">
        <f t="shared" si="15"/>
        <v>12</v>
      </c>
      <c r="D22" s="14">
        <v>4000000</v>
      </c>
      <c r="E22" s="22">
        <f t="shared" si="16"/>
        <v>48000000</v>
      </c>
      <c r="F22" s="23">
        <f t="shared" si="17"/>
        <v>9.8765432098765427E-2</v>
      </c>
      <c r="L22" s="8">
        <f t="shared" si="12"/>
        <v>12.96</v>
      </c>
      <c r="M22" s="8">
        <f t="shared" si="18"/>
        <v>14.515200000000002</v>
      </c>
      <c r="N22" s="8">
        <f t="shared" si="19"/>
        <v>16.69248</v>
      </c>
      <c r="O22" s="8">
        <f t="shared" si="20"/>
        <v>19.697126399999998</v>
      </c>
      <c r="P22" s="40">
        <f>D22*(1+'1'!$Z$5)</f>
        <v>4153600</v>
      </c>
      <c r="Q22" s="25">
        <f>P22*(1+'1'!$AA$5)</f>
        <v>4313098.2400000002</v>
      </c>
      <c r="R22" s="25">
        <f>Q22*(1+'1'!$AB$5)</f>
        <v>4478721.2124159997</v>
      </c>
      <c r="S22" s="25">
        <f>R22*(1+'1'!$AC$5)</f>
        <v>4650704.1069727745</v>
      </c>
      <c r="T22" s="40">
        <f t="shared" si="23"/>
        <v>53830656</v>
      </c>
      <c r="U22" s="26">
        <f t="shared" si="24"/>
        <v>62605483.573248014</v>
      </c>
      <c r="V22" s="26">
        <f t="shared" si="21"/>
        <v>74760964.263829827</v>
      </c>
      <c r="W22" s="26">
        <f t="shared" si="22"/>
        <v>91605506.644041851</v>
      </c>
      <c r="X22" s="26"/>
    </row>
    <row r="23" spans="1:24">
      <c r="A23" s="21">
        <f t="shared" si="14"/>
        <v>7</v>
      </c>
      <c r="B23" s="41" t="str">
        <f t="shared" si="14"/>
        <v>Gobierno de datos</v>
      </c>
      <c r="C23" s="39">
        <f t="shared" si="15"/>
        <v>12</v>
      </c>
      <c r="D23" s="14">
        <v>3000000</v>
      </c>
      <c r="E23" s="22">
        <f t="shared" si="16"/>
        <v>36000000</v>
      </c>
      <c r="F23" s="23">
        <f t="shared" si="17"/>
        <v>7.407407407407407E-2</v>
      </c>
      <c r="L23" s="8">
        <f t="shared" si="12"/>
        <v>12.96</v>
      </c>
      <c r="M23" s="8">
        <f t="shared" si="18"/>
        <v>14.515200000000002</v>
      </c>
      <c r="N23" s="8">
        <f t="shared" si="19"/>
        <v>16.69248</v>
      </c>
      <c r="O23" s="8">
        <f t="shared" si="20"/>
        <v>19.697126399999998</v>
      </c>
      <c r="P23" s="40">
        <f>D23*(1+'1'!$Z$5)</f>
        <v>3115200</v>
      </c>
      <c r="Q23" s="25">
        <f>P23*(1+'1'!$AA$5)</f>
        <v>3234823.68</v>
      </c>
      <c r="R23" s="25">
        <f>Q23*(1+'1'!$AB$5)</f>
        <v>3359040.909312</v>
      </c>
      <c r="S23" s="25">
        <f>R23*(1+'1'!$AC$5)</f>
        <v>3488028.0802295809</v>
      </c>
      <c r="T23" s="40">
        <f t="shared" si="23"/>
        <v>40372992</v>
      </c>
      <c r="U23" s="26">
        <f t="shared" si="24"/>
        <v>46954112.679936007</v>
      </c>
      <c r="V23" s="26">
        <f t="shared" si="21"/>
        <v>56070723.19787237</v>
      </c>
      <c r="W23" s="26">
        <f t="shared" si="22"/>
        <v>68704129.983031392</v>
      </c>
      <c r="X23" s="26"/>
    </row>
    <row r="24" spans="1:24">
      <c r="A24" s="21">
        <f t="shared" si="14"/>
        <v>8</v>
      </c>
      <c r="B24" s="41" t="str">
        <f t="shared" si="14"/>
        <v>Curso alfabetización en datos</v>
      </c>
      <c r="C24" s="39">
        <f t="shared" si="15"/>
        <v>12</v>
      </c>
      <c r="D24" s="14">
        <v>800000</v>
      </c>
      <c r="E24" s="22">
        <f t="shared" si="16"/>
        <v>9600000</v>
      </c>
      <c r="F24" s="23">
        <f t="shared" si="17"/>
        <v>1.9753086419753086E-2</v>
      </c>
      <c r="L24" s="8">
        <f t="shared" si="12"/>
        <v>12.96</v>
      </c>
      <c r="M24" s="8">
        <f t="shared" si="18"/>
        <v>14.515200000000002</v>
      </c>
      <c r="N24" s="8">
        <f t="shared" si="19"/>
        <v>16.69248</v>
      </c>
      <c r="O24" s="8">
        <f t="shared" si="20"/>
        <v>19.697126399999998</v>
      </c>
      <c r="P24" s="40">
        <f>D24*(1+'1'!$Z$5)</f>
        <v>830720</v>
      </c>
      <c r="Q24" s="25">
        <f>P24*(1+'1'!$AA$5)</f>
        <v>862619.64800000004</v>
      </c>
      <c r="R24" s="25">
        <f>Q24*(1+'1'!$AB$5)</f>
        <v>895744.24248320004</v>
      </c>
      <c r="S24" s="25">
        <f>R24*(1+'1'!$AC$5)</f>
        <v>930140.82139455492</v>
      </c>
      <c r="T24" s="40">
        <f t="shared" si="23"/>
        <v>10766131.200000001</v>
      </c>
      <c r="U24" s="26">
        <f t="shared" si="24"/>
        <v>12521096.714649603</v>
      </c>
      <c r="V24" s="26">
        <f t="shared" si="21"/>
        <v>14952192.852765966</v>
      </c>
      <c r="W24" s="26">
        <f t="shared" si="22"/>
        <v>18321101.328808371</v>
      </c>
      <c r="X24" s="26"/>
    </row>
    <row r="25" spans="1:24">
      <c r="A25" s="21">
        <f t="shared" si="14"/>
        <v>9</v>
      </c>
      <c r="B25" s="41" t="str">
        <f t="shared" si="14"/>
        <v>Pack visualizaciones estándar</v>
      </c>
      <c r="C25" s="39">
        <f t="shared" si="15"/>
        <v>60</v>
      </c>
      <c r="D25" s="14">
        <v>800000</v>
      </c>
      <c r="E25" s="22">
        <f t="shared" si="16"/>
        <v>48000000</v>
      </c>
      <c r="F25" s="23">
        <f t="shared" si="17"/>
        <v>9.8765432098765427E-2</v>
      </c>
      <c r="L25" s="8">
        <f t="shared" si="12"/>
        <v>64.800000000000011</v>
      </c>
      <c r="M25" s="8">
        <f t="shared" si="18"/>
        <v>72.576000000000022</v>
      </c>
      <c r="N25" s="8">
        <f t="shared" si="19"/>
        <v>83.462400000000017</v>
      </c>
      <c r="O25" s="8">
        <f t="shared" si="20"/>
        <v>98.48563200000001</v>
      </c>
      <c r="P25" s="40">
        <f>D25*(1+'1'!$Z$5)</f>
        <v>830720</v>
      </c>
      <c r="Q25" s="25">
        <f>P25*(1+'1'!$AA$5)</f>
        <v>862619.64800000004</v>
      </c>
      <c r="R25" s="25">
        <f>Q25*(1+'1'!$AB$5)</f>
        <v>895744.24248320004</v>
      </c>
      <c r="S25" s="25">
        <f>R25*(1+'1'!$AC$5)</f>
        <v>930140.82139455492</v>
      </c>
      <c r="T25" s="40">
        <f t="shared" si="23"/>
        <v>53830656.000000007</v>
      </c>
      <c r="U25" s="26">
        <f t="shared" si="24"/>
        <v>62605483.573248021</v>
      </c>
      <c r="V25" s="26">
        <f t="shared" si="21"/>
        <v>74760964.263829857</v>
      </c>
      <c r="W25" s="26">
        <f t="shared" si="22"/>
        <v>91605506.644041866</v>
      </c>
      <c r="X25" s="26"/>
    </row>
    <row r="26" spans="1:24">
      <c r="A26" s="21">
        <f>A12</f>
        <v>10</v>
      </c>
      <c r="B26" s="41" t="str">
        <f>B12</f>
        <v>Segmentación de clientes</v>
      </c>
      <c r="C26" s="39">
        <f t="shared" si="15"/>
        <v>48</v>
      </c>
      <c r="D26" s="14">
        <v>1800000</v>
      </c>
      <c r="E26" s="22">
        <f t="shared" si="16"/>
        <v>86400000</v>
      </c>
      <c r="F26" s="23">
        <f t="shared" si="17"/>
        <v>0.17777777777777778</v>
      </c>
      <c r="L26" s="8">
        <f t="shared" si="12"/>
        <v>51.84</v>
      </c>
      <c r="M26" s="8">
        <f t="shared" si="18"/>
        <v>58.060800000000008</v>
      </c>
      <c r="N26" s="8">
        <f t="shared" si="19"/>
        <v>66.769919999999999</v>
      </c>
      <c r="O26" s="8">
        <f t="shared" si="20"/>
        <v>78.788505599999993</v>
      </c>
      <c r="P26" s="40">
        <f>D26*(1+'1'!$Z$5)</f>
        <v>1869120</v>
      </c>
      <c r="Q26" s="25">
        <f>P26*(1+'1'!$AA$5)</f>
        <v>1940894.2079999999</v>
      </c>
      <c r="R26" s="25">
        <f>Q26*(1+'1'!$AB$5)</f>
        <v>2015424.5455871997</v>
      </c>
      <c r="S26" s="25">
        <f>R26*(1+'1'!$AC$5)</f>
        <v>2092816.8481377482</v>
      </c>
      <c r="T26" s="40">
        <f t="shared" si="23"/>
        <v>96895180.800000012</v>
      </c>
      <c r="U26" s="26">
        <f t="shared" si="24"/>
        <v>112689870.43184641</v>
      </c>
      <c r="V26" s="26">
        <f t="shared" si="21"/>
        <v>134569735.67489368</v>
      </c>
      <c r="W26" s="26">
        <f t="shared" si="22"/>
        <v>164889911.95927531</v>
      </c>
      <c r="X26" s="26"/>
    </row>
    <row r="27" spans="1:24">
      <c r="D27" s="8" t="str">
        <f>D13</f>
        <v>TOTAL</v>
      </c>
      <c r="E27" s="33">
        <f>SUM(E17:E26)</f>
        <v>486000000</v>
      </c>
      <c r="F27" s="34">
        <f>SUM(F17:F26)</f>
        <v>0.99999999999999989</v>
      </c>
      <c r="T27" s="35">
        <f>SUM(T17:T26)</f>
        <v>545035392</v>
      </c>
      <c r="U27" s="35">
        <f>SUM(U17:U26)</f>
        <v>633880521.17913616</v>
      </c>
      <c r="V27" s="35">
        <f>SUM(V17:V26)</f>
        <v>756954763.17127705</v>
      </c>
      <c r="W27" s="35">
        <f>SUM(W17:W26)</f>
        <v>927505754.77092385</v>
      </c>
      <c r="X27" s="26"/>
    </row>
    <row r="30" spans="1:24">
      <c r="A30" s="141" t="s">
        <v>19</v>
      </c>
      <c r="B30" s="141"/>
      <c r="C30" s="141"/>
      <c r="D30" s="141"/>
      <c r="E30" s="141"/>
      <c r="F30" s="141"/>
    </row>
    <row r="31" spans="1:24" ht="26.25">
      <c r="A31" s="42" t="s">
        <v>10</v>
      </c>
      <c r="B31" s="43">
        <f>'1'!Z1</f>
        <v>2025</v>
      </c>
      <c r="C31" s="43">
        <f>B31+1</f>
        <v>2026</v>
      </c>
      <c r="D31" s="43">
        <f>C31+1</f>
        <v>2027</v>
      </c>
      <c r="E31" s="43">
        <f>D31+1</f>
        <v>2028</v>
      </c>
      <c r="F31" s="43">
        <f>E31+1</f>
        <v>2029</v>
      </c>
      <c r="H31" s="44"/>
      <c r="I31" s="44"/>
      <c r="J31" s="44"/>
      <c r="K31" s="44"/>
      <c r="L31" s="44"/>
      <c r="M31" s="44"/>
      <c r="N31" s="44"/>
      <c r="O31" s="44"/>
      <c r="P31" s="44"/>
      <c r="Q31" s="44"/>
      <c r="R31" s="44"/>
      <c r="S31" s="44"/>
      <c r="T31" s="44"/>
      <c r="U31" s="44"/>
      <c r="V31" s="44"/>
    </row>
    <row r="32" spans="1:24">
      <c r="A32" s="45" t="s">
        <v>20</v>
      </c>
      <c r="B32" s="46">
        <f>'1'!E13</f>
        <v>1668000000</v>
      </c>
      <c r="C32" s="47">
        <f>'1'!T13</f>
        <v>1880703360</v>
      </c>
      <c r="D32" s="47">
        <f>'1'!U13</f>
        <v>2199068824.7808003</v>
      </c>
      <c r="E32" s="47">
        <f>'1'!V13</f>
        <v>2640202031.0318284</v>
      </c>
      <c r="F32" s="47">
        <f>'1'!W13</f>
        <v>3252517686.0687304</v>
      </c>
    </row>
    <row r="33" spans="1:6">
      <c r="A33" s="45" t="s">
        <v>21</v>
      </c>
      <c r="B33" s="46">
        <f>'1'!E27</f>
        <v>486000000</v>
      </c>
      <c r="C33" s="46">
        <f>'1'!T27</f>
        <v>545035392</v>
      </c>
      <c r="D33" s="46">
        <f>'1'!U27</f>
        <v>633880521.17913616</v>
      </c>
      <c r="E33" s="46">
        <f>'1'!V27</f>
        <v>756954763.17127705</v>
      </c>
      <c r="F33" s="46">
        <f>'1'!W27</f>
        <v>927505754.77092385</v>
      </c>
    </row>
    <row r="34" spans="1:6" ht="21" thickBot="1">
      <c r="A34" s="48" t="s">
        <v>22</v>
      </c>
      <c r="B34" s="119">
        <f>B32-B33</f>
        <v>1182000000</v>
      </c>
      <c r="C34" s="119">
        <f>C32-C33</f>
        <v>1335667968</v>
      </c>
      <c r="D34" s="119">
        <f>D32-D33</f>
        <v>1565188303.6016641</v>
      </c>
      <c r="E34" s="119">
        <f>E32-E33</f>
        <v>1883247267.8605514</v>
      </c>
      <c r="F34" s="119">
        <f>F32-F33</f>
        <v>2325011931.2978067</v>
      </c>
    </row>
    <row r="35" spans="1:6" ht="15.75" thickTop="1"/>
  </sheetData>
  <sheetProtection algorithmName="SHA-512" hashValue="IM2j+jM+f5Q0iSszpln9SjYa1ct3EnrJ+Fgo/eN1hcEJORKRM/VAmG9BLJ7GlrkOo/6UzT1NeQHoNEo7xoCZ8g==" saltValue="pvCg7EA79uYf5kWmnFj3uQ==" spinCount="100000" sheet="1" formatCells="0" formatColumns="0" formatRows="0"/>
  <mergeCells count="4">
    <mergeCell ref="A30:F30"/>
    <mergeCell ref="A1:E1"/>
    <mergeCell ref="A15:E15"/>
    <mergeCell ref="G1:J1"/>
  </mergeCells>
  <conditionalFormatting sqref="B34:F34">
    <cfRule type="cellIs" dxfId="10" priority="1" operator="lessThan">
      <formula>0</formula>
    </cfRule>
  </conditionalFormatting>
  <pageMargins left="0.7" right="0.7" top="0.75" bottom="0.75" header="0.3" footer="0.3"/>
  <pageSetup orientation="portrait" verticalDpi="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
  <dimension ref="B1:H31"/>
  <sheetViews>
    <sheetView showGridLines="0" workbookViewId="0">
      <pane ySplit="14" topLeftCell="A15" activePane="bottomLeft" state="frozenSplit"/>
      <selection activeCell="B40" sqref="B40"/>
      <selection pane="bottomLeft" activeCell="G31" sqref="G31"/>
    </sheetView>
  </sheetViews>
  <sheetFormatPr baseColWidth="10" defaultColWidth="11.42578125" defaultRowHeight="15"/>
  <cols>
    <col min="1" max="1" width="5.42578125" style="8" customWidth="1"/>
    <col min="2" max="2" width="29.42578125" style="8" bestFit="1" customWidth="1"/>
    <col min="3" max="3" width="20.28515625" style="8" customWidth="1"/>
    <col min="4" max="4" width="11.42578125" style="8"/>
    <col min="5" max="5" width="23.28515625" style="8" customWidth="1"/>
    <col min="6" max="6" width="17.7109375" style="8" bestFit="1" customWidth="1"/>
    <col min="7" max="7" width="15.5703125" style="8" bestFit="1" customWidth="1"/>
    <col min="8" max="16384" width="11.42578125" style="8"/>
  </cols>
  <sheetData>
    <row r="1" spans="2:8">
      <c r="B1" s="144" t="s">
        <v>133</v>
      </c>
      <c r="C1" s="144"/>
      <c r="D1" s="144"/>
      <c r="E1" s="144"/>
      <c r="F1" s="144"/>
      <c r="G1" s="144"/>
      <c r="H1" s="144"/>
    </row>
    <row r="2" spans="2:8" ht="3.75" customHeight="1">
      <c r="B2" s="144"/>
      <c r="C2" s="144"/>
      <c r="D2" s="144"/>
      <c r="E2" s="144"/>
      <c r="F2" s="144"/>
      <c r="G2" s="144"/>
      <c r="H2" s="144"/>
    </row>
    <row r="3" spans="2:8">
      <c r="C3" s="21" t="s">
        <v>51</v>
      </c>
      <c r="F3" s="71" t="s">
        <v>92</v>
      </c>
      <c r="G3" s="71"/>
    </row>
    <row r="4" spans="2:8">
      <c r="B4" s="48" t="s">
        <v>43</v>
      </c>
      <c r="C4" s="14">
        <v>0</v>
      </c>
      <c r="F4" s="71"/>
      <c r="G4" s="71"/>
    </row>
    <row r="5" spans="2:8">
      <c r="B5" s="48" t="s">
        <v>46</v>
      </c>
      <c r="C5" s="14">
        <v>112500000</v>
      </c>
      <c r="F5" s="71">
        <v>10</v>
      </c>
      <c r="G5" s="72">
        <f t="shared" ref="G5:G11" si="0">C5/F5</f>
        <v>11250000</v>
      </c>
    </row>
    <row r="6" spans="2:8">
      <c r="B6" s="48" t="s">
        <v>44</v>
      </c>
      <c r="C6" s="14">
        <v>8000000</v>
      </c>
      <c r="F6" s="71">
        <v>5</v>
      </c>
      <c r="G6" s="72">
        <f t="shared" si="0"/>
        <v>1600000</v>
      </c>
    </row>
    <row r="7" spans="2:8">
      <c r="B7" s="48" t="s">
        <v>45</v>
      </c>
      <c r="C7" s="14">
        <v>3000000</v>
      </c>
      <c r="F7" s="71">
        <v>5</v>
      </c>
      <c r="G7" s="72">
        <f t="shared" si="0"/>
        <v>600000</v>
      </c>
    </row>
    <row r="8" spans="2:8">
      <c r="B8" s="48" t="s">
        <v>47</v>
      </c>
      <c r="C8" s="14">
        <v>0</v>
      </c>
      <c r="F8" s="71">
        <v>5</v>
      </c>
      <c r="G8" s="72">
        <f t="shared" si="0"/>
        <v>0</v>
      </c>
    </row>
    <row r="9" spans="2:8">
      <c r="B9" s="48" t="s">
        <v>48</v>
      </c>
      <c r="C9" s="14">
        <v>0</v>
      </c>
      <c r="F9" s="71">
        <v>5</v>
      </c>
      <c r="G9" s="72">
        <f t="shared" si="0"/>
        <v>0</v>
      </c>
    </row>
    <row r="10" spans="2:8">
      <c r="B10" s="117" t="s">
        <v>142</v>
      </c>
      <c r="C10" s="14">
        <v>19300000</v>
      </c>
      <c r="F10" s="71">
        <v>5</v>
      </c>
      <c r="G10" s="72">
        <f t="shared" si="0"/>
        <v>3860000</v>
      </c>
    </row>
    <row r="11" spans="2:8">
      <c r="B11" s="48" t="s">
        <v>49</v>
      </c>
      <c r="C11" s="14">
        <v>24400000</v>
      </c>
      <c r="F11" s="71">
        <v>5</v>
      </c>
      <c r="G11" s="72">
        <f t="shared" si="0"/>
        <v>4880000</v>
      </c>
    </row>
    <row r="12" spans="2:8" ht="16.5" thickBot="1">
      <c r="B12" s="73" t="s">
        <v>50</v>
      </c>
      <c r="C12" s="74">
        <f>SUM(C4:C11)</f>
        <v>167200000</v>
      </c>
      <c r="F12" s="71"/>
      <c r="G12" s="72">
        <f>SUM(G5:G11)</f>
        <v>22190000</v>
      </c>
    </row>
    <row r="13" spans="2:8">
      <c r="B13" s="145" t="s">
        <v>42</v>
      </c>
      <c r="C13" s="146"/>
      <c r="D13" s="146"/>
      <c r="E13" s="146"/>
      <c r="F13" s="146"/>
      <c r="G13" s="146"/>
      <c r="H13" s="147"/>
    </row>
    <row r="14" spans="2:8" ht="15.75" thickBot="1">
      <c r="B14" s="148"/>
      <c r="C14" s="149"/>
      <c r="D14" s="149"/>
      <c r="E14" s="149"/>
      <c r="F14" s="149"/>
      <c r="G14" s="149"/>
      <c r="H14" s="150"/>
    </row>
    <row r="15" spans="2:8">
      <c r="B15" s="75"/>
      <c r="C15" s="75"/>
      <c r="D15" s="75"/>
      <c r="E15" s="75"/>
      <c r="F15" s="75"/>
      <c r="G15" s="75"/>
      <c r="H15" s="75"/>
    </row>
    <row r="16" spans="2:8">
      <c r="B16" s="73" t="s">
        <v>28</v>
      </c>
      <c r="E16" s="73" t="s">
        <v>34</v>
      </c>
      <c r="F16" s="38"/>
    </row>
    <row r="17" spans="2:6">
      <c r="C17" s="73" t="s">
        <v>30</v>
      </c>
      <c r="F17" s="73" t="str">
        <f>C17</f>
        <v>VALOR AÑO 1</v>
      </c>
    </row>
    <row r="18" spans="2:6">
      <c r="B18" s="76" t="s">
        <v>29</v>
      </c>
      <c r="C18" s="14">
        <v>336000000</v>
      </c>
      <c r="E18" s="114" t="s">
        <v>139</v>
      </c>
      <c r="F18" s="14">
        <v>14400000</v>
      </c>
    </row>
    <row r="19" spans="2:6">
      <c r="C19" s="78"/>
      <c r="E19" s="77" t="s">
        <v>35</v>
      </c>
      <c r="F19" s="14">
        <v>0</v>
      </c>
    </row>
    <row r="20" spans="2:6">
      <c r="B20" s="76" t="s">
        <v>32</v>
      </c>
      <c r="C20" s="14">
        <v>84000000</v>
      </c>
      <c r="E20" s="77" t="s">
        <v>36</v>
      </c>
      <c r="F20" s="14">
        <v>8640000</v>
      </c>
    </row>
    <row r="21" spans="2:6">
      <c r="C21" s="78"/>
      <c r="E21" s="77" t="s">
        <v>37</v>
      </c>
      <c r="F21" s="14">
        <v>6000000</v>
      </c>
    </row>
    <row r="22" spans="2:6">
      <c r="B22" s="113" t="s">
        <v>138</v>
      </c>
      <c r="C22" s="14">
        <v>558000000</v>
      </c>
      <c r="E22" s="77" t="s">
        <v>38</v>
      </c>
      <c r="F22" s="14">
        <v>1200000</v>
      </c>
    </row>
    <row r="23" spans="2:6" ht="15.75">
      <c r="B23" s="8" t="s">
        <v>56</v>
      </c>
      <c r="C23" s="74">
        <f>C18+C20+C22</f>
        <v>978000000</v>
      </c>
      <c r="E23" s="77" t="s">
        <v>39</v>
      </c>
      <c r="F23" s="14">
        <v>0</v>
      </c>
    </row>
    <row r="24" spans="2:6">
      <c r="E24" s="77" t="s">
        <v>40</v>
      </c>
      <c r="F24" s="14">
        <v>0</v>
      </c>
    </row>
    <row r="25" spans="2:6" ht="24.75">
      <c r="B25" s="77" t="s">
        <v>143</v>
      </c>
      <c r="C25" s="14">
        <v>18000000</v>
      </c>
      <c r="E25" s="116" t="s">
        <v>140</v>
      </c>
      <c r="F25" s="14">
        <v>3000000</v>
      </c>
    </row>
    <row r="26" spans="2:6">
      <c r="E26" s="116" t="s">
        <v>141</v>
      </c>
      <c r="F26" s="14">
        <v>10000000</v>
      </c>
    </row>
    <row r="27" spans="2:6">
      <c r="B27" s="96" t="s">
        <v>144</v>
      </c>
      <c r="C27" s="96"/>
      <c r="E27" s="98" t="s">
        <v>160</v>
      </c>
      <c r="F27" s="14">
        <v>1200000</v>
      </c>
    </row>
    <row r="28" spans="2:6">
      <c r="B28" s="115">
        <f>'1'!G2</f>
        <v>2026</v>
      </c>
      <c r="C28" s="14">
        <f>C25*1.1</f>
        <v>19800000</v>
      </c>
      <c r="E28" s="98"/>
      <c r="F28" s="14" t="s">
        <v>161</v>
      </c>
    </row>
    <row r="29" spans="2:6">
      <c r="B29" s="115">
        <f>'1'!H2</f>
        <v>2027</v>
      </c>
      <c r="C29" s="14">
        <f>C28*1.1</f>
        <v>21780000</v>
      </c>
      <c r="E29" s="98"/>
      <c r="F29" s="14">
        <v>0</v>
      </c>
    </row>
    <row r="30" spans="2:6">
      <c r="B30" s="115">
        <f>'1'!I2</f>
        <v>2028</v>
      </c>
      <c r="C30" s="14">
        <f>C29*1.1</f>
        <v>23958000.000000004</v>
      </c>
      <c r="E30" s="98"/>
      <c r="F30" s="14">
        <v>0</v>
      </c>
    </row>
    <row r="31" spans="2:6" ht="15.75">
      <c r="B31" s="115">
        <f>'1'!J2</f>
        <v>2029</v>
      </c>
      <c r="C31" s="14">
        <f>C30*1.1</f>
        <v>26353800.000000007</v>
      </c>
      <c r="E31" s="77" t="s">
        <v>41</v>
      </c>
      <c r="F31" s="74">
        <f>SUM(F18:F30)</f>
        <v>44440000</v>
      </c>
    </row>
  </sheetData>
  <sheetProtection password="8F5C" sheet="1" objects="1" scenarios="1" formatCells="0" formatColumns="0" formatRows="0"/>
  <mergeCells count="2">
    <mergeCell ref="B1:H2"/>
    <mergeCell ref="B13:H14"/>
  </mergeCells>
  <pageMargins left="0.7" right="0.7" top="0.75" bottom="0.75" header="0.3" footer="0.3"/>
  <pageSetup orientation="portrait" verticalDpi="0"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B2:L16"/>
  <sheetViews>
    <sheetView showGridLines="0" workbookViewId="0">
      <selection activeCell="D20" sqref="D20"/>
    </sheetView>
  </sheetViews>
  <sheetFormatPr baseColWidth="10" defaultColWidth="11.42578125" defaultRowHeight="15"/>
  <cols>
    <col min="1" max="1" width="11.42578125" style="8"/>
    <col min="2" max="2" width="39" style="8" bestFit="1" customWidth="1"/>
    <col min="3" max="4" width="18.5703125" style="8" bestFit="1" customWidth="1"/>
    <col min="5" max="5" width="12.85546875" style="8" customWidth="1"/>
    <col min="6" max="6" width="16.85546875" style="8" bestFit="1" customWidth="1"/>
    <col min="7" max="7" width="25.42578125" style="8" customWidth="1"/>
    <col min="8" max="8" width="19.85546875" style="8" customWidth="1"/>
    <col min="9" max="9" width="17" style="8" bestFit="1" customWidth="1"/>
    <col min="10" max="10" width="16.85546875" style="8" bestFit="1" customWidth="1"/>
    <col min="11" max="16384" width="11.42578125" style="8"/>
  </cols>
  <sheetData>
    <row r="2" spans="2:12" ht="29.25" customHeight="1">
      <c r="B2" s="142" t="s">
        <v>115</v>
      </c>
      <c r="C2" s="142"/>
      <c r="D2" s="142"/>
      <c r="E2" s="142"/>
      <c r="F2" s="142"/>
      <c r="G2" s="142"/>
      <c r="H2" s="142"/>
      <c r="I2" s="142"/>
      <c r="J2" s="142"/>
    </row>
    <row r="3" spans="2:12">
      <c r="F3" s="151" t="s">
        <v>62</v>
      </c>
      <c r="G3" s="151"/>
    </row>
    <row r="4" spans="2:12" ht="15.75">
      <c r="B4" s="16" t="s">
        <v>50</v>
      </c>
      <c r="C4" s="74">
        <f>'2'!C12</f>
        <v>167200000</v>
      </c>
      <c r="F4" s="152">
        <v>0.23</v>
      </c>
      <c r="G4" s="152"/>
      <c r="I4" s="8" t="s">
        <v>150</v>
      </c>
      <c r="J4" s="133">
        <v>5</v>
      </c>
      <c r="L4" s="71">
        <v>1</v>
      </c>
    </row>
    <row r="5" spans="2:12">
      <c r="L5" s="71">
        <v>2</v>
      </c>
    </row>
    <row r="6" spans="2:12" ht="15.75" thickBot="1">
      <c r="B6" s="16" t="s">
        <v>52</v>
      </c>
      <c r="F6" s="141" t="s">
        <v>116</v>
      </c>
      <c r="G6" s="141"/>
      <c r="H6" s="141"/>
      <c r="I6" s="141"/>
      <c r="J6" s="141"/>
      <c r="L6" s="71">
        <v>3</v>
      </c>
    </row>
    <row r="7" spans="2:12">
      <c r="C7" s="79" t="s">
        <v>54</v>
      </c>
      <c r="D7" s="79" t="s">
        <v>55</v>
      </c>
      <c r="E7" s="122"/>
      <c r="F7" s="123" t="s">
        <v>145</v>
      </c>
      <c r="G7" s="123" t="s">
        <v>146</v>
      </c>
      <c r="H7" s="123" t="s">
        <v>147</v>
      </c>
      <c r="I7" s="123" t="s">
        <v>148</v>
      </c>
      <c r="J7" s="124" t="s">
        <v>149</v>
      </c>
      <c r="L7" s="71">
        <v>4</v>
      </c>
    </row>
    <row r="8" spans="2:12">
      <c r="B8" s="48" t="s">
        <v>53</v>
      </c>
      <c r="C8" s="54">
        <v>3</v>
      </c>
      <c r="D8" s="25">
        <f>('1'!B33/12)*C8</f>
        <v>121500000</v>
      </c>
      <c r="E8" s="125" t="s">
        <v>84</v>
      </c>
      <c r="F8" s="126"/>
      <c r="G8" s="126"/>
      <c r="H8" s="126"/>
      <c r="I8" s="126"/>
      <c r="J8" s="127">
        <f>D16</f>
        <v>428810000</v>
      </c>
      <c r="L8" s="71">
        <v>5</v>
      </c>
    </row>
    <row r="9" spans="2:12">
      <c r="B9" s="48" t="s">
        <v>57</v>
      </c>
      <c r="C9" s="54">
        <v>3</v>
      </c>
      <c r="D9" s="25">
        <f>('2'!C23/12)*C9</f>
        <v>244500000</v>
      </c>
      <c r="E9" s="125">
        <f>'1'!B31</f>
        <v>2025</v>
      </c>
      <c r="F9" s="129">
        <f>IF(J8&gt;0,J8,0)</f>
        <v>428810000</v>
      </c>
      <c r="G9" s="129">
        <f>F9*$F$4</f>
        <v>98626300</v>
      </c>
      <c r="H9" s="129">
        <f>IF(J8&lt;1,0,(I9-G9))</f>
        <v>54330408.841324866</v>
      </c>
      <c r="I9" s="129">
        <f>PMT(F4,J4,J8)*-1</f>
        <v>152956708.84132487</v>
      </c>
      <c r="J9" s="130">
        <f>F9-H9</f>
        <v>374479591.15867513</v>
      </c>
    </row>
    <row r="10" spans="2:12">
      <c r="B10" s="48" t="s">
        <v>58</v>
      </c>
      <c r="C10" s="54">
        <v>3</v>
      </c>
      <c r="D10" s="25">
        <f>('2'!C25/12)*C10</f>
        <v>4500000</v>
      </c>
      <c r="E10" s="125">
        <f>'1'!C31</f>
        <v>2026</v>
      </c>
      <c r="F10" s="129">
        <f>IF(J9&gt;0,J9,0)</f>
        <v>374479591.15867513</v>
      </c>
      <c r="G10" s="129">
        <f>F10*$F$4</f>
        <v>86130305.96649529</v>
      </c>
      <c r="H10" s="129">
        <f>IF(J9&lt;1,0,(I10-G10))</f>
        <v>66826402.874829575</v>
      </c>
      <c r="I10" s="129">
        <f>IF(J9&lt;1,0,(I9*(1+$K$7)))</f>
        <v>152956708.84132487</v>
      </c>
      <c r="J10" s="130">
        <f>F10-H10</f>
        <v>307653188.28384554</v>
      </c>
    </row>
    <row r="11" spans="2:12">
      <c r="B11" s="48" t="s">
        <v>33</v>
      </c>
      <c r="C11" s="54">
        <v>3</v>
      </c>
      <c r="D11" s="25">
        <f>('2'!F31/12)*C11</f>
        <v>11110000</v>
      </c>
      <c r="E11" s="125">
        <f>'1'!D31</f>
        <v>2027</v>
      </c>
      <c r="F11" s="129">
        <f>IF(J10&gt;0,J10,0)</f>
        <v>307653188.28384554</v>
      </c>
      <c r="G11" s="129">
        <f>F11*$F$4</f>
        <v>70760233.305284485</v>
      </c>
      <c r="H11" s="129">
        <f>IF(J10&lt;1,0,(I11-G11))</f>
        <v>82196475.536040381</v>
      </c>
      <c r="I11" s="129">
        <f>IF(J10&lt;1,0,(I10*(1+$K$7)))</f>
        <v>152956708.84132487</v>
      </c>
      <c r="J11" s="130">
        <f>F11-H11</f>
        <v>225456712.74780518</v>
      </c>
    </row>
    <row r="12" spans="2:12" ht="15.75">
      <c r="B12" s="80" t="s">
        <v>8</v>
      </c>
      <c r="C12" s="58"/>
      <c r="D12" s="81">
        <f>SUM(D8:D11)</f>
        <v>381610000</v>
      </c>
      <c r="E12" s="125">
        <f>'1'!E31</f>
        <v>2028</v>
      </c>
      <c r="F12" s="129">
        <f>IF(J11&gt;0,J11,0)</f>
        <v>225456712.74780518</v>
      </c>
      <c r="G12" s="129">
        <f>F12*$F$4</f>
        <v>51855043.931995191</v>
      </c>
      <c r="H12" s="129">
        <f>IF(J11&lt;1,0,(I12-G12))</f>
        <v>101101664.90932968</v>
      </c>
      <c r="I12" s="129">
        <f>IF(J11&lt;1,0,(I11*(1+$K$7)))</f>
        <v>152956708.84132487</v>
      </c>
      <c r="J12" s="130">
        <f>F12-H12</f>
        <v>124355047.8384755</v>
      </c>
    </row>
    <row r="13" spans="2:12" ht="15.75" thickBot="1">
      <c r="E13" s="128">
        <f>'1'!F31</f>
        <v>2029</v>
      </c>
      <c r="F13" s="131">
        <f>IF(J12&gt;0,J12,0)</f>
        <v>124355047.8384755</v>
      </c>
      <c r="G13" s="131">
        <f>F13*$F$4</f>
        <v>28601661.002849367</v>
      </c>
      <c r="H13" s="131">
        <f>IF(J12&lt;1,0,(I13-G13))</f>
        <v>124355047.8384755</v>
      </c>
      <c r="I13" s="131">
        <f>IF(J12&lt;1,0,(I12*(1+$K$7)))</f>
        <v>152956708.84132487</v>
      </c>
      <c r="J13" s="132">
        <f>F13-H13</f>
        <v>0</v>
      </c>
    </row>
    <row r="14" spans="2:12" ht="15.75">
      <c r="B14" s="48" t="s">
        <v>59</v>
      </c>
      <c r="D14" s="74">
        <f>C4+D12</f>
        <v>548810000</v>
      </c>
    </row>
    <row r="15" spans="2:12">
      <c r="B15" s="48" t="s">
        <v>60</v>
      </c>
      <c r="D15" s="55">
        <v>120000000</v>
      </c>
    </row>
    <row r="16" spans="2:12" ht="15.75">
      <c r="B16" s="48" t="s">
        <v>61</v>
      </c>
      <c r="D16" s="82">
        <f>D14-D15</f>
        <v>428810000</v>
      </c>
    </row>
  </sheetData>
  <sheetProtection algorithmName="SHA-512" hashValue="B7ndtVYrux/uk+TvKDgtfYGjnqXa+9M3E9gljRPOZhV/jkPmtPJ48OWu3kAOqJQSLrGaBzYHxAE1Z4CTlcjgvQ==" saltValue="O/PBqDHoH4Qcnc7JWRDO+Q==" spinCount="100000" sheet="1" formatCells="0" formatColumns="0" formatRows="0"/>
  <mergeCells count="4">
    <mergeCell ref="F6:J6"/>
    <mergeCell ref="F3:G3"/>
    <mergeCell ref="F4:G4"/>
    <mergeCell ref="B2:J2"/>
  </mergeCells>
  <dataValidations count="1">
    <dataValidation type="list" allowBlank="1" showInputMessage="1" showErrorMessage="1" sqref="L4 J4" xr:uid="{00000000-0002-0000-0300-000000000000}">
      <formula1>$L$4:$L$8</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60"/>
  <sheetViews>
    <sheetView showGridLines="0" zoomScaleNormal="100" workbookViewId="0">
      <pane xSplit="7" ySplit="1" topLeftCell="H8" activePane="bottomRight" state="frozenSplit"/>
      <selection pane="topRight" activeCell="E1" sqref="E1"/>
      <selection pane="bottomLeft" activeCell="A12" sqref="A12"/>
      <selection pane="bottomRight" activeCell="C17" sqref="C17:G17"/>
    </sheetView>
  </sheetViews>
  <sheetFormatPr baseColWidth="10" defaultColWidth="11.42578125" defaultRowHeight="15"/>
  <cols>
    <col min="1" max="1" width="26.7109375" style="8" customWidth="1"/>
    <col min="2" max="2" width="25.85546875" style="8" bestFit="1" customWidth="1"/>
    <col min="3" max="3" width="21.7109375" style="8" bestFit="1" customWidth="1"/>
    <col min="4" max="6" width="18.42578125" style="8" bestFit="1" customWidth="1"/>
    <col min="7" max="7" width="18.85546875" style="8" bestFit="1" customWidth="1"/>
    <col min="8" max="16384" width="11.42578125" style="8"/>
  </cols>
  <sheetData>
    <row r="1" spans="1:7" ht="34.5" customHeight="1">
      <c r="A1" s="153" t="s">
        <v>117</v>
      </c>
      <c r="B1" s="153"/>
      <c r="C1" s="153"/>
      <c r="D1" s="153"/>
      <c r="E1" s="153"/>
      <c r="F1" s="153"/>
      <c r="G1" s="153"/>
    </row>
    <row r="2" spans="1:7" ht="23.25">
      <c r="A2" s="154" t="s">
        <v>132</v>
      </c>
      <c r="B2" s="154"/>
      <c r="C2" s="154"/>
      <c r="D2" s="154"/>
      <c r="E2" s="154"/>
      <c r="F2" s="154"/>
      <c r="G2" s="154"/>
    </row>
    <row r="3" spans="1:7" ht="8.25" customHeight="1">
      <c r="A3" s="56"/>
      <c r="B3" s="56"/>
      <c r="C3" s="56"/>
      <c r="D3" s="56"/>
      <c r="E3" s="56"/>
      <c r="F3" s="56"/>
      <c r="G3" s="56"/>
    </row>
    <row r="4" spans="1:7" ht="15.75">
      <c r="A4" s="155" t="s">
        <v>89</v>
      </c>
      <c r="B4" s="155"/>
      <c r="C4" s="155"/>
      <c r="D4" s="155"/>
      <c r="E4" s="155"/>
      <c r="F4" s="155"/>
      <c r="G4" s="155"/>
    </row>
    <row r="5" spans="1:7" ht="23.25">
      <c r="C5" s="60">
        <f>'1'!B31</f>
        <v>2025</v>
      </c>
      <c r="D5" s="60">
        <f>'1'!C31</f>
        <v>2026</v>
      </c>
      <c r="E5" s="60">
        <f>'1'!D31</f>
        <v>2027</v>
      </c>
      <c r="F5" s="60">
        <f>'1'!E31</f>
        <v>2028</v>
      </c>
      <c r="G5" s="60">
        <f>'1'!F31</f>
        <v>2029</v>
      </c>
    </row>
    <row r="6" spans="1:7">
      <c r="B6" s="8" t="s">
        <v>31</v>
      </c>
      <c r="C6" s="61">
        <f>'1'!B32</f>
        <v>1668000000</v>
      </c>
      <c r="D6" s="61">
        <f>'1'!C32</f>
        <v>1880703360</v>
      </c>
      <c r="E6" s="61">
        <f>'1'!D32</f>
        <v>2199068824.7808003</v>
      </c>
      <c r="F6" s="61">
        <f>'1'!E32</f>
        <v>2640202031.0318284</v>
      </c>
      <c r="G6" s="61">
        <f>'1'!F32</f>
        <v>3252517686.0687304</v>
      </c>
    </row>
    <row r="7" spans="1:7">
      <c r="B7" s="8" t="s">
        <v>66</v>
      </c>
      <c r="C7" s="61">
        <f>'1'!B33</f>
        <v>486000000</v>
      </c>
      <c r="D7" s="61">
        <f>'1'!C33</f>
        <v>545035392</v>
      </c>
      <c r="E7" s="61">
        <f>'1'!D33</f>
        <v>633880521.17913616</v>
      </c>
      <c r="F7" s="61">
        <f>'1'!E33</f>
        <v>756954763.17127705</v>
      </c>
      <c r="G7" s="61">
        <f>'1'!F33</f>
        <v>927505754.77092385</v>
      </c>
    </row>
    <row r="8" spans="1:7" ht="15.75" thickBot="1">
      <c r="B8" s="62" t="s">
        <v>67</v>
      </c>
      <c r="C8" s="63">
        <f>C6-C7</f>
        <v>1182000000</v>
      </c>
      <c r="D8" s="63">
        <f>D6-D7</f>
        <v>1335667968</v>
      </c>
      <c r="E8" s="63">
        <f>E6-E7</f>
        <v>1565188303.6016641</v>
      </c>
      <c r="F8" s="63">
        <f>F6-F7</f>
        <v>1883247267.8605514</v>
      </c>
      <c r="G8" s="63">
        <f>G6-G7</f>
        <v>2325011931.2978067</v>
      </c>
    </row>
    <row r="9" spans="1:7" ht="15.75" thickTop="1">
      <c r="B9" s="8" t="s">
        <v>68</v>
      </c>
      <c r="C9" s="61">
        <f>'2'!C23</f>
        <v>978000000</v>
      </c>
      <c r="D9" s="61">
        <f>C9*(1+'1'!Z4)</f>
        <v>1021032000</v>
      </c>
      <c r="E9" s="61">
        <f>D9*(1+'1'!AA4)</f>
        <v>1065957408</v>
      </c>
      <c r="F9" s="61">
        <f>E9*(1+'1'!AB4)</f>
        <v>1112859533.9520001</v>
      </c>
      <c r="G9" s="61">
        <f>F9*(1+'1'!AC4)</f>
        <v>1161825353.4458883</v>
      </c>
    </row>
    <row r="10" spans="1:7">
      <c r="B10" s="8" t="s">
        <v>134</v>
      </c>
      <c r="C10" s="61">
        <f>'2'!F31</f>
        <v>44440000</v>
      </c>
      <c r="D10" s="61">
        <f>C10*(1+'1'!Z4)</f>
        <v>46395360</v>
      </c>
      <c r="E10" s="61">
        <f>D10*(1+'1'!AA4)</f>
        <v>48436755.840000004</v>
      </c>
      <c r="F10" s="61">
        <f>E10*(1+'1'!AB4)</f>
        <v>50567973.096960008</v>
      </c>
      <c r="G10" s="61">
        <f>F10*(1+'1'!AC4)</f>
        <v>52792963.913226247</v>
      </c>
    </row>
    <row r="11" spans="1:7">
      <c r="B11" s="8" t="s">
        <v>69</v>
      </c>
      <c r="C11" s="61">
        <f>'2'!C25</f>
        <v>18000000</v>
      </c>
      <c r="D11" s="61">
        <f>'2'!C28</f>
        <v>19800000</v>
      </c>
      <c r="E11" s="61">
        <f>'2'!C29</f>
        <v>21780000</v>
      </c>
      <c r="F11" s="61">
        <f>'2'!C30</f>
        <v>23958000.000000004</v>
      </c>
      <c r="G11" s="61">
        <f>'2'!C31</f>
        <v>26353800.000000007</v>
      </c>
    </row>
    <row r="12" spans="1:7">
      <c r="B12" s="8" t="s">
        <v>86</v>
      </c>
      <c r="C12" s="61">
        <f>'2'!G12</f>
        <v>22190000</v>
      </c>
      <c r="D12" s="61">
        <f>C12</f>
        <v>22190000</v>
      </c>
      <c r="E12" s="61">
        <f>D12</f>
        <v>22190000</v>
      </c>
      <c r="F12" s="61">
        <f>E12</f>
        <v>22190000</v>
      </c>
      <c r="G12" s="61">
        <f>F12</f>
        <v>22190000</v>
      </c>
    </row>
    <row r="13" spans="1:7" ht="15.75" thickBot="1">
      <c r="B13" s="62" t="s">
        <v>70</v>
      </c>
      <c r="C13" s="64">
        <f>C8-C9-C10-C11-C12</f>
        <v>119370000</v>
      </c>
      <c r="D13" s="64">
        <f>D8-D9-D10-D11-D12</f>
        <v>226250608</v>
      </c>
      <c r="E13" s="64">
        <f>E8-E9-E10-E11-E12</f>
        <v>406824139.76166403</v>
      </c>
      <c r="F13" s="64">
        <f>F8-F9-F10-F11-F12</f>
        <v>673671760.81159115</v>
      </c>
      <c r="G13" s="64">
        <f>G8-G9-G10-G11-G12</f>
        <v>1061849813.9386921</v>
      </c>
    </row>
    <row r="14" spans="1:7" ht="15.75" thickTop="1">
      <c r="B14" s="8" t="s">
        <v>71</v>
      </c>
      <c r="C14" s="61">
        <f>'3'!G9</f>
        <v>98626300</v>
      </c>
      <c r="D14" s="61">
        <f>'3'!G10</f>
        <v>86130305.96649529</v>
      </c>
      <c r="E14" s="61">
        <f>'3'!G11</f>
        <v>70760233.305284485</v>
      </c>
      <c r="F14" s="61">
        <f>'3'!G12</f>
        <v>51855043.931995191</v>
      </c>
      <c r="G14" s="61">
        <f>'3'!G13</f>
        <v>28601661.002849367</v>
      </c>
    </row>
    <row r="15" spans="1:7" ht="15.75" thickBot="1">
      <c r="B15" s="62" t="s">
        <v>72</v>
      </c>
      <c r="C15" s="64">
        <f>C13-C14</f>
        <v>20743700</v>
      </c>
      <c r="D15" s="64">
        <f>D13-D14</f>
        <v>140120302.03350472</v>
      </c>
      <c r="E15" s="64">
        <f>E13-E14</f>
        <v>336063906.45637953</v>
      </c>
      <c r="F15" s="64">
        <f>F13-F14</f>
        <v>621816716.87959599</v>
      </c>
      <c r="G15" s="64">
        <f>G13-G14</f>
        <v>1033248152.9358428</v>
      </c>
    </row>
    <row r="16" spans="1:7" ht="15.75" thickTop="1">
      <c r="B16" s="8" t="s">
        <v>73</v>
      </c>
      <c r="C16" s="65">
        <f>IF(C15*'1'!$AB$7&lt;0,0,C15*'1'!$AB$7)</f>
        <v>5600799</v>
      </c>
      <c r="D16" s="65">
        <f>IF(D15*'1'!$AB$7&lt;0,0,D15*'1'!$AB$7)</f>
        <v>37832481.549046278</v>
      </c>
      <c r="E16" s="65">
        <f>IF(E15*'1'!$AB$7&lt;0,0,E15*'1'!$AB$7)</f>
        <v>90737254.743222475</v>
      </c>
      <c r="F16" s="65">
        <f>IF(F15*'1'!$AB$7&lt;0,0,F15*'1'!$AB$7)</f>
        <v>167890513.55749092</v>
      </c>
      <c r="G16" s="65">
        <f>IF(G15*'1'!$AB$7&lt;0,0,G15*'1'!$AB$7)</f>
        <v>278977001.29267758</v>
      </c>
    </row>
    <row r="17" spans="1:8" ht="15.75" thickBot="1">
      <c r="B17" s="66" t="s">
        <v>74</v>
      </c>
      <c r="C17" s="67">
        <f>C15-C16</f>
        <v>15142901</v>
      </c>
      <c r="D17" s="67">
        <f>D15-D16</f>
        <v>102287820.48445845</v>
      </c>
      <c r="E17" s="67">
        <f>E15-E16</f>
        <v>245326651.71315706</v>
      </c>
      <c r="F17" s="67">
        <f>F15-F16</f>
        <v>453926203.32210505</v>
      </c>
      <c r="G17" s="67">
        <f>G15-G16</f>
        <v>754271151.64316511</v>
      </c>
    </row>
    <row r="19" spans="1:8" ht="15.75">
      <c r="A19" s="155" t="s">
        <v>64</v>
      </c>
      <c r="B19" s="155"/>
      <c r="C19" s="155"/>
      <c r="D19" s="155"/>
      <c r="E19" s="155"/>
      <c r="F19" s="155"/>
      <c r="G19" s="155"/>
    </row>
    <row r="20" spans="1:8" ht="23.25">
      <c r="B20" s="68" t="s">
        <v>84</v>
      </c>
      <c r="C20" s="60">
        <f>C5</f>
        <v>2025</v>
      </c>
      <c r="D20" s="60">
        <f>D5</f>
        <v>2026</v>
      </c>
      <c r="E20" s="60">
        <f>E5</f>
        <v>2027</v>
      </c>
      <c r="F20" s="60">
        <f>F5</f>
        <v>2028</v>
      </c>
      <c r="G20" s="60">
        <f>G5</f>
        <v>2029</v>
      </c>
    </row>
    <row r="21" spans="1:8">
      <c r="A21" s="156" t="s">
        <v>65</v>
      </c>
      <c r="B21" s="156"/>
      <c r="C21" s="156"/>
      <c r="D21" s="156"/>
      <c r="E21" s="156"/>
      <c r="F21" s="156"/>
      <c r="G21" s="156"/>
    </row>
    <row r="22" spans="1:8">
      <c r="A22" s="8" t="s">
        <v>95</v>
      </c>
      <c r="B22" s="26">
        <f t="shared" ref="B22:G22" si="0">B38-B26</f>
        <v>381610000</v>
      </c>
      <c r="C22" s="26">
        <f t="shared" si="0"/>
        <v>370213291.15867513</v>
      </c>
      <c r="D22" s="26">
        <f t="shared" si="0"/>
        <v>444953490.31735027</v>
      </c>
      <c r="E22" s="26">
        <f t="shared" si="0"/>
        <v>580890619.20418477</v>
      </c>
      <c r="F22" s="26">
        <f t="shared" si="0"/>
        <v>787731764.71807146</v>
      </c>
      <c r="G22" s="26">
        <f t="shared" si="0"/>
        <v>1096998152.9358428</v>
      </c>
    </row>
    <row r="23" spans="1:8">
      <c r="A23" s="8" t="s">
        <v>93</v>
      </c>
      <c r="B23" s="26">
        <f>'2'!C4</f>
        <v>0</v>
      </c>
      <c r="C23" s="26">
        <f t="shared" ref="C23:G24" si="1">B23</f>
        <v>0</v>
      </c>
      <c r="D23" s="26">
        <f t="shared" si="1"/>
        <v>0</v>
      </c>
      <c r="E23" s="26">
        <f t="shared" si="1"/>
        <v>0</v>
      </c>
      <c r="F23" s="26">
        <f t="shared" si="1"/>
        <v>0</v>
      </c>
      <c r="G23" s="26">
        <f t="shared" si="1"/>
        <v>0</v>
      </c>
      <c r="H23" s="26"/>
    </row>
    <row r="24" spans="1:8">
      <c r="A24" s="8" t="s">
        <v>94</v>
      </c>
      <c r="B24" s="26">
        <f>'2'!C12-'2'!C4</f>
        <v>167200000</v>
      </c>
      <c r="C24" s="26">
        <f t="shared" si="1"/>
        <v>167200000</v>
      </c>
      <c r="D24" s="26">
        <f t="shared" si="1"/>
        <v>167200000</v>
      </c>
      <c r="E24" s="26">
        <f t="shared" si="1"/>
        <v>167200000</v>
      </c>
      <c r="F24" s="26">
        <f t="shared" si="1"/>
        <v>167200000</v>
      </c>
      <c r="G24" s="26">
        <f t="shared" si="1"/>
        <v>167200000</v>
      </c>
      <c r="H24" s="26"/>
    </row>
    <row r="25" spans="1:8">
      <c r="A25" s="8" t="s">
        <v>87</v>
      </c>
      <c r="B25" s="26">
        <v>0</v>
      </c>
      <c r="C25" s="26">
        <f>C12</f>
        <v>22190000</v>
      </c>
      <c r="D25" s="26">
        <f>D12+C12</f>
        <v>44380000</v>
      </c>
      <c r="E25" s="26">
        <f>E12+D12+C12</f>
        <v>66570000</v>
      </c>
      <c r="F25" s="26">
        <f>F12+E12+D12+C12</f>
        <v>88760000</v>
      </c>
      <c r="G25" s="26">
        <f>F25+G12</f>
        <v>110950000</v>
      </c>
      <c r="H25" s="26"/>
    </row>
    <row r="26" spans="1:8">
      <c r="A26" s="8" t="s">
        <v>88</v>
      </c>
      <c r="B26" s="26">
        <f t="shared" ref="B26:G26" si="2">B23+(B24-B25)</f>
        <v>167200000</v>
      </c>
      <c r="C26" s="26">
        <f t="shared" si="2"/>
        <v>145010000</v>
      </c>
      <c r="D26" s="26">
        <f t="shared" si="2"/>
        <v>122820000</v>
      </c>
      <c r="E26" s="26">
        <f t="shared" si="2"/>
        <v>100630000</v>
      </c>
      <c r="F26" s="26">
        <f t="shared" si="2"/>
        <v>78440000</v>
      </c>
      <c r="G26" s="26">
        <f t="shared" si="2"/>
        <v>56250000</v>
      </c>
      <c r="H26" s="26"/>
    </row>
    <row r="27" spans="1:8" ht="15.75" thickBot="1">
      <c r="A27" s="62" t="s">
        <v>85</v>
      </c>
      <c r="B27" s="69">
        <f t="shared" ref="B27:G27" si="3">B22+B26</f>
        <v>548810000</v>
      </c>
      <c r="C27" s="69">
        <f t="shared" si="3"/>
        <v>515223291.15867513</v>
      </c>
      <c r="D27" s="69">
        <f t="shared" si="3"/>
        <v>567773490.31735027</v>
      </c>
      <c r="E27" s="69">
        <f t="shared" si="3"/>
        <v>681520619.20418477</v>
      </c>
      <c r="F27" s="69">
        <f t="shared" si="3"/>
        <v>866171764.71807146</v>
      </c>
      <c r="G27" s="69">
        <f t="shared" si="3"/>
        <v>1153248152.9358428</v>
      </c>
      <c r="H27" s="26"/>
    </row>
    <row r="28" spans="1:8" ht="15.75" thickTop="1">
      <c r="A28" s="156" t="s">
        <v>75</v>
      </c>
      <c r="B28" s="156"/>
      <c r="C28" s="156"/>
      <c r="D28" s="156"/>
      <c r="E28" s="156"/>
      <c r="F28" s="156"/>
      <c r="G28" s="156"/>
    </row>
    <row r="29" spans="1:8">
      <c r="A29" s="8" t="s">
        <v>76</v>
      </c>
      <c r="B29" s="8">
        <v>0</v>
      </c>
      <c r="C29" s="65">
        <f>C16</f>
        <v>5600799</v>
      </c>
      <c r="D29" s="65">
        <f>D16</f>
        <v>37832481.549046278</v>
      </c>
      <c r="E29" s="65">
        <f>E16</f>
        <v>90737254.743222475</v>
      </c>
      <c r="F29" s="65">
        <f>F16</f>
        <v>167890513.55749092</v>
      </c>
      <c r="G29" s="65">
        <f>G16</f>
        <v>278977001.29267758</v>
      </c>
    </row>
    <row r="30" spans="1:8">
      <c r="A30" s="8" t="s">
        <v>77</v>
      </c>
      <c r="B30" s="65">
        <f t="shared" ref="B30:G30" si="4">B29</f>
        <v>0</v>
      </c>
      <c r="C30" s="65">
        <f t="shared" si="4"/>
        <v>5600799</v>
      </c>
      <c r="D30" s="65">
        <f t="shared" si="4"/>
        <v>37832481.549046278</v>
      </c>
      <c r="E30" s="65">
        <f t="shared" si="4"/>
        <v>90737254.743222475</v>
      </c>
      <c r="F30" s="65">
        <f t="shared" si="4"/>
        <v>167890513.55749092</v>
      </c>
      <c r="G30" s="65">
        <f t="shared" si="4"/>
        <v>278977001.29267758</v>
      </c>
    </row>
    <row r="31" spans="1:8">
      <c r="A31" s="8" t="s">
        <v>78</v>
      </c>
      <c r="B31" s="25">
        <f>'3'!J8</f>
        <v>428810000</v>
      </c>
      <c r="C31" s="25">
        <f>'3'!J9</f>
        <v>374479591.15867513</v>
      </c>
      <c r="D31" s="25">
        <f>'3'!J10</f>
        <v>307653188.28384554</v>
      </c>
      <c r="E31" s="25">
        <f>'3'!J11</f>
        <v>225456712.74780518</v>
      </c>
      <c r="F31" s="25">
        <f>'3'!J12</f>
        <v>124355047.8384755</v>
      </c>
      <c r="G31" s="25">
        <f>'3'!J13</f>
        <v>0</v>
      </c>
    </row>
    <row r="32" spans="1:8" ht="15.75" thickBot="1">
      <c r="A32" s="62" t="s">
        <v>75</v>
      </c>
      <c r="B32" s="69">
        <f t="shared" ref="B32:G32" si="5">B30+B31</f>
        <v>428810000</v>
      </c>
      <c r="C32" s="69">
        <f t="shared" si="5"/>
        <v>380080390.15867513</v>
      </c>
      <c r="D32" s="69">
        <f t="shared" si="5"/>
        <v>345485669.83289182</v>
      </c>
      <c r="E32" s="69">
        <f t="shared" si="5"/>
        <v>316193967.49102765</v>
      </c>
      <c r="F32" s="69">
        <f t="shared" si="5"/>
        <v>292245561.39596641</v>
      </c>
      <c r="G32" s="69">
        <f t="shared" si="5"/>
        <v>278977001.29267758</v>
      </c>
    </row>
    <row r="33" spans="1:7" ht="15.75" thickTop="1">
      <c r="A33" s="156" t="s">
        <v>79</v>
      </c>
      <c r="B33" s="156"/>
      <c r="C33" s="156"/>
      <c r="D33" s="156"/>
      <c r="E33" s="156"/>
      <c r="F33" s="156"/>
      <c r="G33" s="156"/>
    </row>
    <row r="34" spans="1:7">
      <c r="A34" s="8" t="s">
        <v>80</v>
      </c>
      <c r="B34" s="26">
        <f>'3'!D15</f>
        <v>120000000</v>
      </c>
      <c r="C34" s="26">
        <f>B34</f>
        <v>120000000</v>
      </c>
      <c r="D34" s="26">
        <f>C34</f>
        <v>120000000</v>
      </c>
      <c r="E34" s="26">
        <f>D34</f>
        <v>120000000</v>
      </c>
      <c r="F34" s="26">
        <f>E34</f>
        <v>120000000</v>
      </c>
      <c r="G34" s="26">
        <f>F34</f>
        <v>120000000</v>
      </c>
    </row>
    <row r="35" spans="1:7">
      <c r="A35" s="8" t="s">
        <v>81</v>
      </c>
      <c r="B35" s="8">
        <v>0</v>
      </c>
      <c r="C35" s="65">
        <f>C17</f>
        <v>15142901</v>
      </c>
      <c r="D35" s="65">
        <f>D17</f>
        <v>102287820.48445845</v>
      </c>
      <c r="E35" s="65">
        <f>E17</f>
        <v>245326651.71315706</v>
      </c>
      <c r="F35" s="65">
        <f>F17</f>
        <v>453926203.32210505</v>
      </c>
      <c r="G35" s="65">
        <f>G17</f>
        <v>754271151.64316511</v>
      </c>
    </row>
    <row r="36" spans="1:7" ht="15.75" thickBot="1">
      <c r="A36" s="62" t="s">
        <v>82</v>
      </c>
      <c r="B36" s="69">
        <f t="shared" ref="B36:G36" si="6">B34+B35</f>
        <v>120000000</v>
      </c>
      <c r="C36" s="69">
        <f t="shared" si="6"/>
        <v>135142901</v>
      </c>
      <c r="D36" s="69">
        <f t="shared" si="6"/>
        <v>222287820.48445845</v>
      </c>
      <c r="E36" s="69">
        <f t="shared" si="6"/>
        <v>365326651.71315706</v>
      </c>
      <c r="F36" s="69">
        <f t="shared" si="6"/>
        <v>573926203.32210505</v>
      </c>
      <c r="G36" s="69">
        <f t="shared" si="6"/>
        <v>874271151.64316511</v>
      </c>
    </row>
    <row r="37" spans="1:7" ht="15.75" thickTop="1"/>
    <row r="38" spans="1:7" ht="15.75" thickBot="1">
      <c r="A38" s="62" t="s">
        <v>83</v>
      </c>
      <c r="B38" s="69">
        <f t="shared" ref="B38:G38" si="7">B32+B36</f>
        <v>548810000</v>
      </c>
      <c r="C38" s="69">
        <f t="shared" si="7"/>
        <v>515223291.15867513</v>
      </c>
      <c r="D38" s="69">
        <f t="shared" si="7"/>
        <v>567773490.31735027</v>
      </c>
      <c r="E38" s="69">
        <f t="shared" si="7"/>
        <v>681520619.20418477</v>
      </c>
      <c r="F38" s="69">
        <f t="shared" si="7"/>
        <v>866171764.71807146</v>
      </c>
      <c r="G38" s="69">
        <f t="shared" si="7"/>
        <v>1153248152.9358428</v>
      </c>
    </row>
    <row r="39" spans="1:7" ht="15.75" thickTop="1">
      <c r="A39" s="58" t="s">
        <v>90</v>
      </c>
      <c r="B39" s="70">
        <f t="shared" ref="B39:G39" si="8">B27-B38</f>
        <v>0</v>
      </c>
      <c r="C39" s="70">
        <f t="shared" si="8"/>
        <v>0</v>
      </c>
      <c r="D39" s="70">
        <f t="shared" si="8"/>
        <v>0</v>
      </c>
      <c r="E39" s="70">
        <f t="shared" si="8"/>
        <v>0</v>
      </c>
      <c r="F39" s="70">
        <f t="shared" si="8"/>
        <v>0</v>
      </c>
      <c r="G39" s="70">
        <f t="shared" si="8"/>
        <v>0</v>
      </c>
    </row>
    <row r="41" spans="1:7" ht="15.75">
      <c r="A41" s="155" t="s">
        <v>96</v>
      </c>
      <c r="B41" s="155"/>
      <c r="C41" s="155"/>
      <c r="D41" s="155"/>
      <c r="E41" s="155"/>
      <c r="F41" s="155"/>
      <c r="G41" s="155"/>
    </row>
    <row r="42" spans="1:7">
      <c r="A42" s="156" t="s">
        <v>97</v>
      </c>
      <c r="B42" s="156"/>
      <c r="C42" s="156"/>
      <c r="D42" s="156"/>
      <c r="E42" s="156"/>
      <c r="F42" s="156"/>
      <c r="G42" s="156"/>
    </row>
    <row r="43" spans="1:7" ht="23.25">
      <c r="A43" s="11"/>
      <c r="B43" s="68" t="s">
        <v>84</v>
      </c>
      <c r="C43" s="60">
        <f>C20</f>
        <v>2025</v>
      </c>
      <c r="D43" s="60">
        <f>D20</f>
        <v>2026</v>
      </c>
      <c r="E43" s="60">
        <f>E20</f>
        <v>2027</v>
      </c>
      <c r="F43" s="60">
        <f>F20</f>
        <v>2028</v>
      </c>
      <c r="G43" s="60">
        <f>G20</f>
        <v>2029</v>
      </c>
    </row>
    <row r="44" spans="1:7">
      <c r="A44" s="1" t="s">
        <v>98</v>
      </c>
      <c r="B44" s="2">
        <f t="shared" ref="B44:G44" si="9">B22</f>
        <v>381610000</v>
      </c>
      <c r="C44" s="2">
        <f t="shared" si="9"/>
        <v>370213291.15867513</v>
      </c>
      <c r="D44" s="2">
        <f t="shared" si="9"/>
        <v>444953490.31735027</v>
      </c>
      <c r="E44" s="2">
        <f t="shared" si="9"/>
        <v>580890619.20418477</v>
      </c>
      <c r="F44" s="2">
        <f t="shared" si="9"/>
        <v>787731764.71807146</v>
      </c>
      <c r="G44" s="2">
        <f t="shared" si="9"/>
        <v>1096998152.9358428</v>
      </c>
    </row>
    <row r="45" spans="1:7" ht="15.75" thickBot="1">
      <c r="A45" s="1" t="s">
        <v>99</v>
      </c>
      <c r="B45" s="3">
        <f t="shared" ref="B45:G45" si="10">B29</f>
        <v>0</v>
      </c>
      <c r="C45" s="3">
        <f t="shared" si="10"/>
        <v>5600799</v>
      </c>
      <c r="D45" s="3">
        <f t="shared" si="10"/>
        <v>37832481.549046278</v>
      </c>
      <c r="E45" s="3">
        <f t="shared" si="10"/>
        <v>90737254.743222475</v>
      </c>
      <c r="F45" s="3">
        <f t="shared" si="10"/>
        <v>167890513.55749092</v>
      </c>
      <c r="G45" s="3">
        <f t="shared" si="10"/>
        <v>278977001.29267758</v>
      </c>
    </row>
    <row r="46" spans="1:7" ht="15.75" thickTop="1">
      <c r="A46" s="4" t="s">
        <v>100</v>
      </c>
      <c r="B46" s="5">
        <f t="shared" ref="B46:G46" si="11">B44-B45</f>
        <v>381610000</v>
      </c>
      <c r="C46" s="5">
        <f t="shared" si="11"/>
        <v>364612492.15867513</v>
      </c>
      <c r="D46" s="5">
        <f t="shared" si="11"/>
        <v>407121008.76830399</v>
      </c>
      <c r="E46" s="5">
        <f t="shared" si="11"/>
        <v>490153364.4609623</v>
      </c>
      <c r="F46" s="5">
        <f t="shared" si="11"/>
        <v>619841251.16058052</v>
      </c>
      <c r="G46" s="5">
        <f t="shared" si="11"/>
        <v>818021151.64316511</v>
      </c>
    </row>
    <row r="47" spans="1:7">
      <c r="A47" s="1"/>
      <c r="B47" s="2"/>
      <c r="C47" s="2"/>
      <c r="D47" s="2"/>
      <c r="E47" s="2"/>
      <c r="F47" s="2"/>
      <c r="G47" s="2"/>
    </row>
    <row r="48" spans="1:7">
      <c r="A48" s="4" t="s">
        <v>101</v>
      </c>
      <c r="B48" s="2">
        <f t="shared" ref="B48:G48" si="12">B26</f>
        <v>167200000</v>
      </c>
      <c r="C48" s="2">
        <f t="shared" si="12"/>
        <v>145010000</v>
      </c>
      <c r="D48" s="2">
        <f t="shared" si="12"/>
        <v>122820000</v>
      </c>
      <c r="E48" s="2">
        <f t="shared" si="12"/>
        <v>100630000</v>
      </c>
      <c r="F48" s="2">
        <f t="shared" si="12"/>
        <v>78440000</v>
      </c>
      <c r="G48" s="2">
        <f t="shared" si="12"/>
        <v>56250000</v>
      </c>
    </row>
    <row r="49" spans="1:7" ht="15.75" thickBot="1">
      <c r="A49" s="1" t="s">
        <v>102</v>
      </c>
      <c r="B49" s="3">
        <f t="shared" ref="B49:G49" si="13">B25</f>
        <v>0</v>
      </c>
      <c r="C49" s="3">
        <f t="shared" si="13"/>
        <v>22190000</v>
      </c>
      <c r="D49" s="3">
        <f t="shared" si="13"/>
        <v>44380000</v>
      </c>
      <c r="E49" s="3">
        <f t="shared" si="13"/>
        <v>66570000</v>
      </c>
      <c r="F49" s="3">
        <f t="shared" si="13"/>
        <v>88760000</v>
      </c>
      <c r="G49" s="3">
        <f t="shared" si="13"/>
        <v>110950000</v>
      </c>
    </row>
    <row r="50" spans="1:7" ht="15.75" thickTop="1">
      <c r="A50" s="4" t="s">
        <v>103</v>
      </c>
      <c r="B50" s="5">
        <f t="shared" ref="B50:G50" si="14">B48+B49</f>
        <v>167200000</v>
      </c>
      <c r="C50" s="5">
        <f t="shared" si="14"/>
        <v>167200000</v>
      </c>
      <c r="D50" s="5">
        <f t="shared" si="14"/>
        <v>167200000</v>
      </c>
      <c r="E50" s="5">
        <f t="shared" si="14"/>
        <v>167200000</v>
      </c>
      <c r="F50" s="5">
        <f t="shared" si="14"/>
        <v>167200000</v>
      </c>
      <c r="G50" s="5">
        <f t="shared" si="14"/>
        <v>167200000</v>
      </c>
    </row>
    <row r="51" spans="1:7">
      <c r="A51" s="1"/>
      <c r="B51" s="2"/>
      <c r="C51" s="2"/>
      <c r="D51" s="2"/>
      <c r="E51" s="2"/>
      <c r="F51" s="2"/>
      <c r="G51" s="2"/>
    </row>
    <row r="52" spans="1:7" ht="15.75" thickBot="1">
      <c r="A52" s="12" t="s">
        <v>104</v>
      </c>
      <c r="B52" s="6">
        <f t="shared" ref="B52:G52" si="15">B46+B48</f>
        <v>548810000</v>
      </c>
      <c r="C52" s="6">
        <f t="shared" si="15"/>
        <v>509622492.15867513</v>
      </c>
      <c r="D52" s="6">
        <f t="shared" si="15"/>
        <v>529941008.76830399</v>
      </c>
      <c r="E52" s="6">
        <f t="shared" si="15"/>
        <v>590783364.4609623</v>
      </c>
      <c r="F52" s="6">
        <f t="shared" si="15"/>
        <v>698281251.16058052</v>
      </c>
      <c r="G52" s="6">
        <f t="shared" si="15"/>
        <v>874271151.64316511</v>
      </c>
    </row>
    <row r="53" spans="1:7" ht="15.75" thickTop="1">
      <c r="A53" s="7"/>
      <c r="B53" s="2"/>
      <c r="C53" s="2"/>
      <c r="D53" s="2"/>
      <c r="E53" s="2"/>
      <c r="F53" s="2"/>
      <c r="G53" s="2"/>
    </row>
    <row r="54" spans="1:7">
      <c r="A54" s="157" t="s">
        <v>105</v>
      </c>
      <c r="B54" s="157"/>
      <c r="C54" s="157"/>
      <c r="D54" s="157"/>
      <c r="E54" s="157"/>
      <c r="F54" s="157"/>
      <c r="G54" s="157"/>
    </row>
    <row r="55" spans="1:7">
      <c r="A55" s="1" t="s">
        <v>106</v>
      </c>
      <c r="C55" s="9">
        <f>C13</f>
        <v>119370000</v>
      </c>
      <c r="D55" s="9">
        <f>D13</f>
        <v>226250608</v>
      </c>
      <c r="E55" s="9">
        <f>E13</f>
        <v>406824139.76166403</v>
      </c>
      <c r="F55" s="9">
        <f>F13</f>
        <v>673671760.81159115</v>
      </c>
      <c r="G55" s="9">
        <f>G13</f>
        <v>1061849813.9386921</v>
      </c>
    </row>
    <row r="56" spans="1:7" ht="15.75" thickBot="1">
      <c r="A56" s="1" t="s">
        <v>107</v>
      </c>
      <c r="C56" s="10">
        <f>C55*'1'!$AB$7</f>
        <v>32229900.000000004</v>
      </c>
      <c r="D56" s="10">
        <f>D55*'1'!$AB$7</f>
        <v>61087664.160000004</v>
      </c>
      <c r="E56" s="10">
        <f>E55*'1'!$AB$7</f>
        <v>109842517.7356493</v>
      </c>
      <c r="F56" s="10">
        <f>F55*'1'!$AB$7</f>
        <v>181891375.41912961</v>
      </c>
      <c r="G56" s="10">
        <f>G55*'1'!$AB$7</f>
        <v>286699449.76344687</v>
      </c>
    </row>
    <row r="57" spans="1:7" ht="15.75" thickTop="1">
      <c r="A57" s="4" t="s">
        <v>108</v>
      </c>
      <c r="C57" s="9">
        <f>C55-C56</f>
        <v>87140100</v>
      </c>
      <c r="D57" s="9">
        <f>D55-D56</f>
        <v>165162943.84</v>
      </c>
      <c r="E57" s="9">
        <f>E55-E56</f>
        <v>296981622.02601475</v>
      </c>
      <c r="F57" s="9">
        <f>F55-F56</f>
        <v>491780385.39246154</v>
      </c>
      <c r="G57" s="9">
        <f>G55-G56</f>
        <v>775150364.17524529</v>
      </c>
    </row>
    <row r="58" spans="1:7" ht="15.75" thickBot="1">
      <c r="A58" s="1" t="s">
        <v>109</v>
      </c>
      <c r="C58" s="10">
        <f>-(C52-B52)</f>
        <v>39187507.841324866</v>
      </c>
      <c r="D58" s="10">
        <f>-(D52-C52)</f>
        <v>-20318516.609628856</v>
      </c>
      <c r="E58" s="10">
        <f>-(E52-D52)</f>
        <v>-60842355.692658305</v>
      </c>
      <c r="F58" s="10">
        <f>-(F52-E52)</f>
        <v>-107497886.69961822</v>
      </c>
      <c r="G58" s="10">
        <f>-(G52-F52)</f>
        <v>-175989900.4825846</v>
      </c>
    </row>
    <row r="59" spans="1:7" ht="16.5" thickTop="1" thickBot="1">
      <c r="A59" s="57" t="s">
        <v>110</v>
      </c>
      <c r="B59" s="58"/>
      <c r="C59" s="59">
        <f>SUM(C57:C58)</f>
        <v>126327607.84132487</v>
      </c>
      <c r="D59" s="59">
        <f>SUM(D57:D58)</f>
        <v>144844427.23037115</v>
      </c>
      <c r="E59" s="59">
        <f>SUM(E57:E58)</f>
        <v>236139266.33335644</v>
      </c>
      <c r="F59" s="59">
        <f>SUM(F57:F58)</f>
        <v>384282498.69284332</v>
      </c>
      <c r="G59" s="59">
        <f>SUM(G57:G58)</f>
        <v>599160463.69266069</v>
      </c>
    </row>
    <row r="60" spans="1:7" ht="15.75" thickTop="1"/>
  </sheetData>
  <sheetProtection algorithmName="SHA-512" hashValue="IQcSUX7WgA2g30pLr7tJMmGcfuMimbrrDJr6FK6q2BovQKn0/6cnsWuXbCiptrpMrL+x4GNmNQ/jXdjtPO3XfQ==" saltValue="CaVricx0vPQy+wJOqrscFw==" spinCount="100000" sheet="1" formatCells="0" formatColumns="0" formatRows="0"/>
  <mergeCells count="10">
    <mergeCell ref="A54:G54"/>
    <mergeCell ref="A21:G21"/>
    <mergeCell ref="A28:G28"/>
    <mergeCell ref="A33:G33"/>
    <mergeCell ref="A19:G19"/>
    <mergeCell ref="A1:G1"/>
    <mergeCell ref="A2:G2"/>
    <mergeCell ref="A4:G4"/>
    <mergeCell ref="A41:G41"/>
    <mergeCell ref="A42:G42"/>
  </mergeCells>
  <conditionalFormatting sqref="B22:G22">
    <cfRule type="cellIs" dxfId="9" priority="2" operator="lessThan">
      <formula>0</formula>
    </cfRule>
  </conditionalFormatting>
  <conditionalFormatting sqref="C17:G17">
    <cfRule type="cellIs" dxfId="8" priority="3" operator="lessThan">
      <formula>0</formula>
    </cfRule>
  </conditionalFormatting>
  <conditionalFormatting sqref="C59:G59">
    <cfRule type="cellIs" dxfId="7" priority="1" operator="lessThan">
      <formula>0</formula>
    </cfRule>
  </conditionalFormatting>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P66"/>
  <sheetViews>
    <sheetView showGridLines="0" zoomScale="145" zoomScaleNormal="145" workbookViewId="0">
      <selection activeCell="E3" sqref="E3:F4"/>
    </sheetView>
  </sheetViews>
  <sheetFormatPr baseColWidth="10" defaultColWidth="11.42578125" defaultRowHeight="15"/>
  <cols>
    <col min="1" max="1" width="11.42578125" style="8"/>
    <col min="2" max="2" width="32.5703125" style="8" customWidth="1"/>
    <col min="3" max="3" width="24.28515625" style="8" bestFit="1" customWidth="1"/>
    <col min="4" max="4" width="36.28515625" style="8" bestFit="1" customWidth="1"/>
    <col min="5" max="5" width="32.28515625" style="8" customWidth="1"/>
    <col min="6" max="6" width="26" style="8" customWidth="1"/>
    <col min="7" max="8" width="20.7109375" style="8" bestFit="1" customWidth="1"/>
    <col min="9" max="9" width="11.42578125" style="8"/>
    <col min="10" max="10" width="12" style="8" bestFit="1" customWidth="1"/>
    <col min="11" max="14" width="11.42578125" style="8"/>
    <col min="15" max="15" width="15.28515625" style="8" bestFit="1" customWidth="1"/>
    <col min="16" max="16" width="21.5703125" style="8" bestFit="1" customWidth="1"/>
    <col min="17" max="16384" width="11.42578125" style="8"/>
  </cols>
  <sheetData>
    <row r="2" spans="2:16" ht="38.25" customHeight="1">
      <c r="B2" s="142" t="s">
        <v>131</v>
      </c>
      <c r="C2" s="142"/>
      <c r="D2" s="142"/>
      <c r="E2" s="142"/>
      <c r="F2" s="142"/>
      <c r="G2" s="142"/>
      <c r="H2" s="142"/>
    </row>
    <row r="3" spans="2:16" ht="15.75" customHeight="1">
      <c r="B3" s="158" t="s">
        <v>159</v>
      </c>
      <c r="C3" s="158"/>
      <c r="D3" s="158"/>
      <c r="E3" s="159">
        <v>0.2</v>
      </c>
      <c r="F3" s="159"/>
    </row>
    <row r="4" spans="2:16" ht="16.5" customHeight="1">
      <c r="B4" s="158"/>
      <c r="C4" s="158"/>
      <c r="D4" s="158"/>
      <c r="E4" s="159"/>
      <c r="F4" s="159"/>
      <c r="O4" s="100"/>
    </row>
    <row r="5" spans="2:16" ht="16.5" customHeight="1">
      <c r="B5" s="162"/>
      <c r="C5" s="162"/>
      <c r="D5" s="162"/>
      <c r="E5" s="139"/>
      <c r="F5" s="139"/>
      <c r="O5" s="100"/>
    </row>
    <row r="6" spans="2:16" ht="15.75" thickBot="1">
      <c r="O6" s="100"/>
      <c r="P6" s="103"/>
    </row>
    <row r="7" spans="2:16" ht="23.25">
      <c r="B7" s="99" t="s">
        <v>111</v>
      </c>
      <c r="C7" s="83" t="s">
        <v>112</v>
      </c>
      <c r="D7" s="84">
        <f>'4'!C20</f>
        <v>2025</v>
      </c>
      <c r="E7" s="84">
        <f>'4'!D20</f>
        <v>2026</v>
      </c>
      <c r="F7" s="84">
        <f>'4'!E20</f>
        <v>2027</v>
      </c>
      <c r="G7" s="84">
        <f>'4'!F20</f>
        <v>2028</v>
      </c>
      <c r="H7" s="85">
        <f>'4'!G20</f>
        <v>2029</v>
      </c>
      <c r="O7" s="100"/>
      <c r="P7" s="102"/>
    </row>
    <row r="8" spans="2:16" ht="19.5" thickBot="1">
      <c r="B8" s="86"/>
      <c r="C8" s="108">
        <f>-'3'!D14</f>
        <v>-548810000</v>
      </c>
      <c r="D8" s="108">
        <f>'4'!C59</f>
        <v>126327607.84132487</v>
      </c>
      <c r="E8" s="108">
        <f>'4'!D59</f>
        <v>144844427.23037115</v>
      </c>
      <c r="F8" s="108">
        <f>'4'!E59</f>
        <v>236139266.33335644</v>
      </c>
      <c r="G8" s="108">
        <f>'4'!F59</f>
        <v>384282498.69284332</v>
      </c>
      <c r="H8" s="109">
        <f>'4'!G59</f>
        <v>599160463.69266069</v>
      </c>
      <c r="O8" s="100"/>
      <c r="P8" s="102"/>
    </row>
    <row r="9" spans="2:16" ht="15.75" thickBot="1">
      <c r="C9" s="71">
        <f>C8/(1+$E$3)^0</f>
        <v>-548810000</v>
      </c>
      <c r="D9" s="71">
        <f>D8/(1+$E$3)^1</f>
        <v>105273006.53443739</v>
      </c>
      <c r="E9" s="71">
        <f>E8/(1+$E$3)^2</f>
        <v>100586407.79886885</v>
      </c>
      <c r="F9" s="71">
        <f>F8/(1+$E$3)^3</f>
        <v>136654668.01698869</v>
      </c>
      <c r="G9" s="71">
        <f>G8/(1+$E$3)^4</f>
        <v>185321421.05171844</v>
      </c>
      <c r="H9" s="71">
        <f>H8/(1+$E$3)^5</f>
        <v>240789152.39706337</v>
      </c>
      <c r="O9" s="100"/>
      <c r="P9" s="102"/>
    </row>
    <row r="10" spans="2:16" ht="24" thickBot="1">
      <c r="B10" s="30" t="s">
        <v>113</v>
      </c>
      <c r="C10" s="31"/>
      <c r="D10" s="110">
        <f>NPV(E3,D8:H8)+$C$8</f>
        <v>219814655.7990768</v>
      </c>
      <c r="O10" s="100"/>
      <c r="P10" s="102"/>
    </row>
    <row r="11" spans="2:16" ht="28.5" thickBot="1">
      <c r="B11" s="107" t="s">
        <v>114</v>
      </c>
      <c r="C11" s="31"/>
      <c r="D11" s="111">
        <f>IF(ISERROR(IRR(C8:H8)),"NO_APLICA",(IRR(C8:H8)))</f>
        <v>0.32643112474970737</v>
      </c>
      <c r="F11" s="104" t="s">
        <v>136</v>
      </c>
      <c r="G11" s="31"/>
      <c r="H11" s="105">
        <f>IF(ISERROR(-C9/AVERAGE(D9:H9)),"NO_APLICA",(-C9/AVERAGE(D9:H9)))</f>
        <v>3.570078033923116</v>
      </c>
      <c r="I11" s="106" t="s">
        <v>63</v>
      </c>
      <c r="P11" s="101"/>
    </row>
    <row r="13" spans="2:16" ht="18.75">
      <c r="B13" s="160" t="s">
        <v>118</v>
      </c>
      <c r="C13" s="160"/>
      <c r="D13" s="160"/>
      <c r="E13" s="160"/>
      <c r="F13" s="160"/>
      <c r="G13" s="160"/>
      <c r="H13" s="160"/>
    </row>
    <row r="14" spans="2:16" ht="36.75">
      <c r="B14" s="87" t="str">
        <f>'1'!B2</f>
        <v>NOMBRE DEL PRODUCTO O SERVICIO</v>
      </c>
      <c r="C14" s="87" t="s">
        <v>119</v>
      </c>
      <c r="D14" s="87" t="s">
        <v>120</v>
      </c>
      <c r="E14" s="87" t="s">
        <v>121</v>
      </c>
      <c r="F14" s="87" t="s">
        <v>123</v>
      </c>
      <c r="H14" s="71"/>
      <c r="I14" s="71"/>
      <c r="J14" s="71" t="s">
        <v>127</v>
      </c>
    </row>
    <row r="15" spans="2:16">
      <c r="B15" s="38" t="str">
        <f>'1'!B3</f>
        <v>Diagnóstico de madurez analítica</v>
      </c>
      <c r="C15" s="88">
        <f>'1'!D3-'1'!D17</f>
        <v>7000000</v>
      </c>
      <c r="D15" s="89">
        <f>'1'!F3</f>
        <v>0.17266187050359713</v>
      </c>
      <c r="E15" s="88">
        <f>C15*D15</f>
        <v>1208633.0935251799</v>
      </c>
      <c r="F15" s="90">
        <f t="shared" ref="F15:F24" si="0">$E$28*D15</f>
        <v>38.690052680508217</v>
      </c>
      <c r="G15" s="38" t="s">
        <v>122</v>
      </c>
      <c r="H15" s="72">
        <f>'1'!D3</f>
        <v>8000000</v>
      </c>
      <c r="I15" s="91">
        <f t="shared" ref="I15:I24" si="1">$B$35*D15</f>
        <v>77.380105361016447</v>
      </c>
      <c r="J15" s="72">
        <f>'1'!D17</f>
        <v>1000000</v>
      </c>
    </row>
    <row r="16" spans="2:16">
      <c r="B16" s="92" t="str">
        <f>'1'!B4</f>
        <v>Implementación de dashboards</v>
      </c>
      <c r="C16" s="88">
        <f>'1'!D4-'1'!D18</f>
        <v>5500000</v>
      </c>
      <c r="D16" s="89">
        <f>'1'!F4</f>
        <v>0.17266187050359713</v>
      </c>
      <c r="E16" s="88">
        <f t="shared" ref="E16:E24" si="2">C16*D16</f>
        <v>949640.28776978422</v>
      </c>
      <c r="F16" s="90">
        <f t="shared" si="0"/>
        <v>38.690052680508217</v>
      </c>
      <c r="G16" s="38" t="str">
        <f>G15</f>
        <v>UNIDADES</v>
      </c>
      <c r="H16" s="72">
        <f>'1'!D4</f>
        <v>8000000</v>
      </c>
      <c r="I16" s="91">
        <f t="shared" si="1"/>
        <v>77.380105361016447</v>
      </c>
      <c r="J16" s="72">
        <f>'1'!D18</f>
        <v>2500000</v>
      </c>
    </row>
    <row r="17" spans="2:10">
      <c r="B17" s="92" t="str">
        <f>'1'!B5</f>
        <v>Modelo predictivo básico</v>
      </c>
      <c r="C17" s="88">
        <f>'1'!D5-'1'!D19</f>
        <v>5000000</v>
      </c>
      <c r="D17" s="89">
        <f>'1'!F5</f>
        <v>5.7553956834532377E-2</v>
      </c>
      <c r="E17" s="88">
        <f t="shared" si="2"/>
        <v>287769.78417266189</v>
      </c>
      <c r="F17" s="90">
        <f t="shared" si="0"/>
        <v>12.89668422683607</v>
      </c>
      <c r="G17" s="38" t="str">
        <f t="shared" ref="G17:G24" si="3">G16</f>
        <v>UNIDADES</v>
      </c>
      <c r="H17" s="72">
        <f>'1'!D5</f>
        <v>8000000</v>
      </c>
      <c r="I17" s="91">
        <f t="shared" si="1"/>
        <v>25.793368453672148</v>
      </c>
      <c r="J17" s="72">
        <f>'1'!D19</f>
        <v>3000000</v>
      </c>
    </row>
    <row r="18" spans="2:10">
      <c r="B18" s="92" t="str">
        <f>'1'!B6</f>
        <v>Automatización de reportes</v>
      </c>
      <c r="C18" s="88">
        <f>'1'!D6-'1'!D20</f>
        <v>4500000</v>
      </c>
      <c r="D18" s="89">
        <f>'1'!F6</f>
        <v>0.17266187050359713</v>
      </c>
      <c r="E18" s="88">
        <f t="shared" si="2"/>
        <v>776978.41726618714</v>
      </c>
      <c r="F18" s="90">
        <f t="shared" si="0"/>
        <v>38.690052680508217</v>
      </c>
      <c r="G18" s="38" t="str">
        <f t="shared" si="3"/>
        <v>UNIDADES</v>
      </c>
      <c r="H18" s="72">
        <f>'1'!D6</f>
        <v>6000000</v>
      </c>
      <c r="I18" s="91">
        <f t="shared" si="1"/>
        <v>77.380105361016447</v>
      </c>
      <c r="J18" s="72">
        <f>'1'!D20</f>
        <v>1500000</v>
      </c>
    </row>
    <row r="19" spans="2:10">
      <c r="B19" s="92" t="str">
        <f>'1'!B7</f>
        <v>Auditoría de calidad de datos</v>
      </c>
      <c r="C19" s="88">
        <f>'1'!D7-'1'!D21</f>
        <v>3000000</v>
      </c>
      <c r="D19" s="89">
        <f>'1'!F7</f>
        <v>3.5971223021582732E-2</v>
      </c>
      <c r="E19" s="88">
        <f t="shared" si="2"/>
        <v>107913.6690647482</v>
      </c>
      <c r="F19" s="90">
        <f t="shared" si="0"/>
        <v>8.0604276417725433</v>
      </c>
      <c r="G19" s="38" t="str">
        <f t="shared" si="3"/>
        <v>UNIDADES</v>
      </c>
      <c r="H19" s="72">
        <f>'1'!D7</f>
        <v>5000000</v>
      </c>
      <c r="I19" s="91">
        <f t="shared" si="1"/>
        <v>16.12085528354509</v>
      </c>
      <c r="J19" s="72">
        <f>'1'!D21</f>
        <v>2000000</v>
      </c>
    </row>
    <row r="20" spans="2:10">
      <c r="B20" s="92" t="str">
        <f>'1'!B8</f>
        <v>Arquitectura de datos</v>
      </c>
      <c r="C20" s="88">
        <f>'1'!D8-'1'!D22</f>
        <v>6000000</v>
      </c>
      <c r="D20" s="89">
        <f>'1'!F8</f>
        <v>7.1942446043165464E-2</v>
      </c>
      <c r="E20" s="88">
        <f t="shared" si="2"/>
        <v>431654.67625899281</v>
      </c>
      <c r="F20" s="90">
        <f t="shared" si="0"/>
        <v>16.120855283545087</v>
      </c>
      <c r="G20" s="38" t="str">
        <f t="shared" si="3"/>
        <v>UNIDADES</v>
      </c>
      <c r="H20" s="72">
        <f>'1'!D8</f>
        <v>10000000</v>
      </c>
      <c r="I20" s="91">
        <f t="shared" si="1"/>
        <v>32.24171056709018</v>
      </c>
      <c r="J20" s="72">
        <f>'1'!D22</f>
        <v>4000000</v>
      </c>
    </row>
    <row r="21" spans="2:10">
      <c r="B21" s="92" t="str">
        <f>'1'!B9</f>
        <v>Gobierno de datos</v>
      </c>
      <c r="C21" s="88">
        <f>'1'!D9-'1'!D23</f>
        <v>4000000</v>
      </c>
      <c r="D21" s="89">
        <f>'1'!F9</f>
        <v>5.0359712230215826E-2</v>
      </c>
      <c r="E21" s="88">
        <f t="shared" si="2"/>
        <v>201438.8489208633</v>
      </c>
      <c r="F21" s="90">
        <f t="shared" si="0"/>
        <v>11.284598698481561</v>
      </c>
      <c r="G21" s="38" t="str">
        <f t="shared" si="3"/>
        <v>UNIDADES</v>
      </c>
      <c r="H21" s="72">
        <f>'1'!D9</f>
        <v>7000000</v>
      </c>
      <c r="I21" s="91">
        <f t="shared" si="1"/>
        <v>22.56919739696313</v>
      </c>
      <c r="J21" s="72">
        <f>'1'!D23</f>
        <v>3000000</v>
      </c>
    </row>
    <row r="22" spans="2:10">
      <c r="B22" s="92" t="str">
        <f>'1'!B10</f>
        <v>Curso alfabetización en datos</v>
      </c>
      <c r="C22" s="88">
        <f>'1'!D10-'1'!D24</f>
        <v>3200000</v>
      </c>
      <c r="D22" s="89">
        <f>'1'!F10</f>
        <v>2.8776978417266189E-2</v>
      </c>
      <c r="E22" s="88">
        <f t="shared" si="2"/>
        <v>92086.330935251797</v>
      </c>
      <c r="F22" s="90">
        <f t="shared" si="0"/>
        <v>6.4483421134180352</v>
      </c>
      <c r="G22" s="38" t="str">
        <f t="shared" si="3"/>
        <v>UNIDADES</v>
      </c>
      <c r="H22" s="72">
        <f>'1'!D10</f>
        <v>4000000</v>
      </c>
      <c r="I22" s="91">
        <f t="shared" si="1"/>
        <v>12.896684226836074</v>
      </c>
      <c r="J22" s="72">
        <f>'1'!D24</f>
        <v>800000</v>
      </c>
    </row>
    <row r="23" spans="2:10">
      <c r="B23" s="92" t="str">
        <f>'1'!B11</f>
        <v>Pack visualizaciones estándar</v>
      </c>
      <c r="C23" s="88">
        <f>'1'!D11-'1'!D25</f>
        <v>2200000</v>
      </c>
      <c r="D23" s="89">
        <f>'1'!F11</f>
        <v>0.1079136690647482</v>
      </c>
      <c r="E23" s="88">
        <f t="shared" si="2"/>
        <v>237410.07194244603</v>
      </c>
      <c r="F23" s="90">
        <f t="shared" si="0"/>
        <v>24.181282925317632</v>
      </c>
      <c r="G23" s="38" t="str">
        <f t="shared" si="3"/>
        <v>UNIDADES</v>
      </c>
      <c r="H23" s="72">
        <f>'1'!D11</f>
        <v>3000000</v>
      </c>
      <c r="I23" s="91">
        <f t="shared" si="1"/>
        <v>48.362565850635271</v>
      </c>
      <c r="J23" s="72">
        <f>'1'!D25</f>
        <v>800000</v>
      </c>
    </row>
    <row r="24" spans="2:10">
      <c r="B24" s="38" t="str">
        <f>'1'!B12</f>
        <v>Segmentación de clientes</v>
      </c>
      <c r="C24" s="88">
        <f>'1'!D12-'1'!D26</f>
        <v>2700000</v>
      </c>
      <c r="D24" s="89">
        <f>'1'!F12</f>
        <v>0.12949640287769784</v>
      </c>
      <c r="E24" s="88">
        <f t="shared" si="2"/>
        <v>349640.28776978416</v>
      </c>
      <c r="F24" s="90">
        <f t="shared" si="0"/>
        <v>29.017539510381159</v>
      </c>
      <c r="G24" s="38" t="str">
        <f t="shared" si="3"/>
        <v>UNIDADES</v>
      </c>
      <c r="H24" s="72">
        <f>'1'!D12</f>
        <v>4500000</v>
      </c>
      <c r="I24" s="91">
        <f t="shared" si="1"/>
        <v>58.035079020762332</v>
      </c>
      <c r="J24" s="72">
        <f>'1'!D26</f>
        <v>1800000</v>
      </c>
    </row>
    <row r="25" spans="2:10" ht="26.25">
      <c r="C25" s="26"/>
      <c r="D25" s="93"/>
      <c r="E25" s="26"/>
      <c r="F25" s="94">
        <f>SUM(F15:F24)</f>
        <v>224.07988844127678</v>
      </c>
      <c r="G25" s="8" t="str">
        <f>G24</f>
        <v>UNIDADES</v>
      </c>
      <c r="H25" s="72"/>
      <c r="I25" s="91"/>
      <c r="J25" s="72"/>
    </row>
    <row r="26" spans="2:10" ht="12.75" customHeight="1">
      <c r="C26" s="26"/>
      <c r="D26" s="93"/>
      <c r="E26" s="26"/>
      <c r="F26" s="94"/>
      <c r="H26" s="72"/>
      <c r="I26" s="91"/>
      <c r="J26" s="72"/>
    </row>
    <row r="27" spans="2:10" ht="21" customHeight="1">
      <c r="B27" s="163" t="s">
        <v>130</v>
      </c>
      <c r="C27" s="163"/>
      <c r="D27" s="163"/>
      <c r="E27" s="95">
        <f>SUM(E15:E24)</f>
        <v>4643165.4676258992</v>
      </c>
      <c r="H27" s="71"/>
      <c r="I27" s="71"/>
      <c r="J27" s="71"/>
    </row>
    <row r="28" spans="2:10" ht="19.5" customHeight="1">
      <c r="B28" s="163" t="s">
        <v>129</v>
      </c>
      <c r="C28" s="163"/>
      <c r="D28" s="163"/>
      <c r="E28" s="94">
        <f>IF(E27=0,0,('2'!C23+'2'!F31+'2'!C25)/'5'!E27)</f>
        <v>224.07988844127672</v>
      </c>
      <c r="F28" s="96" t="s">
        <v>122</v>
      </c>
      <c r="H28" s="97"/>
    </row>
    <row r="29" spans="2:10" ht="26.25">
      <c r="B29" s="163" t="s">
        <v>153</v>
      </c>
      <c r="C29" s="163"/>
      <c r="D29" s="163"/>
      <c r="E29" s="95">
        <f>E49</f>
        <v>1463773659.745894</v>
      </c>
    </row>
    <row r="30" spans="2:10">
      <c r="B30" s="134"/>
      <c r="C30" s="134"/>
      <c r="D30" s="134"/>
      <c r="E30" s="134"/>
      <c r="F30" s="134"/>
      <c r="G30" s="134"/>
    </row>
    <row r="31" spans="2:10" s="71" customFormat="1"/>
    <row r="32" spans="2:10" s="71" customFormat="1">
      <c r="C32" s="71" t="s">
        <v>124</v>
      </c>
      <c r="D32" s="71" t="s">
        <v>125</v>
      </c>
      <c r="E32" s="71" t="s">
        <v>128</v>
      </c>
      <c r="F32" s="71" t="s">
        <v>126</v>
      </c>
    </row>
    <row r="33" spans="2:6" s="71" customFormat="1">
      <c r="B33" s="71">
        <v>0</v>
      </c>
      <c r="C33" s="72">
        <f>'2'!C25+'2'!F31+'2'!C23</f>
        <v>1040440000</v>
      </c>
      <c r="D33" s="71">
        <f>0</f>
        <v>0</v>
      </c>
      <c r="E33" s="71">
        <v>0</v>
      </c>
      <c r="F33" s="72">
        <f>C33+E33</f>
        <v>1040440000</v>
      </c>
    </row>
    <row r="34" spans="2:6" s="71" customFormat="1">
      <c r="B34" s="91">
        <f>F25</f>
        <v>224.07988844127678</v>
      </c>
      <c r="C34" s="72">
        <f>C33</f>
        <v>1040440000</v>
      </c>
      <c r="D34" s="135">
        <f>SUMPRODUCT(F15:F24,H15:H24)</f>
        <v>1463773659.745894</v>
      </c>
      <c r="E34" s="135">
        <f>SUMPRODUCT(F15:F24,J15:J24)</f>
        <v>423333659.74589407</v>
      </c>
      <c r="F34" s="72">
        <f>C34+E34</f>
        <v>1463773659.745894</v>
      </c>
    </row>
    <row r="35" spans="2:6" s="71" customFormat="1">
      <c r="B35" s="91">
        <f>B34*2</f>
        <v>448.15977688255356</v>
      </c>
      <c r="C35" s="72">
        <f>C34</f>
        <v>1040440000</v>
      </c>
      <c r="D35" s="135">
        <f>SUMPRODUCT(H15:H24,I15:I24)</f>
        <v>2927547319.4917884</v>
      </c>
      <c r="E35" s="135">
        <f>SUMPRODUCT(I15:I24,J15:J24)</f>
        <v>846667319.49178815</v>
      </c>
      <c r="F35" s="72">
        <f>C35+E35</f>
        <v>1887107319.4917881</v>
      </c>
    </row>
    <row r="36" spans="2:6" s="71" customFormat="1">
      <c r="C36" s="72"/>
    </row>
    <row r="37" spans="2:6" s="71" customFormat="1">
      <c r="C37" s="72"/>
    </row>
    <row r="38" spans="2:6" s="71" customFormat="1">
      <c r="C38" s="136" t="s">
        <v>151</v>
      </c>
      <c r="D38" s="71" t="s">
        <v>122</v>
      </c>
      <c r="E38" s="71" t="s">
        <v>152</v>
      </c>
    </row>
    <row r="39" spans="2:6" s="71" customFormat="1">
      <c r="B39" s="71">
        <v>1</v>
      </c>
      <c r="C39" s="72">
        <f>'1'!D3</f>
        <v>8000000</v>
      </c>
      <c r="D39" s="91">
        <f>F15</f>
        <v>38.690052680508217</v>
      </c>
      <c r="E39" s="71">
        <f>C39*D39</f>
        <v>309520421.44406575</v>
      </c>
    </row>
    <row r="40" spans="2:6" s="71" customFormat="1">
      <c r="B40" s="71">
        <f>B39+1</f>
        <v>2</v>
      </c>
      <c r="C40" s="72">
        <f>'1'!D4</f>
        <v>8000000</v>
      </c>
      <c r="D40" s="91">
        <f t="shared" ref="D40:D48" si="4">F16</f>
        <v>38.690052680508217</v>
      </c>
      <c r="E40" s="71">
        <f t="shared" ref="E40:E48" si="5">C40*D40</f>
        <v>309520421.44406575</v>
      </c>
    </row>
    <row r="41" spans="2:6" s="71" customFormat="1">
      <c r="B41" s="71">
        <f t="shared" ref="B41:B48" si="6">B40+1</f>
        <v>3</v>
      </c>
      <c r="C41" s="72">
        <f>'1'!D5</f>
        <v>8000000</v>
      </c>
      <c r="D41" s="91">
        <f t="shared" si="4"/>
        <v>12.89668422683607</v>
      </c>
      <c r="E41" s="71">
        <f t="shared" si="5"/>
        <v>103173473.81468856</v>
      </c>
    </row>
    <row r="42" spans="2:6" s="71" customFormat="1">
      <c r="B42" s="71">
        <f t="shared" si="6"/>
        <v>4</v>
      </c>
      <c r="C42" s="72">
        <f>'1'!D6</f>
        <v>6000000</v>
      </c>
      <c r="D42" s="91">
        <f t="shared" si="4"/>
        <v>38.690052680508217</v>
      </c>
      <c r="E42" s="71">
        <f t="shared" si="5"/>
        <v>232140316.0830493</v>
      </c>
    </row>
    <row r="43" spans="2:6" s="71" customFormat="1">
      <c r="B43" s="71">
        <f t="shared" si="6"/>
        <v>5</v>
      </c>
      <c r="C43" s="72">
        <f>'1'!D7</f>
        <v>5000000</v>
      </c>
      <c r="D43" s="91">
        <f t="shared" si="4"/>
        <v>8.0604276417725433</v>
      </c>
      <c r="E43" s="71">
        <f t="shared" si="5"/>
        <v>40302138.208862714</v>
      </c>
    </row>
    <row r="44" spans="2:6" s="71" customFormat="1">
      <c r="B44" s="71">
        <f t="shared" si="6"/>
        <v>6</v>
      </c>
      <c r="C44" s="72">
        <f>'1'!D8</f>
        <v>10000000</v>
      </c>
      <c r="D44" s="91">
        <f t="shared" si="4"/>
        <v>16.120855283545087</v>
      </c>
      <c r="E44" s="71">
        <f t="shared" si="5"/>
        <v>161208552.83545086</v>
      </c>
    </row>
    <row r="45" spans="2:6" s="71" customFormat="1">
      <c r="B45" s="71">
        <f t="shared" si="6"/>
        <v>7</v>
      </c>
      <c r="C45" s="72">
        <f>'1'!D9</f>
        <v>7000000</v>
      </c>
      <c r="D45" s="91">
        <f t="shared" si="4"/>
        <v>11.284598698481561</v>
      </c>
      <c r="E45" s="71">
        <f t="shared" si="5"/>
        <v>78992190.889370933</v>
      </c>
    </row>
    <row r="46" spans="2:6" s="71" customFormat="1">
      <c r="B46" s="71">
        <f t="shared" si="6"/>
        <v>8</v>
      </c>
      <c r="C46" s="72">
        <f>'1'!D10</f>
        <v>4000000</v>
      </c>
      <c r="D46" s="91">
        <f t="shared" si="4"/>
        <v>6.4483421134180352</v>
      </c>
      <c r="E46" s="71">
        <f t="shared" si="5"/>
        <v>25793368.453672141</v>
      </c>
    </row>
    <row r="47" spans="2:6" s="71" customFormat="1">
      <c r="B47" s="71">
        <f t="shared" si="6"/>
        <v>9</v>
      </c>
      <c r="C47" s="72">
        <f>'1'!D11</f>
        <v>3000000</v>
      </c>
      <c r="D47" s="91">
        <f t="shared" si="4"/>
        <v>24.181282925317632</v>
      </c>
      <c r="E47" s="71">
        <f t="shared" si="5"/>
        <v>72543848.775952891</v>
      </c>
    </row>
    <row r="48" spans="2:6" s="71" customFormat="1">
      <c r="B48" s="71">
        <f t="shared" si="6"/>
        <v>10</v>
      </c>
      <c r="C48" s="72">
        <f>'1'!D12</f>
        <v>4500000</v>
      </c>
      <c r="D48" s="91">
        <f t="shared" si="4"/>
        <v>29.017539510381159</v>
      </c>
      <c r="E48" s="71">
        <f t="shared" si="5"/>
        <v>130578927.79671521</v>
      </c>
    </row>
    <row r="49" spans="2:8" s="71" customFormat="1">
      <c r="C49" s="72"/>
      <c r="E49" s="137">
        <f>SUM(E39:E48)</f>
        <v>1463773659.745894</v>
      </c>
    </row>
    <row r="50" spans="2:8" s="71" customFormat="1"/>
    <row r="51" spans="2:8" s="71" customFormat="1">
      <c r="C51" s="72"/>
    </row>
    <row r="52" spans="2:8" s="71" customFormat="1">
      <c r="B52" s="161"/>
      <c r="C52" s="161"/>
      <c r="D52" s="161"/>
      <c r="G52" s="71" t="s">
        <v>154</v>
      </c>
      <c r="H52" s="138">
        <f>'4'!B32/'4'!B27</f>
        <v>0.78134509210837999</v>
      </c>
    </row>
    <row r="53" spans="2:8" s="71" customFormat="1">
      <c r="C53" s="72"/>
      <c r="G53" s="71" t="s">
        <v>155</v>
      </c>
      <c r="H53" s="138">
        <f>'4'!B36/'4'!B27</f>
        <v>0.21865490789162004</v>
      </c>
    </row>
    <row r="54" spans="2:8" s="71" customFormat="1">
      <c r="G54" s="71" t="s">
        <v>156</v>
      </c>
      <c r="H54" s="71">
        <f>'1'!AB7</f>
        <v>0.27</v>
      </c>
    </row>
    <row r="55" spans="2:8" s="71" customFormat="1">
      <c r="G55" s="71" t="s">
        <v>157</v>
      </c>
      <c r="H55" s="138">
        <f>'3'!F4</f>
        <v>0.23</v>
      </c>
    </row>
    <row r="56" spans="2:8" s="71" customFormat="1">
      <c r="G56" s="71" t="s">
        <v>158</v>
      </c>
    </row>
    <row r="57" spans="2:8" s="71" customFormat="1"/>
    <row r="58" spans="2:8" s="71" customFormat="1"/>
    <row r="59" spans="2:8" s="71" customFormat="1"/>
    <row r="60" spans="2:8" s="71" customFormat="1"/>
    <row r="61" spans="2:8" s="71" customFormat="1"/>
    <row r="62" spans="2:8">
      <c r="B62" s="134"/>
      <c r="C62" s="134"/>
      <c r="D62" s="134"/>
      <c r="E62" s="134"/>
      <c r="F62" s="134"/>
      <c r="G62" s="134"/>
    </row>
    <row r="63" spans="2:8">
      <c r="B63" s="134"/>
      <c r="C63" s="134"/>
      <c r="D63" s="134"/>
      <c r="E63" s="134"/>
      <c r="F63" s="134"/>
      <c r="G63" s="134"/>
    </row>
    <row r="64" spans="2:8">
      <c r="B64" s="134"/>
      <c r="C64" s="134"/>
      <c r="D64" s="134"/>
      <c r="E64" s="134"/>
      <c r="F64" s="134"/>
      <c r="G64" s="134"/>
    </row>
    <row r="65" spans="2:7">
      <c r="B65" s="134"/>
      <c r="C65" s="134"/>
      <c r="D65" s="134"/>
      <c r="E65" s="134"/>
      <c r="F65" s="134"/>
      <c r="G65" s="134"/>
    </row>
    <row r="66" spans="2:7">
      <c r="B66" s="134"/>
      <c r="C66" s="134"/>
      <c r="D66" s="134"/>
      <c r="E66" s="134"/>
      <c r="F66" s="134"/>
      <c r="G66" s="134"/>
    </row>
  </sheetData>
  <sheetProtection algorithmName="SHA-512" hashValue="d8YmbEuhgH/1suTHnyk65cUm7JICPWvCYFmBmgZq8qv3j6oNX1dH6pxbsOvEemrfsUtiheOuJ37FLcWPLzLIBA==" saltValue="9SYKwqsdfai2EFAADOs7AQ==" spinCount="100000" sheet="1" formatCells="0" formatColumns="0" formatRows="0"/>
  <mergeCells count="10">
    <mergeCell ref="B52:D52"/>
    <mergeCell ref="B5:D5"/>
    <mergeCell ref="B29:D29"/>
    <mergeCell ref="B27:D27"/>
    <mergeCell ref="B28:D28"/>
    <mergeCell ref="B2:F2"/>
    <mergeCell ref="G2:H2"/>
    <mergeCell ref="B3:D4"/>
    <mergeCell ref="E3:F4"/>
    <mergeCell ref="B13:H13"/>
  </mergeCells>
  <conditionalFormatting sqref="D10:D11">
    <cfRule type="cellIs" dxfId="6" priority="4" operator="lessThan">
      <formula>0</formula>
    </cfRule>
  </conditionalFormatting>
  <conditionalFormatting sqref="D11">
    <cfRule type="containsText" dxfId="5" priority="2" operator="containsText" text="NO_APLICA">
      <formula>NOT(ISERROR(SEARCH("NO_APLICA",D11)))</formula>
    </cfRule>
    <cfRule type="cellIs" dxfId="4" priority="6" operator="equal">
      <formula>$E$3</formula>
    </cfRule>
    <cfRule type="cellIs" dxfId="3" priority="7" operator="greaterThan">
      <formula>$E$3</formula>
    </cfRule>
    <cfRule type="cellIs" dxfId="2" priority="8" operator="lessThan">
      <formula>$E$3</formula>
    </cfRule>
  </conditionalFormatting>
  <conditionalFormatting sqref="H11">
    <cfRule type="containsText" dxfId="1" priority="1" operator="containsText" text="NO_APLICA">
      <formula>NOT(ISERROR(SEARCH("NO_APLICA",H11)))</formula>
    </cfRule>
    <cfRule type="cellIs" dxfId="0" priority="3" operator="lessThan">
      <formula>0</formula>
    </cfRule>
  </conditionalFormatting>
  <pageMargins left="0.7" right="0.7" top="0.75" bottom="0.75" header="0.3" footer="0.3"/>
  <pageSetup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E1867F41BDD9240A81FEDAA9DCD38CD" ma:contentTypeVersion="4" ma:contentTypeDescription="Crear nuevo documento." ma:contentTypeScope="" ma:versionID="073022b879163f8d5ebae8fc2c730274">
  <xsd:schema xmlns:xsd="http://www.w3.org/2001/XMLSchema" xmlns:xs="http://www.w3.org/2001/XMLSchema" xmlns:p="http://schemas.microsoft.com/office/2006/metadata/properties" xmlns:ns2="f7ff1548-ea36-4159-a306-74aa0083697f" xmlns:ns3="d59ba5de-05cd-4945-add5-aa2c30c31883" targetNamespace="http://schemas.microsoft.com/office/2006/metadata/properties" ma:root="true" ma:fieldsID="132ae79edaa00bd3d08c47edf1b971c7" ns2:_="" ns3:_="">
    <xsd:import namespace="f7ff1548-ea36-4159-a306-74aa0083697f"/>
    <xsd:import namespace="d59ba5de-05cd-4945-add5-aa2c30c318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ff1548-ea36-4159-a306-74aa008369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9ba5de-05cd-4945-add5-aa2c30c31883"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46126D-72FF-43C3-B754-1B03FE5D0211}">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7C712E58-D6D2-4C0F-B37A-BDAB77C8BA24}">
  <ds:schemaRefs>
    <ds:schemaRef ds:uri="http://schemas.microsoft.com/sharepoint/v3/contenttype/forms"/>
  </ds:schemaRefs>
</ds:datastoreItem>
</file>

<file path=customXml/itemProps3.xml><?xml version="1.0" encoding="utf-8"?>
<ds:datastoreItem xmlns:ds="http://schemas.openxmlformats.org/officeDocument/2006/customXml" ds:itemID="{BB641118-A753-42A3-B749-BC5DC5244A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7ff1548-ea36-4159-a306-74aa0083697f"/>
    <ds:schemaRef ds:uri="d59ba5de-05cd-4945-add5-aa2c30c318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Menú</vt:lpstr>
      <vt:lpstr>1</vt:lpstr>
      <vt:lpstr>2</vt:lpstr>
      <vt:lpstr>3</vt:lpstr>
      <vt:lpstr>4</vt:lpstr>
      <vt:lpstr>5</vt:lpstr>
      <vt:lpstr>Menú!Área_de_impresión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DARIO MAURICIO REYES GIRALDO</dc:creator>
  <cp:lastModifiedBy>CARLOS ANDRES ZAMORA LEON</cp:lastModifiedBy>
  <dcterms:created xsi:type="dcterms:W3CDTF">2013-07-30T17:19:59Z</dcterms:created>
  <dcterms:modified xsi:type="dcterms:W3CDTF">2025-11-07T03:14:18Z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0x010100FE1867F41BDD9240A81FEDAA9DCD38CD</vt:lpwstr>
  </property>
</Properties>
</file>