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F:\Documentos\Monica\Estudio\10. Ma. Gestion Financiera\0. Proyecto de Grado\Versión Final\"/>
    </mc:Choice>
  </mc:AlternateContent>
  <xr:revisionPtr revIDLastSave="0" documentId="13_ncr:1_{203C169F-4E8A-4A8A-8EF2-42FBD9C0B2E7}" xr6:coauthVersionLast="46" xr6:coauthVersionMax="46" xr10:uidLastSave="{00000000-0000-0000-0000-000000000000}"/>
  <bookViews>
    <workbookView xWindow="-120" yWindow="-120" windowWidth="20730" windowHeight="11160" tabRatio="773" firstSheet="4" activeTab="9" xr2:uid="{00000000-000D-0000-FFFF-FFFF00000000}"/>
  </bookViews>
  <sheets>
    <sheet name="Menú" sheetId="7" r:id="rId1"/>
    <sheet name="1" sheetId="1" r:id="rId2"/>
    <sheet name="Potencial Mercado" sheetId="11" r:id="rId3"/>
    <sheet name="Servicios" sheetId="8" r:id="rId4"/>
    <sheet name="Mercadeo" sheetId="12" r:id="rId5"/>
    <sheet name="Personal" sheetId="9" r:id="rId6"/>
    <sheet name="Equipos e infraestructura" sheetId="10" r:id="rId7"/>
    <sheet name="2" sheetId="4" r:id="rId8"/>
    <sheet name="3" sheetId="3" r:id="rId9"/>
    <sheet name="4" sheetId="5" r:id="rId10"/>
    <sheet name="5" sheetId="6" r:id="rId11"/>
    <sheet name="Indicadores" sheetId="13" r:id="rId12"/>
    <sheet name="Proyecciones" sheetId="14" r:id="rId13"/>
    <sheet name="Credito" sheetId="15" r:id="rId14"/>
  </sheets>
  <definedNames>
    <definedName name="_xlnm.Print_Area" localSheetId="0">Menú!$B$2:$J$24</definedName>
  </definedNames>
  <calcPr calcId="181029"/>
</workbook>
</file>

<file path=xl/calcChain.xml><?xml version="1.0" encoding="utf-8"?>
<calcChain xmlns="http://schemas.openxmlformats.org/spreadsheetml/2006/main">
  <c r="L22" i="9" l="1"/>
  <c r="G8" i="9"/>
  <c r="G7" i="9"/>
  <c r="F19" i="4"/>
  <c r="G29" i="10"/>
  <c r="G28" i="10"/>
  <c r="G30" i="10" s="1"/>
  <c r="G27" i="10"/>
  <c r="G26" i="10"/>
  <c r="G25" i="10"/>
  <c r="G24" i="10"/>
  <c r="G23" i="10"/>
  <c r="G22" i="10"/>
  <c r="G21" i="10"/>
  <c r="G20" i="10"/>
  <c r="G19" i="10"/>
  <c r="G18" i="10"/>
  <c r="G17" i="10"/>
  <c r="G16" i="10"/>
  <c r="G15" i="10"/>
  <c r="G14" i="10"/>
  <c r="G13" i="10"/>
  <c r="G12" i="10"/>
  <c r="G11" i="10"/>
  <c r="G10" i="10"/>
  <c r="G9" i="10"/>
  <c r="G8" i="10"/>
  <c r="G7" i="10"/>
  <c r="G6" i="10"/>
  <c r="G5" i="10"/>
  <c r="G4" i="10"/>
  <c r="G3" i="10"/>
  <c r="F3" i="13"/>
  <c r="E3" i="13"/>
  <c r="D3" i="13"/>
  <c r="C3" i="13"/>
  <c r="B3" i="13"/>
  <c r="C11" i="4" l="1"/>
  <c r="E3" i="6"/>
  <c r="F4" i="3"/>
  <c r="C6" i="15"/>
  <c r="D6" i="15"/>
  <c r="D9" i="15" s="1"/>
  <c r="D5" i="15"/>
  <c r="C4" i="15"/>
  <c r="D3" i="15"/>
  <c r="Z5" i="1"/>
  <c r="AA5" i="1"/>
  <c r="AB5" i="1"/>
  <c r="AC5" i="1"/>
  <c r="AB4" i="1"/>
  <c r="AC4" i="1" s="1"/>
  <c r="AA4" i="1"/>
  <c r="C9" i="15" l="1"/>
  <c r="H5" i="1" l="1"/>
  <c r="I5" i="1" s="1"/>
  <c r="J5" i="1" s="1"/>
  <c r="H4" i="1"/>
  <c r="I4" i="1" s="1"/>
  <c r="J4" i="1" s="1"/>
  <c r="H3" i="1"/>
  <c r="I3" i="1" s="1"/>
  <c r="J3" i="1" s="1"/>
  <c r="F24" i="4"/>
  <c r="F18" i="4"/>
  <c r="C7" i="4"/>
  <c r="C5" i="4"/>
  <c r="D14" i="12"/>
  <c r="D17" i="12"/>
  <c r="D12" i="12"/>
  <c r="D10" i="12"/>
  <c r="D6" i="12"/>
  <c r="G31" i="10"/>
  <c r="G15" i="9"/>
  <c r="G12" i="9"/>
  <c r="F12" i="9"/>
  <c r="K14" i="9"/>
  <c r="J14" i="9"/>
  <c r="I14" i="9"/>
  <c r="H14" i="9"/>
  <c r="F14" i="9"/>
  <c r="C24" i="8"/>
  <c r="H11" i="9"/>
  <c r="I11" i="9"/>
  <c r="J11" i="9"/>
  <c r="F11" i="9"/>
  <c r="C15" i="8"/>
  <c r="C7" i="8"/>
  <c r="C25" i="8"/>
  <c r="C16" i="8"/>
  <c r="C8" i="8"/>
  <c r="D15" i="3"/>
  <c r="D5" i="1"/>
  <c r="D4" i="1"/>
  <c r="D3" i="1"/>
  <c r="D11" i="11"/>
  <c r="D10" i="11"/>
  <c r="D9" i="11"/>
  <c r="C6" i="11"/>
  <c r="H8" i="11" s="1"/>
  <c r="H10" i="11" s="1"/>
  <c r="L14" i="9" l="1"/>
  <c r="D18" i="12"/>
  <c r="Q12" i="9"/>
  <c r="N12" i="9"/>
  <c r="O12" i="9"/>
  <c r="P12" i="9" s="1"/>
  <c r="H14" i="11"/>
  <c r="C4" i="1" s="1"/>
  <c r="B6" i="14" s="1"/>
  <c r="C6" i="14" s="1"/>
  <c r="D6" i="14" s="1"/>
  <c r="E6" i="14" s="1"/>
  <c r="F6" i="14" s="1"/>
  <c r="K11" i="9"/>
  <c r="L11" i="9" s="1"/>
  <c r="H15" i="11"/>
  <c r="C5" i="1" s="1"/>
  <c r="B7" i="14" s="1"/>
  <c r="C7" i="14" s="1"/>
  <c r="D7" i="14" s="1"/>
  <c r="E7" i="14" s="1"/>
  <c r="F7" i="14" s="1"/>
  <c r="H13" i="11"/>
  <c r="C3" i="1" s="1"/>
  <c r="B5" i="14" s="1"/>
  <c r="F10" i="9"/>
  <c r="I22" i="8"/>
  <c r="H22" i="8"/>
  <c r="I21" i="8"/>
  <c r="H21" i="8"/>
  <c r="P22" i="8"/>
  <c r="L22" i="8"/>
  <c r="F8" i="9"/>
  <c r="F7" i="9"/>
  <c r="M30" i="8"/>
  <c r="M32" i="8" s="1"/>
  <c r="H15" i="8"/>
  <c r="H14" i="8"/>
  <c r="H13" i="8"/>
  <c r="H12" i="8"/>
  <c r="H11" i="8"/>
  <c r="H10" i="8"/>
  <c r="H9" i="8"/>
  <c r="H8" i="8"/>
  <c r="I17" i="8"/>
  <c r="H7" i="8"/>
  <c r="H6" i="8"/>
  <c r="H17" i="8" s="1"/>
  <c r="E10" i="8"/>
  <c r="E9" i="8"/>
  <c r="E8" i="8"/>
  <c r="E7" i="8"/>
  <c r="F22" i="4"/>
  <c r="F21" i="4"/>
  <c r="D24" i="8"/>
  <c r="D25" i="8"/>
  <c r="F15" i="9"/>
  <c r="F13" i="9"/>
  <c r="B13" i="14" l="1"/>
  <c r="C25" i="4"/>
  <c r="C28" i="4" s="1"/>
  <c r="C29" i="4" s="1"/>
  <c r="C30" i="4" s="1"/>
  <c r="C31" i="4" s="1"/>
  <c r="O10" i="9"/>
  <c r="P10" i="9" s="1"/>
  <c r="Q10" i="9"/>
  <c r="N10" i="9"/>
  <c r="J10" i="9" s="1"/>
  <c r="Q13" i="9"/>
  <c r="O13" i="9"/>
  <c r="P13" i="9" s="1"/>
  <c r="N13" i="9"/>
  <c r="N15" i="9"/>
  <c r="Q15" i="9"/>
  <c r="O15" i="9"/>
  <c r="P15" i="9" s="1"/>
  <c r="H12" i="9"/>
  <c r="K12" i="9"/>
  <c r="J12" i="9"/>
  <c r="I12" i="9"/>
  <c r="N7" i="9"/>
  <c r="K7" i="9" s="1"/>
  <c r="O7" i="9"/>
  <c r="Q7" i="9"/>
  <c r="Q8" i="9"/>
  <c r="N8" i="9"/>
  <c r="J8" i="9" s="1"/>
  <c r="O8" i="9"/>
  <c r="P8" i="9" s="1"/>
  <c r="C5" i="14"/>
  <c r="B8" i="14"/>
  <c r="H7" i="9"/>
  <c r="G10" i="9"/>
  <c r="E11" i="8"/>
  <c r="D17" i="1" s="1"/>
  <c r="N30" i="8"/>
  <c r="N32" i="8" s="1"/>
  <c r="N33" i="8" s="1"/>
  <c r="Q14" i="8"/>
  <c r="M7" i="8"/>
  <c r="Q13" i="8"/>
  <c r="P15" i="8"/>
  <c r="M10" i="8"/>
  <c r="M9" i="8"/>
  <c r="M8" i="8"/>
  <c r="L6" i="8"/>
  <c r="L7" i="8"/>
  <c r="L8" i="8"/>
  <c r="L9" i="8"/>
  <c r="L10" i="8"/>
  <c r="L11" i="8"/>
  <c r="L12" i="8"/>
  <c r="L13" i="8"/>
  <c r="L14" i="8"/>
  <c r="L15" i="8"/>
  <c r="E26" i="8"/>
  <c r="E27" i="8"/>
  <c r="E17" i="8"/>
  <c r="E18" i="8"/>
  <c r="E16" i="8"/>
  <c r="E15" i="8"/>
  <c r="H55" i="6"/>
  <c r="H54" i="6"/>
  <c r="K8" i="9" l="1"/>
  <c r="B14" i="14"/>
  <c r="C13" i="14"/>
  <c r="K10" i="9"/>
  <c r="P7" i="9"/>
  <c r="K15" i="9"/>
  <c r="J15" i="9"/>
  <c r="H15" i="9"/>
  <c r="I15" i="9"/>
  <c r="L12" i="9"/>
  <c r="C8" i="14"/>
  <c r="D5" i="14"/>
  <c r="I7" i="9"/>
  <c r="J7" i="9"/>
  <c r="I8" i="9"/>
  <c r="H8" i="9"/>
  <c r="F31" i="8"/>
  <c r="E31" i="8"/>
  <c r="E32" i="8" s="1"/>
  <c r="H10" i="9"/>
  <c r="I10" i="9"/>
  <c r="E19" i="8"/>
  <c r="D18" i="1" s="1"/>
  <c r="F32" i="8"/>
  <c r="Q12" i="8"/>
  <c r="Q11" i="8"/>
  <c r="E25" i="8"/>
  <c r="P9" i="8"/>
  <c r="P13" i="8"/>
  <c r="E24" i="8"/>
  <c r="P8" i="8"/>
  <c r="P12" i="8"/>
  <c r="P6" i="8"/>
  <c r="P10" i="8"/>
  <c r="P14" i="8"/>
  <c r="P7" i="8"/>
  <c r="P11" i="8"/>
  <c r="L17" i="8"/>
  <c r="B41" i="6"/>
  <c r="B42" i="6" s="1"/>
  <c r="B43" i="6" s="1"/>
  <c r="B44" i="6" s="1"/>
  <c r="B45" i="6" s="1"/>
  <c r="B46" i="6" s="1"/>
  <c r="B47" i="6" s="1"/>
  <c r="B48" i="6" s="1"/>
  <c r="B40" i="6"/>
  <c r="C40" i="6"/>
  <c r="C41" i="6"/>
  <c r="C42" i="6"/>
  <c r="C43" i="6"/>
  <c r="C44" i="6"/>
  <c r="C45" i="6"/>
  <c r="C46" i="6"/>
  <c r="C47" i="6"/>
  <c r="C48" i="6"/>
  <c r="C39" i="6"/>
  <c r="D13" i="14" l="1"/>
  <c r="C14" i="14"/>
  <c r="L7" i="9"/>
  <c r="L8" i="9"/>
  <c r="L15" i="9"/>
  <c r="E5" i="14"/>
  <c r="D8" i="14"/>
  <c r="L10" i="9"/>
  <c r="M33" i="8"/>
  <c r="P17" i="8"/>
  <c r="P21" i="8" s="1"/>
  <c r="F9" i="9" s="1"/>
  <c r="G13" i="9"/>
  <c r="Q17" i="8"/>
  <c r="Q21" i="8" s="1"/>
  <c r="Q22" i="8" s="1"/>
  <c r="E28" i="8"/>
  <c r="D19" i="1" s="1"/>
  <c r="L21" i="8"/>
  <c r="M17" i="8"/>
  <c r="F11" i="5"/>
  <c r="G11" i="5"/>
  <c r="E13" i="14" l="1"/>
  <c r="D14" i="14"/>
  <c r="Q9" i="9"/>
  <c r="Q16" i="9" s="1"/>
  <c r="O9" i="9"/>
  <c r="N9" i="9"/>
  <c r="N16" i="9" s="1"/>
  <c r="F5" i="14"/>
  <c r="F8" i="14" s="1"/>
  <c r="E8" i="14"/>
  <c r="F16" i="9"/>
  <c r="G9" i="9"/>
  <c r="K13" i="9"/>
  <c r="H13" i="9"/>
  <c r="I13" i="9"/>
  <c r="J13" i="9"/>
  <c r="M21" i="8"/>
  <c r="M22" i="8" s="1"/>
  <c r="E16" i="9" s="1"/>
  <c r="E11" i="5"/>
  <c r="D11" i="5"/>
  <c r="C11" i="5"/>
  <c r="E14" i="14" l="1"/>
  <c r="F13" i="14"/>
  <c r="F14" i="14" s="1"/>
  <c r="P9" i="9"/>
  <c r="P16" i="9" s="1"/>
  <c r="O16" i="9"/>
  <c r="L13" i="9"/>
  <c r="G16" i="9"/>
  <c r="I9" i="9"/>
  <c r="I16" i="9" s="1"/>
  <c r="J9" i="9"/>
  <c r="K9" i="9"/>
  <c r="K16" i="9" s="1"/>
  <c r="H9" i="9"/>
  <c r="J16" i="6"/>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18" i="4" l="1"/>
  <c r="B25" i="14" s="1"/>
  <c r="C25" i="14" s="1"/>
  <c r="D25" i="14" s="1"/>
  <c r="E25" i="14" s="1"/>
  <c r="F25" i="14" s="1"/>
  <c r="L9" i="9"/>
  <c r="J16" i="9"/>
  <c r="H16" i="9"/>
  <c r="B49" i="5"/>
  <c r="B45" i="5"/>
  <c r="B23" i="5"/>
  <c r="C23" i="5" s="1"/>
  <c r="G6" i="4"/>
  <c r="G7" i="4"/>
  <c r="G8" i="4"/>
  <c r="G9" i="4"/>
  <c r="G10" i="4"/>
  <c r="G11" i="4"/>
  <c r="G5" i="4"/>
  <c r="B34" i="5"/>
  <c r="C34" i="5" s="1"/>
  <c r="B30" i="5"/>
  <c r="C22" i="4" l="1"/>
  <c r="B19" i="14" s="1"/>
  <c r="L16" i="9"/>
  <c r="L19" i="9" s="1"/>
  <c r="G12" i="4"/>
  <c r="C12" i="5" s="1"/>
  <c r="D23" i="5"/>
  <c r="B36" i="5"/>
  <c r="D34" i="5"/>
  <c r="B20" i="14" l="1"/>
  <c r="C19" i="14"/>
  <c r="C23" i="4"/>
  <c r="C9" i="5" s="1"/>
  <c r="E23" i="5"/>
  <c r="F23" i="5" s="1"/>
  <c r="E34" i="5"/>
  <c r="C20" i="14" l="1"/>
  <c r="D19" i="14"/>
  <c r="G23" i="5"/>
  <c r="F34" i="5"/>
  <c r="D20" i="14" l="1"/>
  <c r="E19" i="14"/>
  <c r="G34" i="5"/>
  <c r="E20" i="14" l="1"/>
  <c r="F19" i="14"/>
  <c r="F20" i="14" s="1"/>
  <c r="D10" i="3"/>
  <c r="D9" i="3"/>
  <c r="F17" i="4"/>
  <c r="F31" i="4"/>
  <c r="C12" i="4"/>
  <c r="C10" i="5" l="1"/>
  <c r="D10" i="5" s="1"/>
  <c r="E10" i="5" s="1"/>
  <c r="F10" i="5" s="1"/>
  <c r="G10" i="5" s="1"/>
  <c r="B26" i="14"/>
  <c r="D11" i="3"/>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26" i="14" l="1"/>
  <c r="B27" i="14"/>
  <c r="C5" i="5"/>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26" i="14" l="1"/>
  <c r="C27" i="14"/>
  <c r="D5" i="5"/>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E26" i="14" l="1"/>
  <c r="D27" i="14"/>
  <c r="D43" i="5"/>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F26" i="14" l="1"/>
  <c r="F27" i="14" s="1"/>
  <c r="E27" i="14"/>
  <c r="E43" i="5"/>
  <c r="F5" i="5"/>
  <c r="F20" i="5" s="1"/>
  <c r="G7" i="6" s="1"/>
  <c r="E12" i="3"/>
  <c r="G24" i="5"/>
  <c r="G26" i="5" s="1"/>
  <c r="F26" i="5"/>
  <c r="D16" i="3"/>
  <c r="N16" i="1"/>
  <c r="O2" i="1"/>
  <c r="O16" i="1" s="1"/>
  <c r="C13" i="5"/>
  <c r="B4" i="13"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34" i="1"/>
  <c r="E7" i="5"/>
  <c r="F31" i="1"/>
  <c r="E13" i="3" s="1"/>
  <c r="C55" i="5" l="1"/>
  <c r="D8" i="5"/>
  <c r="E8" i="5"/>
  <c r="E49" i="6"/>
  <c r="E29" i="6" s="1"/>
  <c r="F43" i="5"/>
  <c r="J8" i="3"/>
  <c r="B31" i="5" s="1"/>
  <c r="B32" i="5" s="1"/>
  <c r="F33" i="1"/>
  <c r="G7" i="5" s="1"/>
  <c r="F32" i="1"/>
  <c r="G6" i="5" s="1"/>
  <c r="E32" i="1"/>
  <c r="F6" i="5" s="1"/>
  <c r="F8" i="5" s="1"/>
  <c r="D13" i="5"/>
  <c r="C4" i="13" s="1"/>
  <c r="E13" i="5"/>
  <c r="D4" i="13" s="1"/>
  <c r="E34" i="6"/>
  <c r="F34" i="6" s="1"/>
  <c r="D34" i="6"/>
  <c r="F25" i="6"/>
  <c r="B34" i="6" s="1"/>
  <c r="B35" i="6" s="1"/>
  <c r="G48" i="5"/>
  <c r="G50" i="5" s="1"/>
  <c r="F48" i="5"/>
  <c r="F50" i="5" s="1"/>
  <c r="G5" i="5"/>
  <c r="G20" i="5" s="1"/>
  <c r="H7" i="6" s="1"/>
  <c r="C56" i="5" l="1"/>
  <c r="C57" i="5" s="1"/>
  <c r="D55" i="5"/>
  <c r="F13" i="5"/>
  <c r="E55" i="5"/>
  <c r="B38" i="5"/>
  <c r="B22" i="5" s="1"/>
  <c r="B44" i="5" s="1"/>
  <c r="B46" i="5" s="1"/>
  <c r="B52" i="5" s="1"/>
  <c r="F34" i="1"/>
  <c r="E34" i="1"/>
  <c r="G8" i="5"/>
  <c r="I9" i="3"/>
  <c r="F9" i="3"/>
  <c r="G9" i="3" s="1"/>
  <c r="C14" i="5" s="1"/>
  <c r="C15" i="5" s="1"/>
  <c r="C16" i="5" s="1"/>
  <c r="C29" i="5" s="1"/>
  <c r="I16" i="6"/>
  <c r="I17" i="6"/>
  <c r="I22" i="6"/>
  <c r="I20" i="6"/>
  <c r="I21" i="6"/>
  <c r="I23" i="6"/>
  <c r="I24" i="6"/>
  <c r="I15" i="6"/>
  <c r="I19" i="6"/>
  <c r="I18" i="6"/>
  <c r="G43" i="5"/>
  <c r="E56" i="5" l="1"/>
  <c r="E57" i="5" s="1"/>
  <c r="F55" i="5"/>
  <c r="E4" i="13"/>
  <c r="D56" i="5"/>
  <c r="D57" i="5" s="1"/>
  <c r="G13" i="5"/>
  <c r="F4" i="13" s="1"/>
  <c r="B27" i="5"/>
  <c r="B39" i="5" s="1"/>
  <c r="C17" i="5"/>
  <c r="H9" i="3"/>
  <c r="B6" i="13" s="1"/>
  <c r="E35" i="6"/>
  <c r="F35" i="6" s="1"/>
  <c r="D35" i="6"/>
  <c r="C30" i="5"/>
  <c r="C45" i="5"/>
  <c r="F56" i="5" l="1"/>
  <c r="F57" i="5" s="1"/>
  <c r="B7" i="13"/>
  <c r="B5" i="13"/>
  <c r="J9" i="3"/>
  <c r="I10" i="3" s="1"/>
  <c r="C35" i="5"/>
  <c r="C36" i="5" s="1"/>
  <c r="B8" i="13" s="1"/>
  <c r="G55" i="5"/>
  <c r="H53" i="6"/>
  <c r="H52" i="6"/>
  <c r="G56" i="5" l="1"/>
  <c r="G57" i="5" s="1"/>
  <c r="C31" i="5"/>
  <c r="F10" i="3"/>
  <c r="G10" i="3" s="1"/>
  <c r="D14" i="5" s="1"/>
  <c r="D15" i="5" s="1"/>
  <c r="D16" i="5" s="1"/>
  <c r="D29" i="5" s="1"/>
  <c r="D45" i="5" s="1"/>
  <c r="B14" i="13" l="1"/>
  <c r="C32" i="5"/>
  <c r="B12" i="13" s="1"/>
  <c r="H10" i="3"/>
  <c r="D17" i="5"/>
  <c r="D30" i="5"/>
  <c r="C38" i="5" l="1"/>
  <c r="C22" i="5" s="1"/>
  <c r="C27" i="5" s="1"/>
  <c r="B9" i="13" s="1"/>
  <c r="D35" i="5"/>
  <c r="D36" i="5" s="1"/>
  <c r="C8" i="13" s="1"/>
  <c r="C5" i="13"/>
  <c r="J10" i="3"/>
  <c r="D31" i="5" s="1"/>
  <c r="D32" i="5" s="1"/>
  <c r="C6" i="13"/>
  <c r="C7" i="13" s="1"/>
  <c r="B13" i="13"/>
  <c r="B11" i="13"/>
  <c r="C44" i="5" l="1"/>
  <c r="C46" i="5" s="1"/>
  <c r="C52" i="5" s="1"/>
  <c r="C58" i="5" s="1"/>
  <c r="C59" i="5" s="1"/>
  <c r="D8" i="6" s="1"/>
  <c r="D38" i="5"/>
  <c r="D22" i="5" s="1"/>
  <c r="D27" i="5" s="1"/>
  <c r="C9" i="13" s="1"/>
  <c r="B10" i="13"/>
  <c r="F11" i="3"/>
  <c r="G11" i="3" s="1"/>
  <c r="E14" i="5" s="1"/>
  <c r="E15" i="5" s="1"/>
  <c r="E16" i="5" s="1"/>
  <c r="E29" i="5" s="1"/>
  <c r="E30" i="5" s="1"/>
  <c r="I11" i="3"/>
  <c r="C13" i="13"/>
  <c r="C11" i="13"/>
  <c r="C12" i="13"/>
  <c r="C14" i="13"/>
  <c r="C39" i="5"/>
  <c r="D39" i="5" l="1"/>
  <c r="H11" i="3"/>
  <c r="J11" i="3" s="1"/>
  <c r="I12" i="3" s="1"/>
  <c r="D44" i="5"/>
  <c r="D46" i="5" s="1"/>
  <c r="D52" i="5" s="1"/>
  <c r="D58" i="5" s="1"/>
  <c r="D59" i="5" s="1"/>
  <c r="E8" i="6" s="1"/>
  <c r="E45" i="5"/>
  <c r="C10" i="13"/>
  <c r="E17" i="5"/>
  <c r="E35" i="5" s="1"/>
  <c r="E36" i="5" s="1"/>
  <c r="D6" i="13"/>
  <c r="D7" i="13" s="1"/>
  <c r="D8" i="13" l="1"/>
  <c r="D5" i="13"/>
  <c r="E31" i="5"/>
  <c r="D14" i="13" s="1"/>
  <c r="F12" i="3"/>
  <c r="G12" i="3" s="1"/>
  <c r="F14" i="5" s="1"/>
  <c r="F15" i="5" s="1"/>
  <c r="F16" i="5" s="1"/>
  <c r="F17" i="5" s="1"/>
  <c r="F35" i="5" s="1"/>
  <c r="F36" i="5" s="1"/>
  <c r="E8" i="13" s="1"/>
  <c r="E32" i="5" l="1"/>
  <c r="D12" i="13" s="1"/>
  <c r="E5" i="13"/>
  <c r="F29" i="5"/>
  <c r="H12" i="3"/>
  <c r="E6" i="13" s="1"/>
  <c r="E7" i="13" s="1"/>
  <c r="E38" i="5" l="1"/>
  <c r="E22" i="5" s="1"/>
  <c r="E27" i="5" s="1"/>
  <c r="D11" i="13"/>
  <c r="D13" i="13"/>
  <c r="J12" i="3"/>
  <c r="F13" i="3" s="1"/>
  <c r="G13" i="3" s="1"/>
  <c r="G14" i="5" s="1"/>
  <c r="G15" i="5" s="1"/>
  <c r="G16" i="5" s="1"/>
  <c r="G17" i="5" s="1"/>
  <c r="F5" i="13" s="1"/>
  <c r="F45" i="5"/>
  <c r="F30" i="5"/>
  <c r="E44" i="5" l="1"/>
  <c r="E46" i="5" s="1"/>
  <c r="E52" i="5" s="1"/>
  <c r="E58" i="5" s="1"/>
  <c r="E59" i="5" s="1"/>
  <c r="F8" i="6" s="1"/>
  <c r="F31" i="5"/>
  <c r="F32" i="5" s="1"/>
  <c r="E12" i="13" s="1"/>
  <c r="G35" i="5"/>
  <c r="G36" i="5" s="1"/>
  <c r="F8" i="13" s="1"/>
  <c r="I13" i="3"/>
  <c r="H13" i="3" s="1"/>
  <c r="F6" i="13" s="1"/>
  <c r="F7" i="13" s="1"/>
  <c r="G29" i="5"/>
  <c r="G30" i="5" s="1"/>
  <c r="D9" i="13"/>
  <c r="E39" i="5"/>
  <c r="D10" i="13"/>
  <c r="E14" i="13" l="1"/>
  <c r="F38" i="5"/>
  <c r="F22" i="5" s="1"/>
  <c r="F44" i="5" s="1"/>
  <c r="F46" i="5" s="1"/>
  <c r="F52" i="5" s="1"/>
  <c r="F58" i="5" s="1"/>
  <c r="F59" i="5" s="1"/>
  <c r="G8" i="6" s="1"/>
  <c r="G9" i="6" s="1"/>
  <c r="E11" i="13"/>
  <c r="E13" i="13"/>
  <c r="J13" i="3"/>
  <c r="G31" i="5" s="1"/>
  <c r="F14" i="13" s="1"/>
  <c r="G45" i="5"/>
  <c r="C9" i="6"/>
  <c r="E9" i="6"/>
  <c r="D9" i="6"/>
  <c r="F9" i="6"/>
  <c r="F27" i="5" l="1"/>
  <c r="F39" i="5" s="1"/>
  <c r="G32" i="5"/>
  <c r="F11" i="13" s="1"/>
  <c r="E10" i="13"/>
  <c r="E9" i="13" l="1"/>
  <c r="F12" i="13"/>
  <c r="F13" i="13"/>
  <c r="G38" i="5"/>
  <c r="G22" i="5" s="1"/>
  <c r="G27" i="5" l="1"/>
  <c r="G44" i="5"/>
  <c r="G46" i="5" s="1"/>
  <c r="G52" i="5" s="1"/>
  <c r="G58" i="5" s="1"/>
  <c r="G59" i="5" s="1"/>
  <c r="H8" i="6" s="1"/>
  <c r="D11" i="6" l="1"/>
  <c r="D10" i="6"/>
  <c r="H9" i="6"/>
  <c r="H11" i="6" s="1"/>
  <c r="F9" i="13"/>
  <c r="F10" i="13"/>
  <c r="G3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88EEBB95-B81B-4446-8B5D-6D89892FCF1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46FEF610-4755-4D5A-BDE2-E68A3C54F49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F2D876A8-9764-46ED-9441-BB39E5A2685E}">
      <text>
        <r>
          <rPr>
            <b/>
            <sz val="9"/>
            <color indexed="81"/>
            <rFont val="Tahoma"/>
            <family val="2"/>
          </rPr>
          <t>DARIO MAURICIO REYES GIRALDO:</t>
        </r>
        <r>
          <rPr>
            <sz val="9"/>
            <color indexed="81"/>
            <rFont val="Tahoma"/>
            <family val="2"/>
          </rPr>
          <t xml:space="preserve">
Digita el nombre de cada línea de producto o servicio a vender</t>
        </r>
      </text>
    </comment>
    <comment ref="C4" authorId="0" shapeId="0" xr:uid="{7878661E-7507-4CB7-9B6E-747732AC0429}">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4" authorId="0" shapeId="0" xr:uid="{A76DF910-BB45-45E1-A0D8-10CF3B38AA4E}">
      <text>
        <r>
          <rPr>
            <b/>
            <sz val="9"/>
            <color indexed="81"/>
            <rFont val="Tahoma"/>
            <family val="2"/>
          </rPr>
          <t>DARIO MAURICIO REYES GIRALDO:</t>
        </r>
        <r>
          <rPr>
            <sz val="9"/>
            <color indexed="81"/>
            <rFont val="Tahoma"/>
            <family val="2"/>
          </rPr>
          <t xml:space="preserve">
Digita el precio UNITARIO, sin IVA, de cada pdto/servicio.</t>
        </r>
      </text>
    </comment>
    <comment ref="G4" authorId="0" shapeId="0" xr:uid="{041E067F-D2C3-4237-AF0D-A0BC001759B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3DC00A1E-2B8A-45D2-A7E9-25947A2EC34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A6676BC1-1CB3-40E2-9617-E1826E9A48C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2D1364F1-0CDD-4E7D-B4AB-69E7B92E855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C5" authorId="0" shapeId="0" xr:uid="{BC00276E-2D12-42FC-836C-802353026AB9}">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5" authorId="0" shapeId="0" xr:uid="{E50279CD-7BEE-4FDF-94E9-3B6563E18FC2}">
      <text>
        <r>
          <rPr>
            <b/>
            <sz val="9"/>
            <color indexed="81"/>
            <rFont val="Tahoma"/>
            <family val="2"/>
          </rPr>
          <t>DARIO MAURICIO REYES GIRALDO:</t>
        </r>
        <r>
          <rPr>
            <sz val="9"/>
            <color indexed="81"/>
            <rFont val="Tahoma"/>
            <family val="2"/>
          </rPr>
          <t xml:space="preserve">
Digita el precio UNITARIO, sin IVA, de cada pdto/servicio.</t>
        </r>
      </text>
    </comment>
    <comment ref="G5" authorId="0" shapeId="0" xr:uid="{CFC87B6C-B888-4992-A088-11F061B2EC0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582B7CD7-B842-4A4B-A993-E0A6D6B5143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CA1D82D7-2418-4D00-BCDF-28AD7066784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E07DB289-20F7-40AF-9CC0-8C0B6F062F0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DD6AAACF-0EAD-42C0-AAF7-FF2C97BC8B0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F4254B2C-5D4D-4CAF-A4D5-7A1A22DC5F3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Monica</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J5" authorId="1" shapeId="0" xr:uid="{036D0E36-3788-49D5-87FC-379CFB67FAE7}">
      <text>
        <r>
          <rPr>
            <b/>
            <sz val="9"/>
            <color indexed="81"/>
            <rFont val="Tahoma"/>
            <charset val="1"/>
          </rPr>
          <t>Monica:</t>
        </r>
        <r>
          <rPr>
            <sz val="9"/>
            <color indexed="81"/>
            <rFont val="Tahoma"/>
            <charset val="1"/>
          </rPr>
          <t xml:space="preserve">
</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C12" authorId="1" shapeId="0" xr:uid="{EE60E459-0F4F-4EDC-A49E-908FD269D2A5}">
      <text>
        <r>
          <rPr>
            <b/>
            <sz val="9"/>
            <color indexed="81"/>
            <rFont val="Tahoma"/>
            <family val="2"/>
          </rPr>
          <t>Monica:</t>
        </r>
        <r>
          <rPr>
            <sz val="9"/>
            <color indexed="81"/>
            <rFont val="Tahoma"/>
            <family val="2"/>
          </rPr>
          <t xml:space="preserve">
</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<sst xmlns="http://schemas.openxmlformats.org/spreadsheetml/2006/main" count="401" uniqueCount="322">
  <si>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</si>
  <si>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</si>
  <si>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</si>
  <si>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</si>
  <si>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</si>
  <si>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</si>
  <si>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</si>
  <si>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</si>
  <si>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</si>
  <si>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</si>
  <si>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</si>
  <si>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</si>
  <si>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</si>
  <si>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</si>
  <si>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</si>
  <si>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</si>
  <si>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</si>
  <si>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</si>
  <si>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</si>
  <si>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</si>
  <si>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</si>
  <si>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</si>
  <si>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</si>
  <si>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</si>
  <si>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</si>
  <si>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</si>
  <si>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</si>
  <si>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</si>
  <si>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</si>
  <si>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</si>
  <si>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</si>
  <si>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</si>
  <si>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</si>
  <si>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</si>
  <si>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</si>
  <si>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</si>
  <si>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</si>
  <si>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</si>
  <si>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</si>
  <si>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</si>
  <si>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</si>
  <si>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</si>
  <si>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</si>
  <si>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</si>
  <si>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</si>
  <si>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</si>
  <si>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</si>
  <si>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</si>
  <si>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</si>
  <si>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</si>
  <si>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</si>
  <si>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</si>
  <si>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</si>
  <si>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</si>
  <si>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</si>
  <si>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</si>
  <si>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</si>
  <si>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</si>
  <si>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</si>
  <si>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</si>
  <si>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</si>
  <si>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</si>
  <si>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</si>
  <si>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</si>
  <si>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</si>
  <si>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</si>
  <si>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</si>
  <si>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</si>
  <si>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</si>
  <si>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</si>
  <si>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</si>
  <si>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</si>
  <si>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</si>
  <si>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</si>
  <si>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</si>
  <si>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</si>
  <si>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</si>
  <si>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</si>
  <si>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</si>
  <si>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</si>
  <si>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</si>
  <si>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</si>
  <si>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</si>
  <si>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</si>
  <si>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</si>
  <si>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</si>
  <si>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</si>
  <si>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</si>
  <si>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</si>
  <si>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</si>
  <si>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</si>
  <si>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</si>
  <si>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</si>
  <si>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</si>
  <si>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</si>
  <si>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</si>
  <si>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</si>
  <si>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</si>
  <si>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</si>
  <si>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</si>
  <si>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</si>
  <si>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</si>
  <si>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</si>
  <si>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</si>
  <si>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</si>
  <si>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</si>
  <si>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</si>
  <si>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</si>
  <si>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</si>
  <si>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</si>
  <si>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</si>
  <si>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</si>
  <si>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</si>
  <si>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</si>
  <si>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</si>
  <si>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</si>
  <si>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</si>
  <si>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</si>
  <si>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</si>
  <si>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</si>
  <si>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</si>
  <si>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</si>
  <si>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</si>
  <si>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</si>
  <si>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</si>
  <si>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</si>
  <si>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</si>
  <si>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</si>
  <si>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</si>
  <si>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</si>
  <si>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</si>
  <si>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</si>
  <si>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</si>
  <si>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</si>
  <si>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</si>
  <si>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</si>
  <si>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</si>
  <si>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</si>
  <si>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</si>
  <si>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</si>
  <si>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</si>
  <si>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</si>
  <si>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</si>
  <si>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</si>
  <si>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</si>
  <si>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</si>
  <si>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</si>
  <si>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</si>
  <si>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</si>
  <si>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</si>
  <si>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</si>
  <si>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</si>
  <si>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</si>
  <si>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</si>
  <si>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</si>
  <si>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</si>
  <si>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</si>
  <si>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</si>
  <si>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</si>
  <si>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</si>
  <si>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Entrenador</t>
  </si>
  <si>
    <t>Nutricionista</t>
  </si>
  <si>
    <t>Plan Integral</t>
  </si>
  <si>
    <t>Horario Día</t>
  </si>
  <si>
    <t>Personal</t>
  </si>
  <si>
    <t>Horas</t>
  </si>
  <si>
    <t>Valor Hora</t>
  </si>
  <si>
    <t>Valor Total</t>
  </si>
  <si>
    <t>Contador</t>
  </si>
  <si>
    <t>Administrador</t>
  </si>
  <si>
    <t>Valor de Costos por Plan</t>
  </si>
  <si>
    <t>Total Día</t>
  </si>
  <si>
    <t>Entrenador 2 (PI)</t>
  </si>
  <si>
    <t>Cantidad</t>
  </si>
  <si>
    <t>Valor de Nómina</t>
  </si>
  <si>
    <t>Salario</t>
  </si>
  <si>
    <t>Seguridad Social</t>
  </si>
  <si>
    <t>Prima</t>
  </si>
  <si>
    <t>Contratista</t>
  </si>
  <si>
    <t>Directo</t>
  </si>
  <si>
    <t>Vacaciones</t>
  </si>
  <si>
    <t>Tipo Contrato</t>
  </si>
  <si>
    <t>Total</t>
  </si>
  <si>
    <t>Administrativos</t>
  </si>
  <si>
    <t>Gastos Funcionamiento</t>
  </si>
  <si>
    <t>x</t>
  </si>
  <si>
    <t>m</t>
  </si>
  <si>
    <t>Cantidad personas</t>
  </si>
  <si>
    <t>Cantidad clases por Persona</t>
  </si>
  <si>
    <t>Cantidad Clases por Mes</t>
  </si>
  <si>
    <t>Cantidad Clases por Año</t>
  </si>
  <si>
    <t>Integral</t>
  </si>
  <si>
    <t>Tipo de Plan</t>
  </si>
  <si>
    <t>Básico</t>
  </si>
  <si>
    <t>Valor Costo Día / Profesional / Plan Valera</t>
  </si>
  <si>
    <t>Valor Costo Día / Profesional / Plan Integral</t>
  </si>
  <si>
    <t>Plan Valera</t>
  </si>
  <si>
    <t>Entrenador 1 (PV)</t>
  </si>
  <si>
    <t>Entrenador 2 (PB)</t>
  </si>
  <si>
    <t>UPZ</t>
  </si>
  <si>
    <t>Número Habitantes</t>
  </si>
  <si>
    <t>Castilla</t>
  </si>
  <si>
    <t>Total general</t>
  </si>
  <si>
    <t>Proporción</t>
  </si>
  <si>
    <t>Personas por  precio</t>
  </si>
  <si>
    <t>Total Muestra</t>
  </si>
  <si>
    <t>Plan</t>
  </si>
  <si>
    <t>Participación Mercado</t>
  </si>
  <si>
    <t>Proyección Ventas</t>
  </si>
  <si>
    <t>Personas</t>
  </si>
  <si>
    <t>Plan / Proyección Ventas</t>
  </si>
  <si>
    <t>Demanda Potencial</t>
  </si>
  <si>
    <t>Plan Básico</t>
  </si>
  <si>
    <t>Valera</t>
  </si>
  <si>
    <t>Operativa</t>
  </si>
  <si>
    <t>Enfermera</t>
  </si>
  <si>
    <t>Administrativa</t>
  </si>
  <si>
    <t>Asistencial</t>
  </si>
  <si>
    <t>Servicios Generales</t>
  </si>
  <si>
    <t>Tipo</t>
  </si>
  <si>
    <t>Requerimiento</t>
  </si>
  <si>
    <t>Observaciones</t>
  </si>
  <si>
    <t>Valor Unitario</t>
  </si>
  <si>
    <t>Unidad</t>
  </si>
  <si>
    <t>Equipos</t>
  </si>
  <si>
    <t>Equipos de Entrenamiento</t>
  </si>
  <si>
    <t>Cintas de correr</t>
  </si>
  <si>
    <t>Bicicletas estáticas</t>
  </si>
  <si>
    <t>Elípticas</t>
  </si>
  <si>
    <t>Kit de Pesas</t>
  </si>
  <si>
    <t>Máquinas de musculación</t>
  </si>
  <si>
    <t>Kettlebells</t>
  </si>
  <si>
    <t>Balones medicinales</t>
  </si>
  <si>
    <t>Cuerdas para saltar</t>
  </si>
  <si>
    <t>Colchonetas de yoga</t>
  </si>
  <si>
    <t>Bloques y correas de yoga</t>
  </si>
  <si>
    <t>Subtotal 1</t>
  </si>
  <si>
    <t>Equipos de Monitoreo y Evaluación</t>
  </si>
  <si>
    <t>- Básculas de bioimpedancia</t>
  </si>
  <si>
    <t>- Calipers (pliegues cutáneos)</t>
  </si>
  <si>
    <t>- Cintas métricas</t>
  </si>
  <si>
    <t>- Tensiómetro y estetoscopios</t>
  </si>
  <si>
    <t>- Software seguimiento dietético</t>
  </si>
  <si>
    <t>Subtotal 2</t>
  </si>
  <si>
    <t>Tecnología y Software</t>
  </si>
  <si>
    <t>- Software para agendamiento y seguimiento de sesiones</t>
  </si>
  <si>
    <t>- Aplicaciones móviles para seguimiento de actividad física y nutrición</t>
  </si>
  <si>
    <t>- Licencias para computadores</t>
  </si>
  <si>
    <t>- Software Contable</t>
  </si>
  <si>
    <t>- Computadoras</t>
  </si>
  <si>
    <t>Tablets</t>
  </si>
  <si>
    <t>Subtotal 3</t>
  </si>
  <si>
    <t>Infraestructura</t>
  </si>
  <si>
    <t>Local</t>
  </si>
  <si>
    <t>Total Infraestructura</t>
  </si>
  <si>
    <t>Total Equipos e Infraestructura</t>
  </si>
  <si>
    <t>Total Equipos</t>
  </si>
  <si>
    <t>Marketing Digital</t>
  </si>
  <si>
    <t>Estrategia</t>
  </si>
  <si>
    <t>Gestión de cuentas (Instagram, Facebook y TikTok)</t>
  </si>
  <si>
    <t>Estrategias de SEO y SEM</t>
  </si>
  <si>
    <t>Producción de contenido (videos, imágenes, infografías)</t>
  </si>
  <si>
    <t>Eventos de Lanzamiento
(2 eventos en el año)</t>
  </si>
  <si>
    <t>Planificación y ejecución de eventos presenciales y virtuales</t>
  </si>
  <si>
    <t>Descuentos y paquetes promocionales</t>
  </si>
  <si>
    <t>Demostraciones en vivo y materiales de marketing</t>
  </si>
  <si>
    <t>Programas de Referidos</t>
  </si>
  <si>
    <t>Incentivos y recompensas para referidos</t>
  </si>
  <si>
    <t>Publicidad de Contenidos</t>
  </si>
  <si>
    <t>Creación y producción de contenido educativo (blogs, videos, artículos)</t>
  </si>
  <si>
    <t>Desarrollo y mantenimiento de plataforma y aplicaciones móviles</t>
  </si>
  <si>
    <t>Canales de comunicación directos (email, videollamadas)</t>
  </si>
  <si>
    <t>Plataforma en línea y aplicaciones móviles</t>
  </si>
  <si>
    <t>Ebitda</t>
  </si>
  <si>
    <t>ROE</t>
  </si>
  <si>
    <t>ROA</t>
  </si>
  <si>
    <t>Deuda/Ebitda</t>
  </si>
  <si>
    <t>Indicadores</t>
  </si>
  <si>
    <t>Proyección en Ventas</t>
  </si>
  <si>
    <t>Bienestar Básico</t>
  </si>
  <si>
    <t>Bienestar Integral</t>
  </si>
  <si>
    <t>Total Mercadeo</t>
  </si>
  <si>
    <t>Marketing</t>
  </si>
  <si>
    <t>Personal Operativo</t>
  </si>
  <si>
    <t>Proyección de Mercadeo</t>
  </si>
  <si>
    <t>Proyección de Costo de Servicio</t>
  </si>
  <si>
    <t>Proyección de Gastos Administrativos</t>
  </si>
  <si>
    <t>Gastos Fijos</t>
  </si>
  <si>
    <t>Personal Administrativo</t>
  </si>
  <si>
    <t>Entidad</t>
  </si>
  <si>
    <t>Tasa mes Vencido</t>
  </si>
  <si>
    <t>Tasa EA</t>
  </si>
  <si>
    <t>Link</t>
  </si>
  <si>
    <t>Bancolombia</t>
  </si>
  <si>
    <t>https://www.bancolombia.com/personas/creditos/consumo/credito-libre-inversion/simulador-libre-inversion#:~:text=URL%3A%20https%3A%2F%2Fwww.bancolombia.com%2Fpersonas%2Fcreditos%2Fconsumo%2Fcredito,100</t>
  </si>
  <si>
    <t>Imagen</t>
  </si>
  <si>
    <t>Promedio</t>
  </si>
  <si>
    <t>https://www.bancodebogota.com/wps/themes/html/banco-de-bogota/pdf/productos-para-ti/tasas/2024/tasas-julio-2024.pdf</t>
  </si>
  <si>
    <t>Banco Occidente</t>
  </si>
  <si>
    <t>https://www.bancodeoccidente.com.co/solicitarcredito/#/simuladorCreditoConsumo</t>
  </si>
  <si>
    <t>Banco Caja Social</t>
  </si>
  <si>
    <t>https://www.bancocajasocial.com/content/dam/bcs/documentos/informacion-corporativa/tasas-precios-y-comisiones/credito-empresas/Tasas-Credito-Comercial-Pymes-Empresas-y-Constructor.pdf</t>
  </si>
  <si>
    <t>Potencial de Encuesta</t>
  </si>
  <si>
    <t>Potencial de Mercado</t>
  </si>
  <si>
    <t>Personas que Pagaría</t>
  </si>
  <si>
    <t>Valor Costo Día / Profesional / Plan Básico</t>
  </si>
  <si>
    <t>Entrenador Básico</t>
  </si>
  <si>
    <t>Área</t>
  </si>
  <si>
    <t>Cesantías</t>
  </si>
  <si>
    <t>Interés Cesantía</t>
  </si>
  <si>
    <t>Concentración de CP</t>
  </si>
  <si>
    <t>Concentración de LP</t>
  </si>
  <si>
    <t>Banco Bogotá</t>
  </si>
  <si>
    <t>Margen Bruto</t>
  </si>
  <si>
    <t>Margen Operacional</t>
  </si>
  <si>
    <t>Margen Neto</t>
  </si>
  <si>
    <t>Margen Ebitda</t>
  </si>
  <si>
    <t>Endeudamiento Total</t>
  </si>
  <si>
    <t>Apalancamiento Total</t>
  </si>
  <si>
    <t>Arriendo</t>
  </si>
  <si>
    <t>Adecuación Inicial (Arreglos Locativos)</t>
  </si>
  <si>
    <t>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</si>
</sst>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1" formatCode="&quot;$&quot;\ #,##0"/>
    <numFmt numFmtId="182" formatCode="[$-240A]hh:mm:ss\ AM/PM;@"/>
    <numFmt numFmtId="183" formatCode="0.0"/>
  </numFmts>
  <fonts count="6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sz val="9"/>
      <color indexed="81"/>
      <name val="Tahoma"/>
      <charset val="1"/>
    </font>
    <font>
      <b/>
      <sz val="9"/>
      <color indexed="81"/>
      <name val="Tahoma"/>
      <charset val="1"/>
    </font>
    <font>
      <b/>
      <i/>
      <sz val="10"/>
      <color theme="1"/>
      <name val="Arial"/>
      <family val="2"/>
    </font>
    <font>
      <i/>
      <sz val="10"/>
      <color theme="1"/>
      <name val="Arial"/>
      <family val="2"/>
    </font>
    <font>
      <i/>
      <sz val="10"/>
      <color rgb="FFFF0000"/>
      <name val="Arial"/>
      <family val="2"/>
    </font>
    <font>
      <i/>
      <sz val="10"/>
      <color theme="0"/>
      <name val="Arial"/>
      <family val="2"/>
    </font>
    <font>
      <b/>
      <i/>
      <sz val="10"/>
      <color theme="0"/>
      <name val="Arial"/>
      <family val="2"/>
    </font>
  </fonts>
  <fills count="11">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6" tint="-0.249977111117893"/>
        <bgColor indexed="64"/>
      </patternFill>
    </fill>
  </fills>
  <borders count="46">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260">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0" fillId="0" borderId="0" xfId="0" applyAlignment="1">
      <alignment horizontal="center" vertical="center"/>
    </xf>
    <xf numFmtId="0" fontId="0" fillId="0" borderId="17" xfId="0" applyBorder="1" applyAlignment="1">
      <alignment horizontal="center" vertical="center"/>
    </xf>
    <xf numFmtId="3" fontId="6" fillId="0" borderId="0" xfId="0" applyNumberFormat="1" applyFont="1" applyAlignment="1" applyProtection="1">
      <alignment horizontal="center"/>
      <protection hidden="1"/>
    </xf>
    <xf numFmtId="10" fontId="0" fillId="0" borderId="17" xfId="2" applyNumberFormat="1" applyFont="1" applyBorder="1" applyAlignment="1">
      <alignment horizontal="center" vertical="center"/>
    </xf>
    <xf numFmtId="175" fontId="29" fillId="4" borderId="0" xfId="4" applyNumberFormat="1" applyFont="1" applyFill="1" applyProtection="1">
      <protection locked="0"/>
    </xf>
    <xf numFmtId="10" fontId="29" fillId="4" borderId="0" xfId="2" applyNumberFormat="1" applyFont="1" applyFill="1" applyProtection="1">
      <protection locked="0"/>
    </xf>
    <xf numFmtId="0" fontId="7" fillId="9" borderId="17" xfId="0" applyFont="1" applyFill="1" applyBorder="1" applyAlignment="1">
      <alignment horizontal="center" vertical="center"/>
    </xf>
    <xf numFmtId="0" fontId="6" fillId="0" borderId="17" xfId="0" applyFont="1" applyBorder="1" applyAlignment="1">
      <alignment horizontal="center" vertical="center"/>
    </xf>
    <xf numFmtId="0" fontId="7" fillId="9" borderId="17" xfId="0" applyFont="1" applyFill="1" applyBorder="1" applyAlignment="1">
      <alignment horizontal="center" vertical="center" wrapText="1"/>
    </xf>
    <xf numFmtId="10" fontId="0" fillId="0" borderId="17" xfId="0" applyNumberFormat="1" applyBorder="1" applyAlignment="1">
      <alignment horizontal="center" vertical="center"/>
    </xf>
    <xf numFmtId="0" fontId="36" fillId="0" borderId="17" xfId="5" applyBorder="1" applyAlignment="1">
      <alignment horizontal="center" vertical="center" wrapText="1"/>
    </xf>
    <xf numFmtId="0" fontId="56" fillId="9" borderId="17" xfId="0" applyFont="1" applyFill="1" applyBorder="1" applyAlignment="1">
      <alignment horizontal="center" vertical="center"/>
    </xf>
    <xf numFmtId="0" fontId="57" fillId="0" borderId="0" xfId="0" applyFont="1"/>
    <xf numFmtId="0" fontId="57" fillId="0" borderId="17" xfId="0" applyFont="1" applyBorder="1" applyAlignment="1">
      <alignment horizontal="center" vertical="center"/>
    </xf>
    <xf numFmtId="181" fontId="57" fillId="0" borderId="17" xfId="0" applyNumberFormat="1" applyFont="1" applyBorder="1" applyAlignment="1">
      <alignment horizontal="center" vertical="center"/>
    </xf>
    <xf numFmtId="0" fontId="56" fillId="3" borderId="17" xfId="0" applyFont="1" applyFill="1" applyBorder="1" applyAlignment="1">
      <alignment horizontal="center" vertical="center"/>
    </xf>
    <xf numFmtId="181" fontId="56" fillId="3" borderId="17" xfId="0" applyNumberFormat="1" applyFont="1" applyFill="1" applyBorder="1" applyAlignment="1">
      <alignment horizontal="center" vertical="center"/>
    </xf>
    <xf numFmtId="181" fontId="56" fillId="9" borderId="17" xfId="0" applyNumberFormat="1" applyFont="1" applyFill="1" applyBorder="1" applyAlignment="1">
      <alignment horizontal="center" vertical="center"/>
    </xf>
    <xf numFmtId="3" fontId="57" fillId="0" borderId="17" xfId="0" applyNumberFormat="1" applyFont="1" applyBorder="1" applyAlignment="1">
      <alignment horizontal="center" vertical="center"/>
    </xf>
    <xf numFmtId="0" fontId="56" fillId="3" borderId="21" xfId="0" applyFont="1" applyFill="1" applyBorder="1" applyAlignment="1">
      <alignment horizontal="center" vertical="center"/>
    </xf>
    <xf numFmtId="0" fontId="56" fillId="3" borderId="22" xfId="0" applyFont="1" applyFill="1" applyBorder="1" applyAlignment="1">
      <alignment horizontal="center" vertical="center"/>
    </xf>
    <xf numFmtId="0" fontId="57" fillId="0" borderId="39" xfId="0" applyFont="1" applyBorder="1" applyAlignment="1">
      <alignment horizontal="center" vertical="center"/>
    </xf>
    <xf numFmtId="3" fontId="57" fillId="0" borderId="40" xfId="0" applyNumberFormat="1" applyFont="1" applyBorder="1" applyAlignment="1">
      <alignment horizontal="center" vertical="center"/>
    </xf>
    <xf numFmtId="10" fontId="57" fillId="0" borderId="17" xfId="2" applyNumberFormat="1" applyFont="1" applyBorder="1" applyAlignment="1">
      <alignment horizontal="center" vertical="center"/>
    </xf>
    <xf numFmtId="0" fontId="57" fillId="0" borderId="0" xfId="0" applyFont="1" applyAlignment="1">
      <alignment horizontal="center" vertical="center"/>
    </xf>
    <xf numFmtId="0" fontId="56" fillId="0" borderId="21" xfId="0" applyFont="1" applyBorder="1" applyAlignment="1">
      <alignment horizontal="center" vertical="center"/>
    </xf>
    <xf numFmtId="3" fontId="56" fillId="0" borderId="22" xfId="0" applyNumberFormat="1" applyFont="1" applyBorder="1" applyAlignment="1">
      <alignment horizontal="center" vertical="center"/>
    </xf>
    <xf numFmtId="0" fontId="57" fillId="0" borderId="20" xfId="0" applyFont="1" applyBorder="1" applyAlignment="1">
      <alignment horizontal="center" vertical="center"/>
    </xf>
    <xf numFmtId="3" fontId="57" fillId="0" borderId="20" xfId="0" applyNumberFormat="1" applyFont="1" applyBorder="1" applyAlignment="1">
      <alignment horizontal="center" vertical="center"/>
    </xf>
    <xf numFmtId="9" fontId="57" fillId="0" borderId="0" xfId="0" applyNumberFormat="1" applyFont="1"/>
    <xf numFmtId="0" fontId="58" fillId="0" borderId="0" xfId="0" applyFont="1"/>
    <xf numFmtId="0" fontId="58" fillId="0" borderId="0" xfId="0" applyFont="1" applyAlignment="1">
      <alignment horizontal="center" vertical="center"/>
    </xf>
    <xf numFmtId="0" fontId="56" fillId="8" borderId="21" xfId="0" applyFont="1" applyFill="1" applyBorder="1" applyAlignment="1">
      <alignment horizontal="center" vertical="center"/>
    </xf>
    <xf numFmtId="181" fontId="57" fillId="0" borderId="22" xfId="0" applyNumberFormat="1" applyFont="1" applyBorder="1" applyAlignment="1">
      <alignment horizontal="center" vertical="center"/>
    </xf>
    <xf numFmtId="0" fontId="56" fillId="3" borderId="35" xfId="0" applyFont="1" applyFill="1" applyBorder="1" applyAlignment="1">
      <alignment horizontal="center" vertical="center"/>
    </xf>
    <xf numFmtId="0" fontId="56" fillId="3" borderId="34" xfId="0" applyFont="1" applyFill="1" applyBorder="1" applyAlignment="1">
      <alignment horizontal="center" vertical="center"/>
    </xf>
    <xf numFmtId="0" fontId="56" fillId="3" borderId="36" xfId="0" applyFont="1" applyFill="1" applyBorder="1" applyAlignment="1">
      <alignment horizontal="center" vertical="center"/>
    </xf>
    <xf numFmtId="170" fontId="57" fillId="0" borderId="0" xfId="2" applyNumberFormat="1" applyFont="1"/>
    <xf numFmtId="0" fontId="56" fillId="3" borderId="23" xfId="0" applyFont="1" applyFill="1" applyBorder="1" applyAlignment="1">
      <alignment horizontal="center" vertical="center"/>
    </xf>
    <xf numFmtId="182" fontId="57" fillId="0" borderId="24" xfId="0" applyNumberFormat="1" applyFont="1" applyBorder="1" applyAlignment="1">
      <alignment horizontal="center" vertical="center"/>
    </xf>
    <xf numFmtId="181" fontId="57" fillId="0" borderId="15" xfId="0" applyNumberFormat="1" applyFont="1" applyBorder="1" applyAlignment="1">
      <alignment horizontal="center" vertical="center"/>
    </xf>
    <xf numFmtId="181" fontId="57" fillId="0" borderId="16" xfId="0" applyNumberFormat="1" applyFont="1" applyBorder="1" applyAlignment="1">
      <alignment horizontal="center" vertical="center"/>
    </xf>
    <xf numFmtId="0" fontId="57" fillId="0" borderId="24" xfId="0" applyFont="1" applyBorder="1" applyAlignment="1">
      <alignment horizontal="center" vertical="center"/>
    </xf>
    <xf numFmtId="0" fontId="57" fillId="0" borderId="15" xfId="0" applyFont="1" applyBorder="1" applyAlignment="1">
      <alignment horizontal="center" vertical="center"/>
    </xf>
    <xf numFmtId="182" fontId="57" fillId="0" borderId="25" xfId="0" applyNumberFormat="1" applyFont="1" applyBorder="1" applyAlignment="1">
      <alignment horizontal="center" vertical="center"/>
    </xf>
    <xf numFmtId="181" fontId="57" fillId="0" borderId="26" xfId="0" applyNumberFormat="1" applyFont="1" applyBorder="1" applyAlignment="1">
      <alignment horizontal="center" vertical="center"/>
    </xf>
    <xf numFmtId="0" fontId="57" fillId="0" borderId="25" xfId="0" applyFont="1" applyBorder="1" applyAlignment="1">
      <alignment horizontal="center" vertical="center"/>
    </xf>
    <xf numFmtId="183" fontId="57" fillId="0" borderId="17" xfId="0" applyNumberFormat="1" applyFont="1" applyBorder="1" applyAlignment="1">
      <alignment horizontal="center" vertical="center"/>
    </xf>
    <xf numFmtId="0" fontId="57" fillId="0" borderId="27" xfId="0" applyFont="1" applyBorder="1" applyAlignment="1">
      <alignment horizontal="center" vertical="center"/>
    </xf>
    <xf numFmtId="181" fontId="57" fillId="0" borderId="29" xfId="0" applyNumberFormat="1" applyFont="1" applyBorder="1" applyAlignment="1">
      <alignment horizontal="center" vertical="center"/>
    </xf>
    <xf numFmtId="181" fontId="56" fillId="9" borderId="18" xfId="0" applyNumberFormat="1" applyFont="1" applyFill="1" applyBorder="1" applyAlignment="1">
      <alignment horizontal="center" vertical="center"/>
    </xf>
    <xf numFmtId="183" fontId="57" fillId="0" borderId="15" xfId="0" applyNumberFormat="1" applyFont="1" applyBorder="1" applyAlignment="1">
      <alignment horizontal="center" vertical="center"/>
    </xf>
    <xf numFmtId="182" fontId="57" fillId="0" borderId="27" xfId="0" applyNumberFormat="1" applyFont="1" applyBorder="1" applyAlignment="1">
      <alignment horizontal="center" vertical="center"/>
    </xf>
    <xf numFmtId="181" fontId="57" fillId="0" borderId="28" xfId="0" applyNumberFormat="1" applyFont="1" applyBorder="1" applyAlignment="1">
      <alignment horizontal="center" vertical="center"/>
    </xf>
    <xf numFmtId="0" fontId="57" fillId="0" borderId="37" xfId="0" applyFont="1" applyBorder="1" applyAlignment="1">
      <alignment horizontal="center" vertical="center"/>
    </xf>
    <xf numFmtId="181" fontId="57" fillId="0" borderId="20" xfId="0" applyNumberFormat="1" applyFont="1" applyBorder="1" applyAlignment="1">
      <alignment horizontal="center" vertical="center"/>
    </xf>
    <xf numFmtId="181" fontId="57" fillId="0" borderId="38" xfId="0" applyNumberFormat="1" applyFont="1" applyBorder="1" applyAlignment="1">
      <alignment horizontal="center" vertical="center"/>
    </xf>
    <xf numFmtId="0" fontId="59" fillId="0" borderId="0" xfId="0" applyFont="1"/>
    <xf numFmtId="0" fontId="59" fillId="0" borderId="0" xfId="0" applyFont="1" applyAlignment="1">
      <alignment horizontal="center" vertical="center"/>
    </xf>
    <xf numFmtId="0" fontId="60" fillId="0" borderId="0" xfId="0" applyFont="1" applyAlignment="1">
      <alignment horizontal="center" vertical="center"/>
    </xf>
    <xf numFmtId="3" fontId="59" fillId="0" borderId="0" xfId="0" applyNumberFormat="1" applyFont="1" applyAlignment="1">
      <alignment horizontal="center" vertical="center"/>
    </xf>
    <xf numFmtId="167" fontId="57" fillId="0" borderId="0" xfId="4" applyFont="1"/>
    <xf numFmtId="0" fontId="57" fillId="0" borderId="0" xfId="0" applyFont="1" applyAlignment="1">
      <alignment horizontal="center"/>
    </xf>
    <xf numFmtId="10" fontId="57" fillId="0" borderId="0" xfId="0" applyNumberFormat="1" applyFont="1" applyAlignment="1">
      <alignment horizontal="center"/>
    </xf>
    <xf numFmtId="0" fontId="57" fillId="0" borderId="44" xfId="0" applyFont="1" applyBorder="1" applyAlignment="1">
      <alignment horizontal="center" vertical="center"/>
    </xf>
    <xf numFmtId="0" fontId="57" fillId="0" borderId="33" xfId="0" applyFont="1" applyBorder="1" applyAlignment="1">
      <alignment horizontal="center" vertical="center"/>
    </xf>
    <xf numFmtId="0" fontId="57" fillId="0" borderId="31" xfId="0" applyFont="1" applyBorder="1" applyAlignment="1">
      <alignment horizontal="center" vertical="center"/>
    </xf>
    <xf numFmtId="0" fontId="57" fillId="0" borderId="28" xfId="0" applyFont="1" applyBorder="1" applyAlignment="1">
      <alignment horizontal="center" vertical="center"/>
    </xf>
    <xf numFmtId="181" fontId="56" fillId="9" borderId="41" xfId="0" applyNumberFormat="1" applyFont="1" applyFill="1" applyBorder="1" applyAlignment="1">
      <alignment horizontal="center" vertical="center"/>
    </xf>
    <xf numFmtId="181" fontId="56" fillId="9" borderId="42" xfId="0" applyNumberFormat="1" applyFont="1" applyFill="1" applyBorder="1" applyAlignment="1">
      <alignment horizontal="center" vertical="center"/>
    </xf>
    <xf numFmtId="181" fontId="56" fillId="9" borderId="43" xfId="0" applyNumberFormat="1" applyFont="1" applyFill="1" applyBorder="1" applyAlignment="1">
      <alignment horizontal="center" vertical="center"/>
    </xf>
    <xf numFmtId="181" fontId="56" fillId="9" borderId="23" xfId="0" applyNumberFormat="1" applyFont="1" applyFill="1" applyBorder="1" applyAlignment="1">
      <alignment horizontal="center" vertical="center"/>
    </xf>
    <xf numFmtId="181" fontId="57" fillId="0" borderId="45" xfId="0" applyNumberFormat="1" applyFont="1" applyBorder="1" applyAlignment="1">
      <alignment horizontal="center" vertical="center"/>
    </xf>
    <xf numFmtId="181" fontId="57" fillId="0" borderId="0" xfId="0" applyNumberFormat="1" applyFont="1" applyAlignment="1">
      <alignment horizontal="center"/>
    </xf>
    <xf numFmtId="10" fontId="57" fillId="0" borderId="17" xfId="2" applyNumberFormat="1" applyFont="1" applyBorder="1" applyAlignment="1">
      <alignment horizontal="center"/>
    </xf>
    <xf numFmtId="0" fontId="57" fillId="0" borderId="17" xfId="0" applyFont="1" applyBorder="1" applyAlignment="1">
      <alignment horizontal="center"/>
    </xf>
    <xf numFmtId="181" fontId="57" fillId="0" borderId="17" xfId="0" applyNumberFormat="1" applyFont="1" applyBorder="1" applyAlignment="1">
      <alignment horizontal="center"/>
    </xf>
    <xf numFmtId="2" fontId="57" fillId="0" borderId="17" xfId="0" applyNumberFormat="1" applyFont="1" applyBorder="1" applyAlignment="1">
      <alignment horizontal="center"/>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56" fillId="8" borderId="4" xfId="0" applyFont="1" applyFill="1" applyBorder="1" applyAlignment="1">
      <alignment horizontal="center" vertical="center"/>
    </xf>
    <xf numFmtId="0" fontId="56" fillId="8" borderId="5" xfId="0" applyFont="1" applyFill="1" applyBorder="1" applyAlignment="1">
      <alignment horizontal="center" vertical="center"/>
    </xf>
    <xf numFmtId="0" fontId="56" fillId="8" borderId="6" xfId="0" applyFont="1" applyFill="1" applyBorder="1" applyAlignment="1">
      <alignment horizontal="center" vertical="center"/>
    </xf>
    <xf numFmtId="0" fontId="60" fillId="0" borderId="0" xfId="0" applyFont="1" applyAlignment="1">
      <alignment horizontal="center" vertical="center"/>
    </xf>
    <xf numFmtId="9" fontId="57" fillId="0" borderId="30" xfId="0" applyNumberFormat="1" applyFont="1" applyBorder="1" applyAlignment="1">
      <alignment horizontal="center" vertical="center"/>
    </xf>
    <xf numFmtId="9" fontId="57" fillId="0" borderId="31" xfId="0" applyNumberFormat="1" applyFont="1" applyBorder="1" applyAlignment="1">
      <alignment horizontal="center" vertical="center"/>
    </xf>
    <xf numFmtId="9" fontId="57" fillId="0" borderId="32" xfId="0" applyNumberFormat="1" applyFont="1" applyBorder="1" applyAlignment="1">
      <alignment horizontal="center" vertical="center"/>
    </xf>
    <xf numFmtId="9" fontId="57" fillId="0" borderId="33" xfId="0" applyNumberFormat="1" applyFont="1" applyBorder="1" applyAlignment="1">
      <alignment horizontal="center" vertical="center"/>
    </xf>
    <xf numFmtId="0" fontId="56" fillId="9" borderId="17" xfId="0" applyFont="1" applyFill="1" applyBorder="1" applyAlignment="1">
      <alignment horizontal="center" vertical="center"/>
    </xf>
    <xf numFmtId="0" fontId="57" fillId="0" borderId="17" xfId="0" applyFont="1" applyBorder="1" applyAlignment="1">
      <alignment horizontal="center" vertical="center" wrapText="1"/>
    </xf>
    <xf numFmtId="0" fontId="56" fillId="3" borderId="17" xfId="0" applyFont="1" applyFill="1" applyBorder="1" applyAlignment="1">
      <alignment horizontal="center" vertical="center"/>
    </xf>
    <xf numFmtId="0" fontId="57" fillId="0" borderId="19" xfId="0" applyFont="1" applyBorder="1" applyAlignment="1">
      <alignment horizontal="center" vertical="center"/>
    </xf>
    <xf numFmtId="0" fontId="57" fillId="0" borderId="45" xfId="0" applyFont="1" applyBorder="1" applyAlignment="1">
      <alignment horizontal="center" vertical="center"/>
    </xf>
    <xf numFmtId="0" fontId="57" fillId="0" borderId="20" xfId="0" applyFont="1" applyBorder="1" applyAlignment="1">
      <alignment horizontal="center" vertical="center"/>
    </xf>
    <xf numFmtId="0" fontId="57" fillId="0" borderId="17" xfId="0" applyFont="1" applyBorder="1" applyAlignment="1">
      <alignment horizontal="center" vertical="center"/>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6" fillId="10" borderId="0" xfId="0" applyFont="1" applyFill="1" applyAlignment="1">
      <alignment horizontal="center" vertical="center"/>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3275.4324338538509</c:v>
                </c:pt>
                <c:pt idx="2">
                  <c:v>6550.8648677077017</c:v>
                </c:pt>
              </c:numCache>
            </c:numRef>
          </c:cat>
          <c:val>
            <c:numRef>
              <c:f>'5'!$C$33:$C$35</c:f>
              <c:numCache>
                <c:formatCode>_("$"\ * #,##0.00_);_("$"\ * \(#,##0.00\);_("$"\ * "-"??_);_(@_)</c:formatCode>
                <c:ptCount val="3"/>
                <c:pt idx="0">
                  <c:v>508134536.00000006</c:v>
                </c:pt>
                <c:pt idx="1">
                  <c:v>508134536.00000006</c:v>
                </c:pt>
                <c:pt idx="2">
                  <c:v>508134536.00000006</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3275.4324338538509</c:v>
                </c:pt>
                <c:pt idx="2">
                  <c:v>6550.8648677077017</c:v>
                </c:pt>
              </c:numCache>
            </c:numRef>
          </c:cat>
          <c:val>
            <c:numRef>
              <c:f>'5'!$D$33:$D$35</c:f>
              <c:numCache>
                <c:formatCode>_("$"\ * #,##0.00_);_("$"\ * \(#,##0.00\);_("$"\ * "-"??_);_(@_)</c:formatCode>
                <c:ptCount val="3"/>
                <c:pt idx="0" formatCode="General">
                  <c:v>0</c:v>
                </c:pt>
                <c:pt idx="1">
                  <c:v>820376520.85001755</c:v>
                </c:pt>
                <c:pt idx="2">
                  <c:v>1640753041.7000349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3275.4324338538509</c:v>
                </c:pt>
                <c:pt idx="2">
                  <c:v>6550.8648677077017</c:v>
                </c:pt>
              </c:numCache>
            </c:numRef>
          </c:cat>
          <c:val>
            <c:numRef>
              <c:f>'5'!$F$33:$F$35</c:f>
              <c:numCache>
                <c:formatCode>_("$"\ * #,##0.00_);_("$"\ * \(#,##0.00\);_("$"\ * "-"??_);_(@_)</c:formatCode>
                <c:ptCount val="3"/>
                <c:pt idx="0">
                  <c:v>508134536.00000006</c:v>
                </c:pt>
                <c:pt idx="1">
                  <c:v>820376520.85001755</c:v>
                </c:pt>
                <c:pt idx="2">
                  <c:v>1132618505.7000349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Proyección en Ventas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Proyecciones!$A$5</c:f>
              <c:strCache>
                <c:ptCount val="1"/>
                <c:pt idx="0">
                  <c:v>Plan Valera</c:v>
                </c:pt>
              </c:strCache>
            </c:strRef>
          </c:tx>
          <c:spPr>
            <a:solidFill>
              <a:schemeClr val="dk1">
                <a:tint val="88500"/>
              </a:schemeClr>
            </a:solidFill>
            <a:ln>
              <a:noFill/>
            </a:ln>
            <a:effectLst/>
          </c:spPr>
          <c:invertIfNegative val="0"/>
          <c:cat>
            <c:numRef>
              <c:f>Proyecciones!$B$4:$F$4</c:f>
              <c:numCache>
                <c:formatCode>General</c:formatCode>
                <c:ptCount val="5"/>
                <c:pt idx="0">
                  <c:v>2024</c:v>
                </c:pt>
                <c:pt idx="1">
                  <c:v>2025</c:v>
                </c:pt>
                <c:pt idx="2">
                  <c:v>2026</c:v>
                </c:pt>
                <c:pt idx="3">
                  <c:v>2027</c:v>
                </c:pt>
                <c:pt idx="4">
                  <c:v>2028</c:v>
                </c:pt>
              </c:numCache>
            </c:numRef>
          </c:cat>
          <c:val>
            <c:numRef>
              <c:f>Proyecciones!$B$5:$F$5</c:f>
              <c:numCache>
                <c:formatCode>"$"\ #,##0</c:formatCode>
                <c:ptCount val="5"/>
                <c:pt idx="0">
                  <c:v>674316.00000000012</c:v>
                </c:pt>
                <c:pt idx="1">
                  <c:v>744261.4500480002</c:v>
                </c:pt>
                <c:pt idx="2">
                  <c:v>827263.34761097818</c:v>
                </c:pt>
                <c:pt idx="3">
                  <c:v>925990.61004156747</c:v>
                </c:pt>
                <c:pt idx="4">
                  <c:v>1043764.1147656194</c:v>
                </c:pt>
              </c:numCache>
            </c:numRef>
          </c:val>
          <c:extLst>
            <c:ext xmlns:c16="http://schemas.microsoft.com/office/drawing/2014/chart" uri="{C3380CC4-5D6E-409C-BE32-E72D297353CC}">
              <c16:uniqueId val="{00000000-2F59-4479-BEED-975D63DEFE05}"/>
            </c:ext>
          </c:extLst>
        </c:ser>
        <c:ser>
          <c:idx val="1"/>
          <c:order val="1"/>
          <c:tx>
            <c:strRef>
              <c:f>Proyecciones!$A$6</c:f>
              <c:strCache>
                <c:ptCount val="1"/>
                <c:pt idx="0">
                  <c:v>Bienestar Básico</c:v>
                </c:pt>
              </c:strCache>
            </c:strRef>
          </c:tx>
          <c:spPr>
            <a:solidFill>
              <a:schemeClr val="dk1">
                <a:tint val="55000"/>
              </a:schemeClr>
            </a:solidFill>
            <a:ln>
              <a:noFill/>
            </a:ln>
            <a:effectLst/>
          </c:spPr>
          <c:invertIfNegative val="0"/>
          <c:cat>
            <c:numRef>
              <c:f>Proyecciones!$B$4:$F$4</c:f>
              <c:numCache>
                <c:formatCode>General</c:formatCode>
                <c:ptCount val="5"/>
                <c:pt idx="0">
                  <c:v>2024</c:v>
                </c:pt>
                <c:pt idx="1">
                  <c:v>2025</c:v>
                </c:pt>
                <c:pt idx="2">
                  <c:v>2026</c:v>
                </c:pt>
                <c:pt idx="3">
                  <c:v>2027</c:v>
                </c:pt>
                <c:pt idx="4">
                  <c:v>2028</c:v>
                </c:pt>
              </c:numCache>
            </c:numRef>
          </c:cat>
          <c:val>
            <c:numRef>
              <c:f>Proyecciones!$B$6:$F$6</c:f>
              <c:numCache>
                <c:formatCode>"$"\ #,##0</c:formatCode>
                <c:ptCount val="5"/>
                <c:pt idx="0">
                  <c:v>314680.80000000005</c:v>
                </c:pt>
                <c:pt idx="1">
                  <c:v>347322.01002240006</c:v>
                </c:pt>
                <c:pt idx="2">
                  <c:v>386056.2288851231</c:v>
                </c:pt>
                <c:pt idx="3">
                  <c:v>432128.95135273144</c:v>
                </c:pt>
                <c:pt idx="4">
                  <c:v>487089.92022395565</c:v>
                </c:pt>
              </c:numCache>
            </c:numRef>
          </c:val>
          <c:extLst>
            <c:ext xmlns:c16="http://schemas.microsoft.com/office/drawing/2014/chart" uri="{C3380CC4-5D6E-409C-BE32-E72D297353CC}">
              <c16:uniqueId val="{00000001-2F59-4479-BEED-975D63DEFE05}"/>
            </c:ext>
          </c:extLst>
        </c:ser>
        <c:ser>
          <c:idx val="2"/>
          <c:order val="2"/>
          <c:tx>
            <c:strRef>
              <c:f>Proyecciones!$A$7</c:f>
              <c:strCache>
                <c:ptCount val="1"/>
                <c:pt idx="0">
                  <c:v>Bienestar Integral</c:v>
                </c:pt>
              </c:strCache>
            </c:strRef>
          </c:tx>
          <c:spPr>
            <a:solidFill>
              <a:schemeClr val="dk1">
                <a:tint val="75000"/>
              </a:schemeClr>
            </a:solidFill>
            <a:ln>
              <a:noFill/>
            </a:ln>
            <a:effectLst/>
          </c:spPr>
          <c:invertIfNegative val="0"/>
          <c:cat>
            <c:numRef>
              <c:f>Proyecciones!$B$4:$F$4</c:f>
              <c:numCache>
                <c:formatCode>General</c:formatCode>
                <c:ptCount val="5"/>
                <c:pt idx="0">
                  <c:v>2024</c:v>
                </c:pt>
                <c:pt idx="1">
                  <c:v>2025</c:v>
                </c:pt>
                <c:pt idx="2">
                  <c:v>2026</c:v>
                </c:pt>
                <c:pt idx="3">
                  <c:v>2027</c:v>
                </c:pt>
                <c:pt idx="4">
                  <c:v>2028</c:v>
                </c:pt>
              </c:numCache>
            </c:numRef>
          </c:cat>
          <c:val>
            <c:numRef>
              <c:f>Proyecciones!$B$7:$F$7</c:f>
              <c:numCache>
                <c:formatCode>"$"\ #,##0</c:formatCode>
                <c:ptCount val="5"/>
                <c:pt idx="0">
                  <c:v>142355.6</c:v>
                </c:pt>
                <c:pt idx="1">
                  <c:v>157121.86167680001</c:v>
                </c:pt>
                <c:pt idx="2">
                  <c:v>174644.48449565092</c:v>
                </c:pt>
                <c:pt idx="3">
                  <c:v>195486.90656433086</c:v>
                </c:pt>
                <c:pt idx="4">
                  <c:v>220350.20200607518</c:v>
                </c:pt>
              </c:numCache>
            </c:numRef>
          </c:val>
          <c:extLst>
            <c:ext xmlns:c16="http://schemas.microsoft.com/office/drawing/2014/chart" uri="{C3380CC4-5D6E-409C-BE32-E72D297353CC}">
              <c16:uniqueId val="{00000002-2F59-4479-BEED-975D63DEFE05}"/>
            </c:ext>
          </c:extLst>
        </c:ser>
        <c:dLbls>
          <c:showLegendKey val="0"/>
          <c:showVal val="0"/>
          <c:showCatName val="0"/>
          <c:showSerName val="0"/>
          <c:showPercent val="0"/>
          <c:showBubbleSize val="0"/>
        </c:dLbls>
        <c:gapWidth val="150"/>
        <c:overlap val="100"/>
        <c:axId val="67515503"/>
        <c:axId val="67527983"/>
      </c:barChart>
      <c:catAx>
        <c:axId val="67515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7527983"/>
        <c:crosses val="autoZero"/>
        <c:auto val="1"/>
        <c:lblAlgn val="ctr"/>
        <c:lblOffset val="100"/>
        <c:noMultiLvlLbl val="0"/>
      </c:catAx>
      <c:valAx>
        <c:axId val="67527983"/>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7515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552450</xdr:colOff>
      <xdr:row>2</xdr:row>
      <xdr:rowOff>9525</xdr:rowOff>
    </xdr:from>
    <xdr:to>
      <xdr:col>12</xdr:col>
      <xdr:colOff>552450</xdr:colOff>
      <xdr:row>15</xdr:row>
      <xdr:rowOff>47625</xdr:rowOff>
    </xdr:to>
    <xdr:graphicFrame macro="">
      <xdr:nvGraphicFramePr>
        <xdr:cNvPr id="2" name="Gráfico 1">
          <a:extLst>
            <a:ext uri="{FF2B5EF4-FFF2-40B4-BE49-F238E27FC236}">
              <a16:creationId xmlns:a16="http://schemas.microsoft.com/office/drawing/2014/main" id="{3A393362-979B-45BF-8E7D-FBD5CFA73F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1724025</xdr:colOff>
      <xdr:row>2</xdr:row>
      <xdr:rowOff>66676</xdr:rowOff>
    </xdr:from>
    <xdr:to>
      <xdr:col>5</xdr:col>
      <xdr:colOff>3943350</xdr:colOff>
      <xdr:row>2</xdr:row>
      <xdr:rowOff>1209965</xdr:rowOff>
    </xdr:to>
    <xdr:pic>
      <xdr:nvPicPr>
        <xdr:cNvPr id="2" name="Imagen 1">
          <a:extLst>
            <a:ext uri="{FF2B5EF4-FFF2-40B4-BE49-F238E27FC236}">
              <a16:creationId xmlns:a16="http://schemas.microsoft.com/office/drawing/2014/main" id="{93195971-EDF0-4D5C-B895-A1360C0A5AC3}"/>
            </a:ext>
          </a:extLst>
        </xdr:cNvPr>
        <xdr:cNvPicPr>
          <a:picLocks noChangeAspect="1"/>
        </xdr:cNvPicPr>
      </xdr:nvPicPr>
      <xdr:blipFill>
        <a:blip xmlns:r="http://schemas.openxmlformats.org/officeDocument/2006/relationships" r:embed="rId1"/>
        <a:stretch>
          <a:fillRect/>
        </a:stretch>
      </xdr:blipFill>
      <xdr:spPr>
        <a:xfrm>
          <a:off x="8239125" y="704851"/>
          <a:ext cx="2219325" cy="1143289"/>
        </a:xfrm>
        <a:prstGeom prst="rect">
          <a:avLst/>
        </a:prstGeom>
      </xdr:spPr>
    </xdr:pic>
    <xdr:clientData/>
  </xdr:twoCellAnchor>
  <xdr:twoCellAnchor editAs="oneCell">
    <xdr:from>
      <xdr:col>5</xdr:col>
      <xdr:colOff>85725</xdr:colOff>
      <xdr:row>3</xdr:row>
      <xdr:rowOff>104775</xdr:rowOff>
    </xdr:from>
    <xdr:to>
      <xdr:col>5</xdr:col>
      <xdr:colOff>5959258</xdr:colOff>
      <xdr:row>3</xdr:row>
      <xdr:rowOff>1685924</xdr:rowOff>
    </xdr:to>
    <xdr:pic>
      <xdr:nvPicPr>
        <xdr:cNvPr id="3" name="Imagen 2">
          <a:extLst>
            <a:ext uri="{FF2B5EF4-FFF2-40B4-BE49-F238E27FC236}">
              <a16:creationId xmlns:a16="http://schemas.microsoft.com/office/drawing/2014/main" id="{7A024F0E-EC89-463E-A206-2AC831CCE206}"/>
            </a:ext>
          </a:extLst>
        </xdr:cNvPr>
        <xdr:cNvPicPr>
          <a:picLocks noChangeAspect="1"/>
        </xdr:cNvPicPr>
      </xdr:nvPicPr>
      <xdr:blipFill>
        <a:blip xmlns:r="http://schemas.openxmlformats.org/officeDocument/2006/relationships" r:embed="rId2"/>
        <a:stretch>
          <a:fillRect/>
        </a:stretch>
      </xdr:blipFill>
      <xdr:spPr>
        <a:xfrm>
          <a:off x="6600825" y="1971675"/>
          <a:ext cx="5873533" cy="1581149"/>
        </a:xfrm>
        <a:prstGeom prst="rect">
          <a:avLst/>
        </a:prstGeom>
      </xdr:spPr>
    </xdr:pic>
    <xdr:clientData/>
  </xdr:twoCellAnchor>
  <xdr:twoCellAnchor editAs="oneCell">
    <xdr:from>
      <xdr:col>5</xdr:col>
      <xdr:colOff>142876</xdr:colOff>
      <xdr:row>4</xdr:row>
      <xdr:rowOff>57150</xdr:rowOff>
    </xdr:from>
    <xdr:to>
      <xdr:col>5</xdr:col>
      <xdr:colOff>5924571</xdr:colOff>
      <xdr:row>4</xdr:row>
      <xdr:rowOff>1657350</xdr:rowOff>
    </xdr:to>
    <xdr:pic>
      <xdr:nvPicPr>
        <xdr:cNvPr id="4" name="Imagen 3">
          <a:extLst>
            <a:ext uri="{FF2B5EF4-FFF2-40B4-BE49-F238E27FC236}">
              <a16:creationId xmlns:a16="http://schemas.microsoft.com/office/drawing/2014/main" id="{1AE6A39B-C006-4B89-9A7D-0707E17F7116}"/>
            </a:ext>
          </a:extLst>
        </xdr:cNvPr>
        <xdr:cNvPicPr>
          <a:picLocks noChangeAspect="1"/>
        </xdr:cNvPicPr>
      </xdr:nvPicPr>
      <xdr:blipFill>
        <a:blip xmlns:r="http://schemas.openxmlformats.org/officeDocument/2006/relationships" r:embed="rId3"/>
        <a:stretch>
          <a:fillRect/>
        </a:stretch>
      </xdr:blipFill>
      <xdr:spPr>
        <a:xfrm>
          <a:off x="6848476" y="3667125"/>
          <a:ext cx="5781695" cy="1600200"/>
        </a:xfrm>
        <a:prstGeom prst="rect">
          <a:avLst/>
        </a:prstGeom>
      </xdr:spPr>
    </xdr:pic>
    <xdr:clientData/>
  </xdr:twoCellAnchor>
  <xdr:twoCellAnchor editAs="oneCell">
    <xdr:from>
      <xdr:col>7</xdr:col>
      <xdr:colOff>0</xdr:colOff>
      <xdr:row>4</xdr:row>
      <xdr:rowOff>0</xdr:rowOff>
    </xdr:from>
    <xdr:to>
      <xdr:col>13</xdr:col>
      <xdr:colOff>419797</xdr:colOff>
      <xdr:row>5</xdr:row>
      <xdr:rowOff>628982</xdr:rowOff>
    </xdr:to>
    <xdr:pic>
      <xdr:nvPicPr>
        <xdr:cNvPr id="5" name="Imagen 4">
          <a:extLst>
            <a:ext uri="{FF2B5EF4-FFF2-40B4-BE49-F238E27FC236}">
              <a16:creationId xmlns:a16="http://schemas.microsoft.com/office/drawing/2014/main" id="{C7B8CFD1-4B0E-4D0A-82D1-61B40E50ADE8}"/>
            </a:ext>
          </a:extLst>
        </xdr:cNvPr>
        <xdr:cNvPicPr>
          <a:picLocks noChangeAspect="1"/>
        </xdr:cNvPicPr>
      </xdr:nvPicPr>
      <xdr:blipFill>
        <a:blip xmlns:r="http://schemas.openxmlformats.org/officeDocument/2006/relationships" r:embed="rId4"/>
        <a:stretch>
          <a:fillRect/>
        </a:stretch>
      </xdr:blipFill>
      <xdr:spPr>
        <a:xfrm>
          <a:off x="13506450" y="3609975"/>
          <a:ext cx="4991797" cy="2381582"/>
        </a:xfrm>
        <a:prstGeom prst="rect">
          <a:avLst/>
        </a:prstGeom>
      </xdr:spPr>
    </xdr:pic>
    <xdr:clientData/>
  </xdr:twoCellAnchor>
  <xdr:twoCellAnchor editAs="oneCell">
    <xdr:from>
      <xdr:col>5</xdr:col>
      <xdr:colOff>47625</xdr:colOff>
      <xdr:row>5</xdr:row>
      <xdr:rowOff>76201</xdr:rowOff>
    </xdr:from>
    <xdr:to>
      <xdr:col>5</xdr:col>
      <xdr:colOff>5981700</xdr:colOff>
      <xdr:row>5</xdr:row>
      <xdr:rowOff>1383709</xdr:rowOff>
    </xdr:to>
    <xdr:pic>
      <xdr:nvPicPr>
        <xdr:cNvPr id="6" name="Imagen 5">
          <a:extLst>
            <a:ext uri="{FF2B5EF4-FFF2-40B4-BE49-F238E27FC236}">
              <a16:creationId xmlns:a16="http://schemas.microsoft.com/office/drawing/2014/main" id="{DD3E72C5-D721-4122-892C-29A2C524E2A3}"/>
            </a:ext>
          </a:extLst>
        </xdr:cNvPr>
        <xdr:cNvPicPr>
          <a:picLocks noChangeAspect="1"/>
        </xdr:cNvPicPr>
      </xdr:nvPicPr>
      <xdr:blipFill>
        <a:blip xmlns:r="http://schemas.openxmlformats.org/officeDocument/2006/relationships" r:embed="rId5"/>
        <a:stretch>
          <a:fillRect/>
        </a:stretch>
      </xdr:blipFill>
      <xdr:spPr>
        <a:xfrm>
          <a:off x="6819900" y="5438776"/>
          <a:ext cx="5934075" cy="13075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3" Type="http://schemas.openxmlformats.org/officeDocument/2006/relationships/hyperlink" Target="https://www.bancodeoccidente.com.co/solicitarcredito/" TargetMode="External"/><Relationship Id="rId2" Type="http://schemas.openxmlformats.org/officeDocument/2006/relationships/hyperlink" Target="https://www.bancodebogota.com/wps/themes/html/banco-de-bogota/pdf/productos-para-ti/tasas/2024/tasas-julio-2024.pdf" TargetMode="External"/><Relationship Id="rId1" Type="http://schemas.openxmlformats.org/officeDocument/2006/relationships/hyperlink" Target="https://www.bancolombia.com/personas/creditos/consumo/credito-libre-inversion/simulador-libre-inversion" TargetMode="External"/><Relationship Id="rId5" Type="http://schemas.openxmlformats.org/officeDocument/2006/relationships/drawing" Target="../drawings/drawing8.xml"/><Relationship Id="rId4" Type="http://schemas.openxmlformats.org/officeDocument/2006/relationships/hyperlink" Target="https://www.bancocajasocial.com/content/dam/bcs/documentos/informacion-corporativa/tasas-precios-y-comisiones/credito-empresas/Tasas-Credito-Comercial-Pymes-Empresas-y-Constructor.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5"/>
  <sheetData>
    <row r="23" spans="7:8" ht="20.25">
      <c r="G23" s="220" t="s">
        <v>135</v>
      </c>
      <c r="H23" s="22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2" activePane="bottomRight" state="frozenSplit"/>
      <selection pane="topRight" activeCell="E1" sqref="E1"/>
      <selection pane="bottomLeft" activeCell="A12" sqref="A12"/>
      <selection pane="bottomRight" activeCell="I10" sqref="I10"/>
    </sheetView>
  </sheetViews>
  <sheetFormatPr baseColWidth="10" defaultRowHeight="15"/>
  <cols>
    <col min="1" max="1" width="26.7109375" style="8" customWidth="1"/>
    <col min="2" max="2" width="25.85546875" style="8" bestFit="1" customWidth="1"/>
    <col min="3" max="3" width="21.7109375" style="8" bestFit="1" customWidth="1"/>
    <col min="4" max="7" width="19.28515625" style="8" bestFit="1" customWidth="1"/>
    <col min="8" max="16384" width="11.42578125" style="8"/>
  </cols>
  <sheetData>
    <row r="1" spans="1:7" ht="34.5" customHeight="1">
      <c r="A1" s="251" t="s">
        <v>117</v>
      </c>
      <c r="B1" s="251"/>
      <c r="C1" s="251"/>
      <c r="D1" s="251"/>
      <c r="E1" s="251"/>
      <c r="F1" s="251"/>
      <c r="G1" s="251"/>
    </row>
    <row r="2" spans="1:7" ht="23.25">
      <c r="A2" s="252" t="s">
        <v>132</v>
      </c>
      <c r="B2" s="252"/>
      <c r="C2" s="252"/>
      <c r="D2" s="252"/>
      <c r="E2" s="252"/>
      <c r="F2" s="252"/>
      <c r="G2" s="252"/>
    </row>
    <row r="3" spans="1:7" ht="8.25" customHeight="1">
      <c r="A3" s="59"/>
      <c r="B3" s="59"/>
      <c r="C3" s="59"/>
      <c r="D3" s="59"/>
      <c r="E3" s="59"/>
      <c r="F3" s="59"/>
      <c r="G3" s="59"/>
    </row>
    <row r="4" spans="1:7" ht="15.75">
      <c r="A4" s="250" t="s">
        <v>89</v>
      </c>
      <c r="B4" s="250"/>
      <c r="C4" s="250"/>
      <c r="D4" s="250"/>
      <c r="E4" s="250"/>
      <c r="F4" s="250"/>
      <c r="G4" s="250"/>
    </row>
    <row r="5" spans="1:7" ht="23.25">
      <c r="C5" s="63">
        <f>'1'!B31</f>
        <v>2024</v>
      </c>
      <c r="D5" s="63">
        <f>'1'!C31</f>
        <v>2025</v>
      </c>
      <c r="E5" s="63">
        <f>'1'!D31</f>
        <v>2026</v>
      </c>
      <c r="F5" s="63">
        <f>'1'!E31</f>
        <v>2027</v>
      </c>
      <c r="G5" s="63">
        <f>'1'!F31</f>
        <v>2028</v>
      </c>
    </row>
    <row r="6" spans="1:7">
      <c r="B6" s="8" t="s">
        <v>31</v>
      </c>
      <c r="C6" s="64">
        <f>'1'!B32</f>
        <v>1131352400.0000002</v>
      </c>
      <c r="D6" s="64">
        <f>'1'!C32</f>
        <v>1248705321.7472003</v>
      </c>
      <c r="E6" s="64">
        <f>'1'!D32</f>
        <v>1387964060.9917521</v>
      </c>
      <c r="F6" s="64">
        <f>'1'!E32</f>
        <v>1553606467.9586296</v>
      </c>
      <c r="G6" s="64">
        <f>'1'!F32</f>
        <v>1751204236.9956501</v>
      </c>
    </row>
    <row r="7" spans="1:7">
      <c r="B7" s="8" t="s">
        <v>66</v>
      </c>
      <c r="C7" s="64">
        <f>'1'!B33</f>
        <v>401442792.00000006</v>
      </c>
      <c r="D7" s="64">
        <f>'1'!C33</f>
        <v>443083649.92857605</v>
      </c>
      <c r="E7" s="64">
        <f>'1'!D33</f>
        <v>492497446.27773559</v>
      </c>
      <c r="F7" s="64">
        <f>'1'!E33</f>
        <v>551273076.5114131</v>
      </c>
      <c r="G7" s="64">
        <f>'1'!F33</f>
        <v>621387569.65713191</v>
      </c>
    </row>
    <row r="8" spans="1:7" ht="15.75" thickBot="1">
      <c r="B8" s="65" t="s">
        <v>67</v>
      </c>
      <c r="C8" s="66">
        <f>C6-C7</f>
        <v>729909608.00000024</v>
      </c>
      <c r="D8" s="66">
        <f t="shared" ref="D8:G8" si="0">D6-D7</f>
        <v>805621671.81862426</v>
      </c>
      <c r="E8" s="66">
        <f t="shared" si="0"/>
        <v>895466614.71401656</v>
      </c>
      <c r="F8" s="66">
        <f t="shared" si="0"/>
        <v>1002333391.4472165</v>
      </c>
      <c r="G8" s="66">
        <f t="shared" si="0"/>
        <v>1129816667.3385181</v>
      </c>
    </row>
    <row r="9" spans="1:7" ht="15.75" thickTop="1">
      <c r="B9" s="8" t="s">
        <v>68</v>
      </c>
      <c r="C9" s="64">
        <f>'2'!C23</f>
        <v>398654536.00000006</v>
      </c>
      <c r="D9" s="64">
        <f>C9*(1+'1'!Z4)</f>
        <v>435649676.94080007</v>
      </c>
      <c r="E9" s="64">
        <f>D9*(1+'1'!AA4)</f>
        <v>478256215.34561026</v>
      </c>
      <c r="F9" s="64">
        <f>E9*(1+'1'!AB4)</f>
        <v>527420954.28313899</v>
      </c>
      <c r="G9" s="64">
        <f>F9*(1+'1'!AC4)</f>
        <v>584276933.15486145</v>
      </c>
    </row>
    <row r="10" spans="1:7">
      <c r="B10" s="8" t="s">
        <v>134</v>
      </c>
      <c r="C10" s="64">
        <f>'2'!F31</f>
        <v>41480000</v>
      </c>
      <c r="D10" s="64">
        <f>C10*(1+'1'!Z4)</f>
        <v>45329344</v>
      </c>
      <c r="E10" s="64">
        <f>D10*(1+'1'!AA4)</f>
        <v>49762553.843199998</v>
      </c>
      <c r="F10" s="64">
        <f>E10*(1+'1'!AB4)</f>
        <v>54878144.37828096</v>
      </c>
      <c r="G10" s="64">
        <f>F10*(1+'1'!AC4)</f>
        <v>60794008.342259653</v>
      </c>
    </row>
    <row r="11" spans="1:7">
      <c r="B11" s="8" t="s">
        <v>69</v>
      </c>
      <c r="C11" s="64">
        <f>'2'!C25</f>
        <v>68000000</v>
      </c>
      <c r="D11" s="64">
        <f>'2'!C28</f>
        <v>74310400</v>
      </c>
      <c r="E11" s="64">
        <f>'2'!C29</f>
        <v>81577957.11999999</v>
      </c>
      <c r="F11" s="64">
        <f>'2'!C30</f>
        <v>89964171.111935988</v>
      </c>
      <c r="G11" s="64">
        <f>'2'!C31</f>
        <v>99662308.757802695</v>
      </c>
    </row>
    <row r="12" spans="1:7">
      <c r="B12" s="8" t="s">
        <v>86</v>
      </c>
      <c r="C12" s="64">
        <f>'2'!G12</f>
        <v>10988000</v>
      </c>
      <c r="D12" s="64">
        <f>C12</f>
        <v>10988000</v>
      </c>
      <c r="E12" s="64">
        <f t="shared" ref="E12:G12" si="1">D12</f>
        <v>10988000</v>
      </c>
      <c r="F12" s="64">
        <f t="shared" si="1"/>
        <v>10988000</v>
      </c>
      <c r="G12" s="64">
        <f t="shared" si="1"/>
        <v>10988000</v>
      </c>
    </row>
    <row r="13" spans="1:7" ht="15.75" thickBot="1">
      <c r="B13" s="65" t="s">
        <v>70</v>
      </c>
      <c r="C13" s="67">
        <f>C8-C9-C10-C11-C12</f>
        <v>210787072.00000018</v>
      </c>
      <c r="D13" s="67">
        <f t="shared" ref="D13:G13" si="2">D8-D9-D10-D11-D12</f>
        <v>239344250.87782419</v>
      </c>
      <c r="E13" s="67">
        <f t="shared" si="2"/>
        <v>274881888.40520632</v>
      </c>
      <c r="F13" s="67">
        <f t="shared" si="2"/>
        <v>319082121.67386061</v>
      </c>
      <c r="G13" s="67">
        <f t="shared" si="2"/>
        <v>374095417.08359432</v>
      </c>
    </row>
    <row r="14" spans="1:7" ht="15.75" thickTop="1">
      <c r="B14" s="8" t="s">
        <v>71</v>
      </c>
      <c r="C14" s="64">
        <f>'3'!G9</f>
        <v>116061391.27605063</v>
      </c>
      <c r="D14" s="64">
        <f>'3'!G10</f>
        <v>97856701.004729211</v>
      </c>
      <c r="E14" s="64">
        <f>'3'!G11</f>
        <v>73799865.701133728</v>
      </c>
      <c r="F14" s="64">
        <f>'3'!G12</f>
        <v>42009633.832370944</v>
      </c>
      <c r="G14" s="64">
        <f>'3'!G13</f>
        <v>0</v>
      </c>
    </row>
    <row r="15" spans="1:7" ht="15.75" thickBot="1">
      <c r="B15" s="65" t="s">
        <v>72</v>
      </c>
      <c r="C15" s="67">
        <f>C13-C14</f>
        <v>94725680.723949552</v>
      </c>
      <c r="D15" s="67">
        <f t="shared" ref="D15:G15" si="3">D13-D14</f>
        <v>141487549.87309498</v>
      </c>
      <c r="E15" s="67">
        <f t="shared" si="3"/>
        <v>201082022.70407259</v>
      </c>
      <c r="F15" s="67">
        <f t="shared" si="3"/>
        <v>277072487.84148967</v>
      </c>
      <c r="G15" s="67">
        <f t="shared" si="3"/>
        <v>374095417.08359432</v>
      </c>
    </row>
    <row r="16" spans="1:7" ht="15.75" thickTop="1">
      <c r="B16" s="8" t="s">
        <v>73</v>
      </c>
      <c r="C16" s="68">
        <f>IF(C15*'1'!$AB$7&lt;0,0,C15*'1'!$AB$7)</f>
        <v>33153988.25338234</v>
      </c>
      <c r="D16" s="68">
        <f>IF(D15*'1'!$AB$7&lt;0,0,D15*'1'!$AB$7)</f>
        <v>49520642.455583237</v>
      </c>
      <c r="E16" s="68">
        <f>IF(E15*'1'!$AB$7&lt;0,0,E15*'1'!$AB$7)</f>
        <v>70378707.946425408</v>
      </c>
      <c r="F16" s="68">
        <f>IF(F15*'1'!$AB$7&lt;0,0,F15*'1'!$AB$7)</f>
        <v>96975370.744521379</v>
      </c>
      <c r="G16" s="68">
        <f>IF(G15*'1'!$AB$7&lt;0,0,G15*'1'!$AB$7)</f>
        <v>130933395.979258</v>
      </c>
    </row>
    <row r="17" spans="1:8" ht="15.75" thickBot="1">
      <c r="B17" s="69" t="s">
        <v>74</v>
      </c>
      <c r="C17" s="70">
        <f>C15-C16</f>
        <v>61571692.470567212</v>
      </c>
      <c r="D17" s="70">
        <f t="shared" ref="D17:G17" si="4">D15-D16</f>
        <v>91966907.417511731</v>
      </c>
      <c r="E17" s="70">
        <f t="shared" si="4"/>
        <v>130703314.75764719</v>
      </c>
      <c r="F17" s="70">
        <f t="shared" si="4"/>
        <v>180097117.09696829</v>
      </c>
      <c r="G17" s="70">
        <f t="shared" si="4"/>
        <v>243162021.10433632</v>
      </c>
    </row>
    <row r="19" spans="1:8" ht="15.75">
      <c r="A19" s="250" t="s">
        <v>64</v>
      </c>
      <c r="B19" s="250"/>
      <c r="C19" s="250"/>
      <c r="D19" s="250"/>
      <c r="E19" s="250"/>
      <c r="F19" s="250"/>
      <c r="G19" s="250"/>
    </row>
    <row r="20" spans="1:8" ht="23.25">
      <c r="B20" s="71" t="s">
        <v>84</v>
      </c>
      <c r="C20" s="63">
        <f>C5</f>
        <v>2024</v>
      </c>
      <c r="D20" s="63">
        <f>D5</f>
        <v>2025</v>
      </c>
      <c r="E20" s="63">
        <f>E5</f>
        <v>2026</v>
      </c>
      <c r="F20" s="63">
        <f>F5</f>
        <v>2027</v>
      </c>
      <c r="G20" s="63">
        <f>G5</f>
        <v>2028</v>
      </c>
    </row>
    <row r="21" spans="1:8">
      <c r="A21" s="249" t="s">
        <v>65</v>
      </c>
      <c r="B21" s="249"/>
      <c r="C21" s="249"/>
      <c r="D21" s="249"/>
      <c r="E21" s="249"/>
      <c r="F21" s="249"/>
      <c r="G21" s="249"/>
    </row>
    <row r="22" spans="1:8">
      <c r="A22" s="8" t="s">
        <v>95</v>
      </c>
      <c r="B22" s="26">
        <f>B38-B26</f>
        <v>378990553.33333337</v>
      </c>
      <c r="C22" s="26">
        <f t="shared" ref="C22:G22" si="5">C38-C26</f>
        <v>428073589.04642904</v>
      </c>
      <c r="D22" s="26">
        <f t="shared" si="5"/>
        <v>410988122.91339922</v>
      </c>
      <c r="E22" s="26">
        <f t="shared" si="5"/>
        <v>382678425.15860605</v>
      </c>
      <c r="F22" s="26">
        <f t="shared" si="5"/>
        <v>338974487.84148967</v>
      </c>
      <c r="G22" s="26">
        <f t="shared" si="5"/>
        <v>446985417.08359432</v>
      </c>
    </row>
    <row r="23" spans="1:8">
      <c r="A23" s="8" t="s">
        <v>93</v>
      </c>
      <c r="B23" s="26">
        <f>'2'!C4</f>
        <v>0</v>
      </c>
      <c r="C23" s="26">
        <f>B23</f>
        <v>0</v>
      </c>
      <c r="D23" s="26">
        <f t="shared" ref="D23:G23" si="6">C23</f>
        <v>0</v>
      </c>
      <c r="E23" s="26">
        <f t="shared" si="6"/>
        <v>0</v>
      </c>
      <c r="F23" s="26">
        <f t="shared" si="6"/>
        <v>0</v>
      </c>
      <c r="G23" s="26">
        <f t="shared" si="6"/>
        <v>0</v>
      </c>
      <c r="H23" s="26"/>
    </row>
    <row r="24" spans="1:8">
      <c r="A24" s="8" t="s">
        <v>94</v>
      </c>
      <c r="B24" s="26">
        <f>'2'!C12-'2'!C4</f>
        <v>82050000</v>
      </c>
      <c r="C24" s="26">
        <f>B24</f>
        <v>82050000</v>
      </c>
      <c r="D24" s="26">
        <f t="shared" ref="D24:G24" si="7">C24</f>
        <v>82050000</v>
      </c>
      <c r="E24" s="26">
        <f t="shared" si="7"/>
        <v>82050000</v>
      </c>
      <c r="F24" s="26">
        <f t="shared" si="7"/>
        <v>82050000</v>
      </c>
      <c r="G24" s="26">
        <f t="shared" si="7"/>
        <v>82050000</v>
      </c>
      <c r="H24" s="26"/>
    </row>
    <row r="25" spans="1:8">
      <c r="A25" s="8" t="s">
        <v>87</v>
      </c>
      <c r="B25" s="26">
        <v>0</v>
      </c>
      <c r="C25" s="26">
        <f>C12</f>
        <v>10988000</v>
      </c>
      <c r="D25" s="26">
        <f>D12+C12</f>
        <v>21976000</v>
      </c>
      <c r="E25" s="26">
        <f>E12+D12+C12</f>
        <v>32964000</v>
      </c>
      <c r="F25" s="26">
        <f>F12+E12+D12+C12</f>
        <v>43952000</v>
      </c>
      <c r="G25" s="26">
        <f>F25+G12</f>
        <v>54940000</v>
      </c>
      <c r="H25" s="26"/>
    </row>
    <row r="26" spans="1:8">
      <c r="A26" s="8" t="s">
        <v>88</v>
      </c>
      <c r="B26" s="26">
        <f>B23+(B24-B25)</f>
        <v>82050000</v>
      </c>
      <c r="C26" s="26">
        <f>C23+(C24-C25)</f>
        <v>71062000</v>
      </c>
      <c r="D26" s="26">
        <f t="shared" ref="D26:G26" si="8">D23+(D24-D25)</f>
        <v>60074000</v>
      </c>
      <c r="E26" s="26">
        <f t="shared" si="8"/>
        <v>49086000</v>
      </c>
      <c r="F26" s="26">
        <f t="shared" si="8"/>
        <v>38098000</v>
      </c>
      <c r="G26" s="26">
        <f t="shared" si="8"/>
        <v>27110000</v>
      </c>
      <c r="H26" s="26"/>
    </row>
    <row r="27" spans="1:8" ht="15.75" thickBot="1">
      <c r="A27" s="65" t="s">
        <v>85</v>
      </c>
      <c r="B27" s="72">
        <f>B22+B26</f>
        <v>461040553.33333337</v>
      </c>
      <c r="C27" s="72">
        <f t="shared" ref="C27:G27" si="9">C22+C26</f>
        <v>499135589.04642904</v>
      </c>
      <c r="D27" s="72">
        <f t="shared" si="9"/>
        <v>471062122.91339922</v>
      </c>
      <c r="E27" s="72">
        <f t="shared" si="9"/>
        <v>431764425.15860605</v>
      </c>
      <c r="F27" s="72">
        <f t="shared" si="9"/>
        <v>377072487.84148967</v>
      </c>
      <c r="G27" s="72">
        <f t="shared" si="9"/>
        <v>474095417.08359432</v>
      </c>
      <c r="H27" s="26"/>
    </row>
    <row r="28" spans="1:8" ht="15.75" thickTop="1">
      <c r="A28" s="249" t="s">
        <v>75</v>
      </c>
      <c r="B28" s="249"/>
      <c r="C28" s="249"/>
      <c r="D28" s="249"/>
      <c r="E28" s="249"/>
      <c r="F28" s="249"/>
      <c r="G28" s="249"/>
    </row>
    <row r="29" spans="1:8">
      <c r="A29" s="8" t="s">
        <v>76</v>
      </c>
      <c r="B29" s="8">
        <v>0</v>
      </c>
      <c r="C29" s="68">
        <f>C16</f>
        <v>33153988.25338234</v>
      </c>
      <c r="D29" s="68">
        <f>D16</f>
        <v>49520642.455583237</v>
      </c>
      <c r="E29" s="68">
        <f>E16</f>
        <v>70378707.946425408</v>
      </c>
      <c r="F29" s="68">
        <f>F16</f>
        <v>96975370.744521379</v>
      </c>
      <c r="G29" s="68">
        <f>G16</f>
        <v>130933395.979258</v>
      </c>
    </row>
    <row r="30" spans="1:8">
      <c r="A30" s="8" t="s">
        <v>77</v>
      </c>
      <c r="B30" s="68">
        <f>B29</f>
        <v>0</v>
      </c>
      <c r="C30" s="68">
        <f t="shared" ref="C30:G30" si="10">C29</f>
        <v>33153988.25338234</v>
      </c>
      <c r="D30" s="68">
        <f t="shared" si="10"/>
        <v>49520642.455583237</v>
      </c>
      <c r="E30" s="68">
        <f t="shared" si="10"/>
        <v>70378707.946425408</v>
      </c>
      <c r="F30" s="68">
        <f t="shared" si="10"/>
        <v>96975370.744521379</v>
      </c>
      <c r="G30" s="68">
        <f t="shared" si="10"/>
        <v>130933395.979258</v>
      </c>
    </row>
    <row r="31" spans="1:8">
      <c r="A31" s="8" t="s">
        <v>78</v>
      </c>
      <c r="B31" s="25">
        <f>'3'!J8</f>
        <v>361040553.33333337</v>
      </c>
      <c r="C31" s="25">
        <f>'3'!J9</f>
        <v>304409908.32247949</v>
      </c>
      <c r="D31" s="25">
        <f>'3'!J10</f>
        <v>229574573.04030421</v>
      </c>
      <c r="E31" s="25">
        <f>'3'!J11</f>
        <v>130682402.45453346</v>
      </c>
      <c r="F31" s="25">
        <f>'3'!J12</f>
        <v>0</v>
      </c>
      <c r="G31" s="25">
        <f>'3'!J13</f>
        <v>0</v>
      </c>
    </row>
    <row r="32" spans="1:8" ht="15.75" thickBot="1">
      <c r="A32" s="65" t="s">
        <v>75</v>
      </c>
      <c r="B32" s="72">
        <f>B30+B31</f>
        <v>361040553.33333337</v>
      </c>
      <c r="C32" s="72">
        <f t="shared" ref="C32:G32" si="11">C30+C31</f>
        <v>337563896.57586181</v>
      </c>
      <c r="D32" s="72">
        <f t="shared" si="11"/>
        <v>279095215.49588746</v>
      </c>
      <c r="E32" s="72">
        <f t="shared" si="11"/>
        <v>201061110.40095887</v>
      </c>
      <c r="F32" s="72">
        <f t="shared" si="11"/>
        <v>96975370.744521379</v>
      </c>
      <c r="G32" s="72">
        <f t="shared" si="11"/>
        <v>130933395.979258</v>
      </c>
    </row>
    <row r="33" spans="1:7" ht="15.75" thickTop="1">
      <c r="A33" s="249" t="s">
        <v>79</v>
      </c>
      <c r="B33" s="249"/>
      <c r="C33" s="249"/>
      <c r="D33" s="249"/>
      <c r="E33" s="249"/>
      <c r="F33" s="249"/>
      <c r="G33" s="249"/>
    </row>
    <row r="34" spans="1:7">
      <c r="A34" s="8" t="s">
        <v>80</v>
      </c>
      <c r="B34" s="26">
        <f>'3'!D15</f>
        <v>100000000</v>
      </c>
      <c r="C34" s="26">
        <f>B34</f>
        <v>100000000</v>
      </c>
      <c r="D34" s="26">
        <f t="shared" ref="D34:G34" si="12">C34</f>
        <v>100000000</v>
      </c>
      <c r="E34" s="26">
        <f t="shared" si="12"/>
        <v>100000000</v>
      </c>
      <c r="F34" s="26">
        <f t="shared" si="12"/>
        <v>100000000</v>
      </c>
      <c r="G34" s="26">
        <f t="shared" si="12"/>
        <v>100000000</v>
      </c>
    </row>
    <row r="35" spans="1:7">
      <c r="A35" s="8" t="s">
        <v>81</v>
      </c>
      <c r="B35" s="8">
        <v>0</v>
      </c>
      <c r="C35" s="68">
        <f>C17</f>
        <v>61571692.470567212</v>
      </c>
      <c r="D35" s="68">
        <f>D17</f>
        <v>91966907.417511731</v>
      </c>
      <c r="E35" s="68">
        <f>E17</f>
        <v>130703314.75764719</v>
      </c>
      <c r="F35" s="68">
        <f>F17</f>
        <v>180097117.09696829</v>
      </c>
      <c r="G35" s="68">
        <f>G17</f>
        <v>243162021.10433632</v>
      </c>
    </row>
    <row r="36" spans="1:7" ht="15.75" thickBot="1">
      <c r="A36" s="65" t="s">
        <v>82</v>
      </c>
      <c r="B36" s="72">
        <f>B34+B35</f>
        <v>100000000</v>
      </c>
      <c r="C36" s="72">
        <f t="shared" ref="C36:G36" si="13">C34+C35</f>
        <v>161571692.47056723</v>
      </c>
      <c r="D36" s="72">
        <f t="shared" si="13"/>
        <v>191966907.41751173</v>
      </c>
      <c r="E36" s="72">
        <f t="shared" si="13"/>
        <v>230703314.75764719</v>
      </c>
      <c r="F36" s="72">
        <f t="shared" si="13"/>
        <v>280097117.09696829</v>
      </c>
      <c r="G36" s="72">
        <f t="shared" si="13"/>
        <v>343162021.10433632</v>
      </c>
    </row>
    <row r="37" spans="1:7" ht="15.75" thickTop="1"/>
    <row r="38" spans="1:7" ht="15.75" thickBot="1">
      <c r="A38" s="65" t="s">
        <v>83</v>
      </c>
      <c r="B38" s="72">
        <f>B32+B36</f>
        <v>461040553.33333337</v>
      </c>
      <c r="C38" s="72">
        <f t="shared" ref="C38:G38" si="14">C32+C36</f>
        <v>499135589.04642904</v>
      </c>
      <c r="D38" s="72">
        <f t="shared" si="14"/>
        <v>471062122.91339922</v>
      </c>
      <c r="E38" s="72">
        <f t="shared" si="14"/>
        <v>431764425.15860605</v>
      </c>
      <c r="F38" s="72">
        <f t="shared" si="14"/>
        <v>377072487.84148967</v>
      </c>
      <c r="G38" s="72">
        <f t="shared" si="14"/>
        <v>474095417.08359432</v>
      </c>
    </row>
    <row r="39" spans="1:7" ht="15.75" thickTop="1">
      <c r="A39" s="61" t="s">
        <v>90</v>
      </c>
      <c r="B39" s="73">
        <f>B27-B38</f>
        <v>0</v>
      </c>
      <c r="C39" s="73">
        <f t="shared" ref="C39:G39" si="15">C27-C38</f>
        <v>0</v>
      </c>
      <c r="D39" s="73">
        <f t="shared" si="15"/>
        <v>0</v>
      </c>
      <c r="E39" s="73">
        <f t="shared" si="15"/>
        <v>0</v>
      </c>
      <c r="F39" s="73">
        <f t="shared" si="15"/>
        <v>0</v>
      </c>
      <c r="G39" s="73">
        <f t="shared" si="15"/>
        <v>0</v>
      </c>
    </row>
    <row r="41" spans="1:7" ht="15.75">
      <c r="A41" s="250" t="s">
        <v>96</v>
      </c>
      <c r="B41" s="250"/>
      <c r="C41" s="250"/>
      <c r="D41" s="250"/>
      <c r="E41" s="250"/>
      <c r="F41" s="250"/>
      <c r="G41" s="250"/>
    </row>
    <row r="42" spans="1:7">
      <c r="A42" s="249" t="s">
        <v>97</v>
      </c>
      <c r="B42" s="249"/>
      <c r="C42" s="249"/>
      <c r="D42" s="249"/>
      <c r="E42" s="249"/>
      <c r="F42" s="249"/>
      <c r="G42" s="249"/>
    </row>
    <row r="43" spans="1:7" ht="23.25">
      <c r="A43" s="11"/>
      <c r="B43" s="71" t="s">
        <v>84</v>
      </c>
      <c r="C43" s="63">
        <f>C20</f>
        <v>2024</v>
      </c>
      <c r="D43" s="63">
        <f t="shared" ref="D43:G43" si="16">D20</f>
        <v>2025</v>
      </c>
      <c r="E43" s="63">
        <f t="shared" si="16"/>
        <v>2026</v>
      </c>
      <c r="F43" s="63">
        <f t="shared" si="16"/>
        <v>2027</v>
      </c>
      <c r="G43" s="63">
        <f t="shared" si="16"/>
        <v>2028</v>
      </c>
    </row>
    <row r="44" spans="1:7">
      <c r="A44" s="1" t="s">
        <v>98</v>
      </c>
      <c r="B44" s="2">
        <f>B22</f>
        <v>378990553.33333337</v>
      </c>
      <c r="C44" s="2">
        <f t="shared" ref="C44:G44" si="17">C22</f>
        <v>428073589.04642904</v>
      </c>
      <c r="D44" s="2">
        <f t="shared" si="17"/>
        <v>410988122.91339922</v>
      </c>
      <c r="E44" s="2">
        <f t="shared" si="17"/>
        <v>382678425.15860605</v>
      </c>
      <c r="F44" s="2">
        <f t="shared" si="17"/>
        <v>338974487.84148967</v>
      </c>
      <c r="G44" s="2">
        <f t="shared" si="17"/>
        <v>446985417.08359432</v>
      </c>
    </row>
    <row r="45" spans="1:7" ht="15.75" thickBot="1">
      <c r="A45" s="1" t="s">
        <v>99</v>
      </c>
      <c r="B45" s="3">
        <f>B29</f>
        <v>0</v>
      </c>
      <c r="C45" s="3">
        <f t="shared" ref="C45:G45" si="18">C29</f>
        <v>33153988.25338234</v>
      </c>
      <c r="D45" s="3">
        <f t="shared" si="18"/>
        <v>49520642.455583237</v>
      </c>
      <c r="E45" s="3">
        <f t="shared" si="18"/>
        <v>70378707.946425408</v>
      </c>
      <c r="F45" s="3">
        <f t="shared" si="18"/>
        <v>96975370.744521379</v>
      </c>
      <c r="G45" s="3">
        <f t="shared" si="18"/>
        <v>130933395.979258</v>
      </c>
    </row>
    <row r="46" spans="1:7" ht="15.75" thickTop="1">
      <c r="A46" s="4" t="s">
        <v>100</v>
      </c>
      <c r="B46" s="5">
        <f t="shared" ref="B46:G46" si="19">B44-B45</f>
        <v>378990553.33333337</v>
      </c>
      <c r="C46" s="5">
        <f t="shared" si="19"/>
        <v>394919600.79304671</v>
      </c>
      <c r="D46" s="5">
        <f t="shared" si="19"/>
        <v>361467480.457816</v>
      </c>
      <c r="E46" s="5">
        <f t="shared" si="19"/>
        <v>312299717.21218061</v>
      </c>
      <c r="F46" s="5">
        <f t="shared" si="19"/>
        <v>241999117.09696829</v>
      </c>
      <c r="G46" s="5">
        <f t="shared" si="19"/>
        <v>316052021.10433632</v>
      </c>
    </row>
    <row r="47" spans="1:7">
      <c r="A47" s="1"/>
      <c r="B47" s="2"/>
      <c r="C47" s="2"/>
      <c r="D47" s="2"/>
      <c r="E47" s="2"/>
      <c r="F47" s="2"/>
      <c r="G47" s="2"/>
    </row>
    <row r="48" spans="1:7">
      <c r="A48" s="4" t="s">
        <v>101</v>
      </c>
      <c r="B48" s="2">
        <f>B26</f>
        <v>82050000</v>
      </c>
      <c r="C48" s="2">
        <f t="shared" ref="C48:G48" si="20">C26</f>
        <v>71062000</v>
      </c>
      <c r="D48" s="2">
        <f t="shared" si="20"/>
        <v>60074000</v>
      </c>
      <c r="E48" s="2">
        <f t="shared" si="20"/>
        <v>49086000</v>
      </c>
      <c r="F48" s="2">
        <f t="shared" si="20"/>
        <v>38098000</v>
      </c>
      <c r="G48" s="2">
        <f t="shared" si="20"/>
        <v>27110000</v>
      </c>
    </row>
    <row r="49" spans="1:7" ht="15.75" thickBot="1">
      <c r="A49" s="1" t="s">
        <v>102</v>
      </c>
      <c r="B49" s="3">
        <f>B25</f>
        <v>0</v>
      </c>
      <c r="C49" s="3">
        <f t="shared" ref="C49:G49" si="21">C25</f>
        <v>10988000</v>
      </c>
      <c r="D49" s="3">
        <f t="shared" si="21"/>
        <v>21976000</v>
      </c>
      <c r="E49" s="3">
        <f t="shared" si="21"/>
        <v>32964000</v>
      </c>
      <c r="F49" s="3">
        <f t="shared" si="21"/>
        <v>43952000</v>
      </c>
      <c r="G49" s="3">
        <f t="shared" si="21"/>
        <v>54940000</v>
      </c>
    </row>
    <row r="50" spans="1:7" ht="15.75" thickTop="1">
      <c r="A50" s="4" t="s">
        <v>103</v>
      </c>
      <c r="B50" s="5">
        <f t="shared" ref="B50:G50" si="22">B48+B49</f>
        <v>82050000</v>
      </c>
      <c r="C50" s="5">
        <f t="shared" si="22"/>
        <v>82050000</v>
      </c>
      <c r="D50" s="5">
        <f t="shared" si="22"/>
        <v>82050000</v>
      </c>
      <c r="E50" s="5">
        <f t="shared" si="22"/>
        <v>82050000</v>
      </c>
      <c r="F50" s="5">
        <f t="shared" si="22"/>
        <v>82050000</v>
      </c>
      <c r="G50" s="5">
        <f t="shared" si="22"/>
        <v>82050000</v>
      </c>
    </row>
    <row r="51" spans="1:7">
      <c r="A51" s="1"/>
      <c r="B51" s="2"/>
      <c r="C51" s="2"/>
      <c r="D51" s="2"/>
      <c r="E51" s="2"/>
      <c r="F51" s="2"/>
      <c r="G51" s="2"/>
    </row>
    <row r="52" spans="1:7" ht="15.75" thickBot="1">
      <c r="A52" s="12" t="s">
        <v>104</v>
      </c>
      <c r="B52" s="6">
        <f t="shared" ref="B52:G52" si="23">B46+B48</f>
        <v>461040553.33333337</v>
      </c>
      <c r="C52" s="6">
        <f t="shared" si="23"/>
        <v>465981600.79304671</v>
      </c>
      <c r="D52" s="6">
        <f t="shared" si="23"/>
        <v>421541480.457816</v>
      </c>
      <c r="E52" s="6">
        <f t="shared" si="23"/>
        <v>361385717.21218061</v>
      </c>
      <c r="F52" s="6">
        <f t="shared" si="23"/>
        <v>280097117.09696829</v>
      </c>
      <c r="G52" s="6">
        <f t="shared" si="23"/>
        <v>343162021.10433632</v>
      </c>
    </row>
    <row r="53" spans="1:7" ht="15.75" thickTop="1">
      <c r="A53" s="7"/>
      <c r="B53" s="2"/>
      <c r="C53" s="2"/>
      <c r="D53" s="2"/>
      <c r="E53" s="2"/>
      <c r="F53" s="2"/>
      <c r="G53" s="2"/>
    </row>
    <row r="54" spans="1:7">
      <c r="A54" s="248" t="s">
        <v>105</v>
      </c>
      <c r="B54" s="248"/>
      <c r="C54" s="248"/>
      <c r="D54" s="248"/>
      <c r="E54" s="248"/>
      <c r="F54" s="248"/>
      <c r="G54" s="248"/>
    </row>
    <row r="55" spans="1:7">
      <c r="A55" s="1" t="s">
        <v>106</v>
      </c>
      <c r="C55" s="9">
        <f>C13</f>
        <v>210787072.00000018</v>
      </c>
      <c r="D55" s="9">
        <f t="shared" ref="D55:G55" si="24">D13</f>
        <v>239344250.87782419</v>
      </c>
      <c r="E55" s="9">
        <f t="shared" si="24"/>
        <v>274881888.40520632</v>
      </c>
      <c r="F55" s="9">
        <f t="shared" si="24"/>
        <v>319082121.67386061</v>
      </c>
      <c r="G55" s="9">
        <f t="shared" si="24"/>
        <v>374095417.08359432</v>
      </c>
    </row>
    <row r="56" spans="1:7" ht="15.75" thickBot="1">
      <c r="A56" s="1" t="s">
        <v>107</v>
      </c>
      <c r="C56" s="10">
        <f>C55*'1'!$AB$7</f>
        <v>73775475.200000063</v>
      </c>
      <c r="D56" s="10">
        <f>D55*'1'!$AB$7</f>
        <v>83770487.80723846</v>
      </c>
      <c r="E56" s="10">
        <f>E55*'1'!$AB$7</f>
        <v>96208660.941822201</v>
      </c>
      <c r="F56" s="10">
        <f>F55*'1'!$AB$7</f>
        <v>111678742.58585121</v>
      </c>
      <c r="G56" s="10">
        <f>G55*'1'!$AB$7</f>
        <v>130933395.979258</v>
      </c>
    </row>
    <row r="57" spans="1:7" ht="15.75" thickTop="1">
      <c r="A57" s="4" t="s">
        <v>108</v>
      </c>
      <c r="C57" s="9">
        <f>C55-C56</f>
        <v>137011596.80000013</v>
      </c>
      <c r="D57" s="9">
        <f>D55-D56</f>
        <v>155573763.07058573</v>
      </c>
      <c r="E57" s="9">
        <f>E55-E56</f>
        <v>178673227.46338412</v>
      </c>
      <c r="F57" s="9">
        <f>F55-F56</f>
        <v>207403379.08800942</v>
      </c>
      <c r="G57" s="9">
        <f>G55-G56</f>
        <v>243162021.10433632</v>
      </c>
    </row>
    <row r="58" spans="1:7" ht="15.75" thickBot="1">
      <c r="A58" s="1" t="s">
        <v>109</v>
      </c>
      <c r="C58" s="10">
        <f>-(C52-B52)</f>
        <v>-4941047.4597133398</v>
      </c>
      <c r="D58" s="10">
        <f t="shared" ref="D58:G58" si="25">-(D52-C52)</f>
        <v>44440120.335230708</v>
      </c>
      <c r="E58" s="10">
        <f t="shared" si="25"/>
        <v>60155763.24563539</v>
      </c>
      <c r="F58" s="10">
        <f t="shared" si="25"/>
        <v>81288600.115212321</v>
      </c>
      <c r="G58" s="10">
        <f t="shared" si="25"/>
        <v>-63064904.007368028</v>
      </c>
    </row>
    <row r="59" spans="1:7" ht="16.5" thickTop="1" thickBot="1">
      <c r="A59" s="60" t="s">
        <v>110</v>
      </c>
      <c r="B59" s="61"/>
      <c r="C59" s="62">
        <f>SUM(C57:C58)</f>
        <v>132070549.34028679</v>
      </c>
      <c r="D59" s="62">
        <f t="shared" ref="D59:G59" si="26">SUM(D57:D58)</f>
        <v>200013883.40581644</v>
      </c>
      <c r="E59" s="62">
        <f t="shared" si="26"/>
        <v>238828990.70901951</v>
      </c>
      <c r="F59" s="62">
        <f t="shared" si="26"/>
        <v>288691979.20322174</v>
      </c>
      <c r="G59" s="62">
        <f t="shared" si="26"/>
        <v>180097117.09696829</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E10" sqref="E10"/>
    </sheetView>
  </sheetViews>
  <sheetFormatPr baseColWidth="10" defaultRowHeight="15"/>
  <cols>
    <col min="1" max="1" width="11.42578125" style="8"/>
    <col min="2" max="2" width="32.5703125" style="8" customWidth="1"/>
    <col min="3" max="3" width="24.28515625" style="8" bestFit="1" customWidth="1"/>
    <col min="4" max="4" width="36.28515625" style="8" bestFit="1" customWidth="1"/>
    <col min="5" max="5" width="27.140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222" t="s">
        <v>131</v>
      </c>
      <c r="C2" s="222"/>
      <c r="D2" s="222"/>
      <c r="E2" s="222"/>
      <c r="F2" s="222"/>
      <c r="G2" s="222"/>
      <c r="H2" s="222"/>
    </row>
    <row r="3" spans="2:16" ht="15.75" customHeight="1">
      <c r="B3" s="256" t="s">
        <v>159</v>
      </c>
      <c r="C3" s="256"/>
      <c r="D3" s="256"/>
      <c r="E3" s="257">
        <f>(1+0.1064)*(1+0.0928)-1</f>
        <v>0.20907392000000002</v>
      </c>
      <c r="F3" s="257"/>
    </row>
    <row r="4" spans="2:16" ht="16.5" customHeight="1">
      <c r="B4" s="256"/>
      <c r="C4" s="256"/>
      <c r="D4" s="256"/>
      <c r="E4" s="257"/>
      <c r="F4" s="257"/>
      <c r="O4" s="103"/>
    </row>
    <row r="5" spans="2:16" ht="16.5" customHeight="1">
      <c r="B5" s="254"/>
      <c r="C5" s="254"/>
      <c r="D5" s="254"/>
      <c r="E5" s="141"/>
      <c r="F5" s="141"/>
      <c r="O5" s="103"/>
    </row>
    <row r="6" spans="2:16" ht="15.75" thickBot="1">
      <c r="O6" s="103"/>
      <c r="P6" s="106"/>
    </row>
    <row r="7" spans="2:16" ht="23.25">
      <c r="B7" s="102" t="s">
        <v>111</v>
      </c>
      <c r="C7" s="86" t="s">
        <v>112</v>
      </c>
      <c r="D7" s="87">
        <f>'4'!C20</f>
        <v>2024</v>
      </c>
      <c r="E7" s="87">
        <f>'4'!D20</f>
        <v>2025</v>
      </c>
      <c r="F7" s="87">
        <f>'4'!E20</f>
        <v>2026</v>
      </c>
      <c r="G7" s="87">
        <f>'4'!F20</f>
        <v>2027</v>
      </c>
      <c r="H7" s="88">
        <f>'4'!G20</f>
        <v>2028</v>
      </c>
      <c r="O7" s="103"/>
      <c r="P7" s="105"/>
    </row>
    <row r="8" spans="2:16" ht="19.5" thickBot="1">
      <c r="B8" s="89"/>
      <c r="C8" s="111">
        <f>-'3'!D14</f>
        <v>-461040553.33333337</v>
      </c>
      <c r="D8" s="111">
        <f>'4'!C59</f>
        <v>132070549.34028679</v>
      </c>
      <c r="E8" s="111">
        <f>'4'!D59</f>
        <v>200013883.40581644</v>
      </c>
      <c r="F8" s="111">
        <f>'4'!E59</f>
        <v>238828990.70901951</v>
      </c>
      <c r="G8" s="111">
        <f>'4'!F59</f>
        <v>288691979.20322174</v>
      </c>
      <c r="H8" s="112">
        <f>'4'!G59</f>
        <v>180097117.09696829</v>
      </c>
      <c r="O8" s="103"/>
      <c r="P8" s="105"/>
    </row>
    <row r="9" spans="2:16" ht="15.75" thickBot="1">
      <c r="C9" s="74">
        <f>C8/(1+$E$3)^0</f>
        <v>-461040553.33333337</v>
      </c>
      <c r="D9" s="74">
        <f>D8/(1+$E$3)^1</f>
        <v>109232816.25352302</v>
      </c>
      <c r="E9" s="74">
        <f>E8/(1+$E$3)^2</f>
        <v>136821527.66258124</v>
      </c>
      <c r="F9" s="74">
        <f>F8/(1+$E$3)^3</f>
        <v>135122752.37797537</v>
      </c>
      <c r="G9" s="74">
        <f>G8/(1+$E$3)^4</f>
        <v>135090031.88504839</v>
      </c>
      <c r="H9" s="74">
        <f>H8/(1+$E$3)^5</f>
        <v>69701559.278808653</v>
      </c>
      <c r="O9" s="103"/>
      <c r="P9" s="105"/>
    </row>
    <row r="10" spans="2:16" ht="24" thickBot="1">
      <c r="B10" s="30" t="s">
        <v>113</v>
      </c>
      <c r="C10" s="31"/>
      <c r="D10" s="113">
        <f>NPV(E3,D8:H8)+$C$8</f>
        <v>124928134.12460351</v>
      </c>
      <c r="O10" s="103"/>
      <c r="P10" s="105"/>
    </row>
    <row r="11" spans="2:16" ht="28.5" thickBot="1">
      <c r="B11" s="110" t="s">
        <v>114</v>
      </c>
      <c r="C11" s="31"/>
      <c r="D11" s="114">
        <f>IF(ISERROR(IRR(C8:H8)),"NO_APLICA",(IRR(C8:H8)))</f>
        <v>0.31754884816461781</v>
      </c>
      <c r="F11" s="107" t="s">
        <v>136</v>
      </c>
      <c r="G11" s="31"/>
      <c r="H11" s="108">
        <f>IF(ISERROR(-C9/AVERAGE(D9:H9)),"NO_APLICA",(-C9/AVERAGE(D9:H9)))</f>
        <v>3.9340033281763773</v>
      </c>
      <c r="I11" s="109" t="s">
        <v>63</v>
      </c>
      <c r="P11" s="104"/>
    </row>
    <row r="13" spans="2:16" ht="18.75">
      <c r="B13" s="258" t="s">
        <v>118</v>
      </c>
      <c r="C13" s="258"/>
      <c r="D13" s="258"/>
      <c r="E13" s="258"/>
      <c r="F13" s="258"/>
      <c r="G13" s="258"/>
      <c r="H13" s="258"/>
    </row>
    <row r="14" spans="2:16" ht="36.75">
      <c r="B14" s="90" t="str">
        <f>'1'!B2</f>
        <v>NOMBRE DEL PRODUCTO O SERVICIO</v>
      </c>
      <c r="C14" s="90" t="s">
        <v>119</v>
      </c>
      <c r="D14" s="90" t="s">
        <v>120</v>
      </c>
      <c r="E14" s="90" t="s">
        <v>121</v>
      </c>
      <c r="F14" s="90" t="s">
        <v>123</v>
      </c>
      <c r="H14" s="74"/>
      <c r="I14" s="74"/>
      <c r="J14" s="74" t="s">
        <v>127</v>
      </c>
    </row>
    <row r="15" spans="2:16">
      <c r="B15" s="38" t="str">
        <f>'1'!B3</f>
        <v>Valera</v>
      </c>
      <c r="C15" s="91">
        <f>'1'!D3-'1'!D17</f>
        <v>139000</v>
      </c>
      <c r="D15" s="92">
        <f>'1'!F3</f>
        <v>0.5960264900662251</v>
      </c>
      <c r="E15" s="91">
        <f>C15*D15</f>
        <v>82847.682119205288</v>
      </c>
      <c r="F15" s="93">
        <f t="shared" ref="F15:F24" si="0">$E$28*D15</f>
        <v>1952.244496998984</v>
      </c>
      <c r="G15" s="38" t="s">
        <v>122</v>
      </c>
      <c r="H15" s="75">
        <f>'1'!D3</f>
        <v>200000</v>
      </c>
      <c r="I15" s="94">
        <f t="shared" ref="I15:I24" si="1">$B$35*D15</f>
        <v>3904.4889939979676</v>
      </c>
      <c r="J15" s="75">
        <f>'1'!D17</f>
        <v>61000</v>
      </c>
    </row>
    <row r="16" spans="2:16">
      <c r="B16" s="95" t="str">
        <f>'1'!B4</f>
        <v>Bienestar Básico</v>
      </c>
      <c r="C16" s="91">
        <f>'1'!D4-'1'!D18</f>
        <v>208500</v>
      </c>
      <c r="D16" s="92">
        <f>'1'!F4</f>
        <v>0.27814569536423839</v>
      </c>
      <c r="E16" s="91">
        <f t="shared" ref="E16:E24" si="2">C16*D16</f>
        <v>57993.377483443706</v>
      </c>
      <c r="F16" s="93">
        <f t="shared" si="0"/>
        <v>911.04743193285924</v>
      </c>
      <c r="G16" s="38" t="str">
        <f>G15</f>
        <v>UNIDADES</v>
      </c>
      <c r="H16" s="75">
        <f>'1'!D4</f>
        <v>300000</v>
      </c>
      <c r="I16" s="94">
        <f t="shared" si="1"/>
        <v>1822.0948638657183</v>
      </c>
      <c r="J16" s="75">
        <f>'1'!D18</f>
        <v>91500</v>
      </c>
    </row>
    <row r="17" spans="2:10">
      <c r="B17" s="95" t="str">
        <f>'1'!B5</f>
        <v>Bienestar Integral</v>
      </c>
      <c r="C17" s="91">
        <f>'1'!D5-'1'!D19</f>
        <v>113600</v>
      </c>
      <c r="D17" s="92">
        <f>'1'!F5</f>
        <v>0.1258278145695364</v>
      </c>
      <c r="E17" s="91">
        <f t="shared" si="2"/>
        <v>14294.039735099335</v>
      </c>
      <c r="F17" s="93">
        <f t="shared" si="0"/>
        <v>412.14050492200772</v>
      </c>
      <c r="G17" s="38" t="str">
        <f t="shared" ref="G17:G24" si="3">G16</f>
        <v>UNIDADES</v>
      </c>
      <c r="H17" s="75">
        <f>'1'!D5</f>
        <v>380000</v>
      </c>
      <c r="I17" s="94">
        <f t="shared" si="1"/>
        <v>824.28100984401533</v>
      </c>
      <c r="J17" s="75">
        <f>'1'!D19</f>
        <v>266400</v>
      </c>
    </row>
    <row r="18" spans="2:10">
      <c r="B18" s="95">
        <f>'1'!B6</f>
        <v>0</v>
      </c>
      <c r="C18" s="91">
        <f>'1'!D6-'1'!D20</f>
        <v>0</v>
      </c>
      <c r="D18" s="92">
        <f>'1'!F6</f>
        <v>0</v>
      </c>
      <c r="E18" s="91">
        <f t="shared" si="2"/>
        <v>0</v>
      </c>
      <c r="F18" s="93">
        <f t="shared" si="0"/>
        <v>0</v>
      </c>
      <c r="G18" s="38" t="str">
        <f t="shared" si="3"/>
        <v>UNIDADES</v>
      </c>
      <c r="H18" s="75">
        <f>'1'!D6</f>
        <v>0</v>
      </c>
      <c r="I18" s="94">
        <f t="shared" si="1"/>
        <v>0</v>
      </c>
      <c r="J18" s="75">
        <f>'1'!D20</f>
        <v>0</v>
      </c>
    </row>
    <row r="19" spans="2:10">
      <c r="B19" s="95">
        <f>'1'!B7</f>
        <v>0</v>
      </c>
      <c r="C19" s="91">
        <f>'1'!D7-'1'!D21</f>
        <v>0</v>
      </c>
      <c r="D19" s="92">
        <f>'1'!F7</f>
        <v>0</v>
      </c>
      <c r="E19" s="91">
        <f t="shared" si="2"/>
        <v>0</v>
      </c>
      <c r="F19" s="93">
        <f t="shared" si="0"/>
        <v>0</v>
      </c>
      <c r="G19" s="38" t="str">
        <f t="shared" si="3"/>
        <v>UNIDADES</v>
      </c>
      <c r="H19" s="75">
        <f>'1'!D7</f>
        <v>0</v>
      </c>
      <c r="I19" s="94">
        <f t="shared" si="1"/>
        <v>0</v>
      </c>
      <c r="J19" s="75">
        <f>'1'!D21</f>
        <v>0</v>
      </c>
    </row>
    <row r="20" spans="2:10">
      <c r="B20" s="95">
        <f>'1'!B8</f>
        <v>0</v>
      </c>
      <c r="C20" s="91">
        <f>'1'!D8-'1'!D22</f>
        <v>0</v>
      </c>
      <c r="D20" s="92">
        <f>'1'!F8</f>
        <v>0</v>
      </c>
      <c r="E20" s="91">
        <f t="shared" si="2"/>
        <v>0</v>
      </c>
      <c r="F20" s="93">
        <f t="shared" si="0"/>
        <v>0</v>
      </c>
      <c r="G20" s="38" t="str">
        <f t="shared" si="3"/>
        <v>UNIDADES</v>
      </c>
      <c r="H20" s="75">
        <f>'1'!D8</f>
        <v>0</v>
      </c>
      <c r="I20" s="94">
        <f t="shared" si="1"/>
        <v>0</v>
      </c>
      <c r="J20" s="75">
        <f>'1'!D22</f>
        <v>0</v>
      </c>
    </row>
    <row r="21" spans="2:10">
      <c r="B21" s="95">
        <f>'1'!B9</f>
        <v>0</v>
      </c>
      <c r="C21" s="91">
        <f>'1'!D9-'1'!D23</f>
        <v>0</v>
      </c>
      <c r="D21" s="92">
        <f>'1'!F9</f>
        <v>0</v>
      </c>
      <c r="E21" s="91">
        <f t="shared" si="2"/>
        <v>0</v>
      </c>
      <c r="F21" s="93">
        <f t="shared" si="0"/>
        <v>0</v>
      </c>
      <c r="G21" s="38" t="str">
        <f t="shared" si="3"/>
        <v>UNIDADES</v>
      </c>
      <c r="H21" s="75">
        <f>'1'!D9</f>
        <v>0</v>
      </c>
      <c r="I21" s="94">
        <f t="shared" si="1"/>
        <v>0</v>
      </c>
      <c r="J21" s="75">
        <f>'1'!D23</f>
        <v>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6.25">
      <c r="C25" s="26"/>
      <c r="D25" s="96"/>
      <c r="E25" s="26"/>
      <c r="F25" s="97">
        <f>SUM(F15:F24)</f>
        <v>3275.4324338538509</v>
      </c>
      <c r="G25" s="8" t="str">
        <f>G24</f>
        <v>UNIDADES</v>
      </c>
      <c r="H25" s="75"/>
      <c r="I25" s="94"/>
      <c r="J25" s="75"/>
    </row>
    <row r="26" spans="2:10" ht="12.75" customHeight="1">
      <c r="C26" s="26"/>
      <c r="D26" s="96"/>
      <c r="E26" s="26"/>
      <c r="F26" s="97"/>
      <c r="H26" s="75"/>
      <c r="I26" s="94"/>
      <c r="J26" s="75"/>
    </row>
    <row r="27" spans="2:10" ht="21" customHeight="1">
      <c r="B27" s="255" t="s">
        <v>130</v>
      </c>
      <c r="C27" s="255"/>
      <c r="D27" s="255"/>
      <c r="E27" s="98">
        <f>SUM(E15:E24)</f>
        <v>155135.09933774834</v>
      </c>
      <c r="H27" s="74"/>
      <c r="I27" s="74"/>
      <c r="J27" s="74"/>
    </row>
    <row r="28" spans="2:10" ht="19.5" customHeight="1">
      <c r="B28" s="255" t="s">
        <v>129</v>
      </c>
      <c r="C28" s="255"/>
      <c r="D28" s="255"/>
      <c r="E28" s="97">
        <f>IF(E27=0,0,('2'!C23+'2'!F31+'2'!C25)/'5'!E27)</f>
        <v>3275.4324338538513</v>
      </c>
      <c r="F28" s="99" t="s">
        <v>122</v>
      </c>
      <c r="H28" s="100"/>
    </row>
    <row r="29" spans="2:10" ht="26.25">
      <c r="B29" s="255" t="s">
        <v>153</v>
      </c>
      <c r="C29" s="255"/>
      <c r="D29" s="255"/>
      <c r="E29" s="98">
        <f>E49</f>
        <v>820376520.85001755</v>
      </c>
    </row>
    <row r="30" spans="2:10">
      <c r="B30" s="136"/>
      <c r="C30" s="136"/>
      <c r="D30" s="136"/>
      <c r="E30" s="136"/>
      <c r="F30" s="136"/>
      <c r="G30" s="136"/>
    </row>
    <row r="31" spans="2:10" s="74" customFormat="1"/>
    <row r="32" spans="2:10" s="74" customFormat="1">
      <c r="C32" s="74" t="s">
        <v>124</v>
      </c>
      <c r="D32" s="74" t="s">
        <v>125</v>
      </c>
      <c r="E32" s="74" t="s">
        <v>128</v>
      </c>
      <c r="F32" s="74" t="s">
        <v>126</v>
      </c>
    </row>
    <row r="33" spans="2:6" s="74" customFormat="1">
      <c r="B33" s="74">
        <v>0</v>
      </c>
      <c r="C33" s="75">
        <f>'2'!C25+'2'!F31+'2'!C23</f>
        <v>508134536.00000006</v>
      </c>
      <c r="D33" s="74">
        <f>0</f>
        <v>0</v>
      </c>
      <c r="E33" s="74">
        <v>0</v>
      </c>
      <c r="F33" s="75">
        <f>C33+E33</f>
        <v>508134536.00000006</v>
      </c>
    </row>
    <row r="34" spans="2:6" s="74" customFormat="1">
      <c r="B34" s="94">
        <f>F25</f>
        <v>3275.4324338538509</v>
      </c>
      <c r="C34" s="75">
        <f>C33</f>
        <v>508134536.00000006</v>
      </c>
      <c r="D34" s="137">
        <f>SUMPRODUCT(F15:F24,H15:H24)</f>
        <v>820376520.85001755</v>
      </c>
      <c r="E34" s="137">
        <f>SUMPRODUCT(F15:F24,J15:J24)</f>
        <v>312241984.85001749</v>
      </c>
      <c r="F34" s="75">
        <f t="shared" ref="F34:F35" si="4">C34+E34</f>
        <v>820376520.85001755</v>
      </c>
    </row>
    <row r="35" spans="2:6" s="74" customFormat="1">
      <c r="B35" s="94">
        <f>B34*2</f>
        <v>6550.8648677077017</v>
      </c>
      <c r="C35" s="75">
        <f>C34</f>
        <v>508134536.00000006</v>
      </c>
      <c r="D35" s="137">
        <f>SUMPRODUCT(H15:H24,I15:I24)</f>
        <v>1640753041.7000349</v>
      </c>
      <c r="E35" s="137">
        <f>SUMPRODUCT(I15:I24,J15:J24)</f>
        <v>624483969.70003486</v>
      </c>
      <c r="F35" s="75">
        <f t="shared" si="4"/>
        <v>1132618505.7000349</v>
      </c>
    </row>
    <row r="36" spans="2:6" s="74" customFormat="1">
      <c r="C36" s="75"/>
    </row>
    <row r="37" spans="2:6" s="74" customFormat="1">
      <c r="C37" s="75"/>
    </row>
    <row r="38" spans="2:6" s="74" customFormat="1">
      <c r="C38" s="138" t="s">
        <v>151</v>
      </c>
      <c r="D38" s="74" t="s">
        <v>122</v>
      </c>
      <c r="E38" s="74" t="s">
        <v>152</v>
      </c>
    </row>
    <row r="39" spans="2:6" s="74" customFormat="1">
      <c r="B39" s="74">
        <v>1</v>
      </c>
      <c r="C39" s="75">
        <f>'1'!D3</f>
        <v>200000</v>
      </c>
      <c r="D39" s="94">
        <f>F15</f>
        <v>1952.244496998984</v>
      </c>
      <c r="E39" s="74">
        <f>C39*D39</f>
        <v>390448899.39979678</v>
      </c>
    </row>
    <row r="40" spans="2:6" s="74" customFormat="1">
      <c r="B40" s="74">
        <f>B39+1</f>
        <v>2</v>
      </c>
      <c r="C40" s="75">
        <f>'1'!D4</f>
        <v>300000</v>
      </c>
      <c r="D40" s="94">
        <f t="shared" ref="D40:D48" si="5">F16</f>
        <v>911.04743193285924</v>
      </c>
      <c r="E40" s="74">
        <f t="shared" ref="E40:E48" si="6">C40*D40</f>
        <v>273314229.57985777</v>
      </c>
    </row>
    <row r="41" spans="2:6" s="74" customFormat="1">
      <c r="B41" s="74">
        <f t="shared" ref="B41:B48" si="7">B40+1</f>
        <v>3</v>
      </c>
      <c r="C41" s="75">
        <f>'1'!D5</f>
        <v>380000</v>
      </c>
      <c r="D41" s="94">
        <f t="shared" si="5"/>
        <v>412.14050492200772</v>
      </c>
      <c r="E41" s="74">
        <f t="shared" si="6"/>
        <v>156613391.87036294</v>
      </c>
    </row>
    <row r="42" spans="2:6" s="74" customFormat="1">
      <c r="B42" s="74">
        <f t="shared" si="7"/>
        <v>4</v>
      </c>
      <c r="C42" s="75">
        <f>'1'!D6</f>
        <v>0</v>
      </c>
      <c r="D42" s="94">
        <f t="shared" si="5"/>
        <v>0</v>
      </c>
      <c r="E42" s="74">
        <f t="shared" si="6"/>
        <v>0</v>
      </c>
    </row>
    <row r="43" spans="2:6" s="74" customFormat="1">
      <c r="B43" s="74">
        <f t="shared" si="7"/>
        <v>5</v>
      </c>
      <c r="C43" s="75">
        <f>'1'!D7</f>
        <v>0</v>
      </c>
      <c r="D43" s="94">
        <f t="shared" si="5"/>
        <v>0</v>
      </c>
      <c r="E43" s="74">
        <f t="shared" si="6"/>
        <v>0</v>
      </c>
    </row>
    <row r="44" spans="2:6" s="74" customFormat="1">
      <c r="B44" s="74">
        <f t="shared" si="7"/>
        <v>6</v>
      </c>
      <c r="C44" s="75">
        <f>'1'!D8</f>
        <v>0</v>
      </c>
      <c r="D44" s="94">
        <f t="shared" si="5"/>
        <v>0</v>
      </c>
      <c r="E44" s="74">
        <f t="shared" si="6"/>
        <v>0</v>
      </c>
    </row>
    <row r="45" spans="2:6" s="74" customFormat="1">
      <c r="B45" s="74">
        <f t="shared" si="7"/>
        <v>7</v>
      </c>
      <c r="C45" s="75">
        <f>'1'!D9</f>
        <v>0</v>
      </c>
      <c r="D45" s="94">
        <f t="shared" si="5"/>
        <v>0</v>
      </c>
      <c r="E45" s="74">
        <f t="shared" si="6"/>
        <v>0</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9">
        <f>SUM(E39:E48)</f>
        <v>820376520.85001755</v>
      </c>
    </row>
    <row r="50" spans="2:8" s="74" customFormat="1"/>
    <row r="51" spans="2:8" s="74" customFormat="1">
      <c r="C51" s="75"/>
    </row>
    <row r="52" spans="2:8" s="74" customFormat="1">
      <c r="B52" s="253"/>
      <c r="C52" s="253"/>
      <c r="D52" s="253"/>
      <c r="G52" s="74" t="s">
        <v>154</v>
      </c>
      <c r="H52" s="140">
        <f>'4'!B32/'4'!B27</f>
        <v>0.7830993406610377</v>
      </c>
    </row>
    <row r="53" spans="2:8" s="74" customFormat="1">
      <c r="C53" s="75"/>
      <c r="G53" s="74" t="s">
        <v>155</v>
      </c>
      <c r="H53" s="140">
        <f>'4'!B36/'4'!B27</f>
        <v>0.21690065933896224</v>
      </c>
    </row>
    <row r="54" spans="2:8" s="74" customFormat="1">
      <c r="G54" s="74" t="s">
        <v>156</v>
      </c>
      <c r="H54" s="74">
        <f>'1'!AB7</f>
        <v>0.35</v>
      </c>
    </row>
    <row r="55" spans="2:8" s="74" customFormat="1">
      <c r="G55" s="74" t="s">
        <v>157</v>
      </c>
      <c r="H55" s="140">
        <f>'3'!F4</f>
        <v>0.32146358685888698</v>
      </c>
    </row>
    <row r="56" spans="2:8" s="74" customFormat="1">
      <c r="G56" s="74" t="s">
        <v>158</v>
      </c>
    </row>
    <row r="57" spans="2:8" s="74" customFormat="1"/>
    <row r="58" spans="2:8" s="74" customFormat="1"/>
    <row r="59" spans="2:8" s="74" customFormat="1"/>
    <row r="60" spans="2:8" s="74" customFormat="1"/>
    <row r="61" spans="2:8" s="74" customFormat="1"/>
    <row r="62" spans="2:8">
      <c r="B62" s="136"/>
      <c r="C62" s="136"/>
      <c r="D62" s="136"/>
      <c r="E62" s="136"/>
      <c r="F62" s="136"/>
      <c r="G62" s="136"/>
    </row>
    <row r="63" spans="2:8">
      <c r="B63" s="136"/>
      <c r="C63" s="136"/>
      <c r="D63" s="136"/>
      <c r="E63" s="136"/>
      <c r="F63" s="136"/>
      <c r="G63" s="136"/>
    </row>
    <row r="64" spans="2:8">
      <c r="B64" s="136"/>
      <c r="C64" s="136"/>
      <c r="D64" s="136"/>
      <c r="E64" s="136"/>
      <c r="F64" s="136"/>
      <c r="G64" s="136"/>
    </row>
    <row r="65" spans="2:7">
      <c r="B65" s="136"/>
      <c r="C65" s="136"/>
      <c r="D65" s="136"/>
      <c r="E65" s="136"/>
      <c r="F65" s="136"/>
      <c r="G65" s="136"/>
    </row>
    <row r="66" spans="2:7">
      <c r="B66" s="136"/>
      <c r="C66" s="136"/>
      <c r="D66" s="136"/>
      <c r="E66" s="136"/>
      <c r="F66" s="136"/>
      <c r="G66" s="136"/>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7259-6ECD-4279-9EBF-DD2FB14DEC57}">
  <dimension ref="A2:F14"/>
  <sheetViews>
    <sheetView showGridLines="0" workbookViewId="0">
      <selection activeCell="B12" sqref="B12"/>
    </sheetView>
  </sheetViews>
  <sheetFormatPr baseColWidth="10" defaultRowHeight="12.75"/>
  <cols>
    <col min="1" max="1" width="41.42578125" style="204" bestFit="1" customWidth="1"/>
    <col min="2" max="7" width="15.7109375" style="204" customWidth="1"/>
    <col min="8" max="16384" width="11.42578125" style="204"/>
  </cols>
  <sheetData>
    <row r="2" spans="1:6">
      <c r="A2" s="153" t="s">
        <v>277</v>
      </c>
      <c r="B2" s="153">
        <v>2024</v>
      </c>
      <c r="C2" s="153">
        <v>2025</v>
      </c>
      <c r="D2" s="153">
        <v>2026</v>
      </c>
      <c r="E2" s="153">
        <v>2027</v>
      </c>
      <c r="F2" s="153">
        <v>2028</v>
      </c>
    </row>
    <row r="3" spans="1:6">
      <c r="A3" s="155" t="s">
        <v>313</v>
      </c>
      <c r="B3" s="216">
        <f>'4'!C8/'4'!C6</f>
        <v>0.64516556291390736</v>
      </c>
      <c r="C3" s="216">
        <f>'4'!D8/'4'!D6</f>
        <v>0.64516556291390736</v>
      </c>
      <c r="D3" s="216">
        <f>'4'!E8/'4'!E6</f>
        <v>0.64516556291390736</v>
      </c>
      <c r="E3" s="216">
        <f>'4'!F8/'4'!F6</f>
        <v>0.64516556291390725</v>
      </c>
      <c r="F3" s="216">
        <f>'4'!G8/'4'!G6</f>
        <v>0.64516556291390736</v>
      </c>
    </row>
    <row r="4" spans="1:6">
      <c r="A4" s="155" t="s">
        <v>314</v>
      </c>
      <c r="B4" s="216">
        <f>'4'!C13/'4'!C6</f>
        <v>0.18631424832793048</v>
      </c>
      <c r="C4" s="216">
        <f>'4'!D13/'4'!D6</f>
        <v>0.1916739255526928</v>
      </c>
      <c r="D4" s="216">
        <f>'4'!E13/'4'!E6</f>
        <v>0.19804683430260647</v>
      </c>
      <c r="E4" s="216">
        <f>'4'!F13/'4'!F6</f>
        <v>0.20538156106746933</v>
      </c>
      <c r="F4" s="216">
        <f>'4'!G13/'4'!G6</f>
        <v>0.21362180902747757</v>
      </c>
    </row>
    <row r="5" spans="1:6">
      <c r="A5" s="217" t="s">
        <v>315</v>
      </c>
      <c r="B5" s="216">
        <f>'4'!C17/'4'!C6</f>
        <v>5.4423089101651438E-2</v>
      </c>
      <c r="C5" s="216">
        <f>'4'!D17/'4'!D6</f>
        <v>7.3649808177986109E-2</v>
      </c>
      <c r="D5" s="216">
        <f>'4'!E17/'4'!E6</f>
        <v>9.4169091571618069E-2</v>
      </c>
      <c r="E5" s="216">
        <f>'4'!F17/'4'!F6</f>
        <v>0.11592196660561536</v>
      </c>
      <c r="F5" s="216">
        <f>'4'!G17/'4'!G6</f>
        <v>0.13885417586786042</v>
      </c>
    </row>
    <row r="6" spans="1:6">
      <c r="A6" s="217" t="s">
        <v>273</v>
      </c>
      <c r="B6" s="218">
        <f>('4'!C55+'3'!H9)/1000</f>
        <v>267417.71701085404</v>
      </c>
      <c r="C6" s="218">
        <f>('4'!D55+'3'!H10)/1000</f>
        <v>314179.58615999948</v>
      </c>
      <c r="D6" s="218">
        <f>('4'!E55+'3'!H11)/1000</f>
        <v>373774.05899097706</v>
      </c>
      <c r="E6" s="218">
        <f>('4'!F55+'3'!H12)/1000</f>
        <v>449764.52412839414</v>
      </c>
      <c r="F6" s="218">
        <f>('4'!G55+'3'!H13)/1000</f>
        <v>374095.41708359431</v>
      </c>
    </row>
    <row r="7" spans="1:6">
      <c r="A7" s="217" t="s">
        <v>316</v>
      </c>
      <c r="B7" s="216">
        <f>B6/'4'!C6</f>
        <v>2.3636995600208563E-4</v>
      </c>
      <c r="C7" s="216">
        <f>C6/'4'!D6</f>
        <v>2.5160426618539306E-4</v>
      </c>
      <c r="D7" s="216">
        <f>D6/'4'!E6</f>
        <v>2.6929664066654692E-4</v>
      </c>
      <c r="E7" s="216">
        <f>E6/'4'!F6</f>
        <v>2.8949707239527965E-4</v>
      </c>
      <c r="F7" s="216">
        <f>F6/'4'!G6</f>
        <v>2.1362180902747757E-4</v>
      </c>
    </row>
    <row r="8" spans="1:6">
      <c r="A8" s="217" t="s">
        <v>274</v>
      </c>
      <c r="B8" s="216">
        <f>'4'!C17/'4'!C36</f>
        <v>0.38107970232337229</v>
      </c>
      <c r="C8" s="216">
        <f>'4'!D17/'4'!D36</f>
        <v>0.47907688181636177</v>
      </c>
      <c r="D8" s="216">
        <f>'4'!E17/'4'!E36</f>
        <v>0.56654285568003404</v>
      </c>
      <c r="E8" s="216">
        <f>'4'!F17/'4'!F36</f>
        <v>0.64298097375496921</v>
      </c>
      <c r="F8" s="216">
        <f>'4'!G17/'4'!G36</f>
        <v>0.70859246114069363</v>
      </c>
    </row>
    <row r="9" spans="1:6">
      <c r="A9" s="217" t="s">
        <v>275</v>
      </c>
      <c r="B9" s="216">
        <f>'4'!C17/'4'!C27</f>
        <v>0.1233566466141926</v>
      </c>
      <c r="C9" s="216">
        <f>'4'!D17/'4'!D27</f>
        <v>0.19523307636946022</v>
      </c>
      <c r="D9" s="216">
        <f>'4'!E17/'4'!E27</f>
        <v>0.30271904571488056</v>
      </c>
      <c r="E9" s="216">
        <f>'4'!F17/'4'!F27</f>
        <v>0.47761935146187567</v>
      </c>
      <c r="F9" s="216">
        <f>'4'!G17/'4'!G27</f>
        <v>0.51289679744248839</v>
      </c>
    </row>
    <row r="10" spans="1:6">
      <c r="A10" s="217" t="s">
        <v>317</v>
      </c>
      <c r="B10" s="216">
        <f>'4'!C32/'4'!C27</f>
        <v>0.67629699020412271</v>
      </c>
      <c r="C10" s="216">
        <f>'4'!D32/'4'!D27</f>
        <v>0.59248069823520233</v>
      </c>
      <c r="D10" s="216">
        <f>'4'!E32/'4'!E27</f>
        <v>0.46567317427113242</v>
      </c>
      <c r="E10" s="216">
        <f>'4'!F32/'4'!F27</f>
        <v>0.25717965078716382</v>
      </c>
      <c r="F10" s="216">
        <f>'4'!G32/'4'!G27</f>
        <v>0.27617519862287832</v>
      </c>
    </row>
    <row r="11" spans="1:6">
      <c r="A11" s="217" t="s">
        <v>310</v>
      </c>
      <c r="B11" s="219">
        <f>'4'!C30/'4'!C32</f>
        <v>9.8215444808184754E-2</v>
      </c>
      <c r="C11" s="219">
        <f>'4'!D30/'4'!D32</f>
        <v>0.17743278890537964</v>
      </c>
      <c r="D11" s="219">
        <f>'4'!E30/'4'!E32</f>
        <v>0.35003640339036829</v>
      </c>
      <c r="E11" s="219">
        <f>'4'!F30/'4'!F32</f>
        <v>1</v>
      </c>
      <c r="F11" s="219">
        <f>'4'!G30/'4'!G32</f>
        <v>1</v>
      </c>
    </row>
    <row r="12" spans="1:6">
      <c r="A12" s="217" t="s">
        <v>311</v>
      </c>
      <c r="B12" s="219">
        <f>'4'!C31/'4'!C32</f>
        <v>0.90178455519181533</v>
      </c>
      <c r="C12" s="219">
        <f>'4'!D31/'4'!D32</f>
        <v>0.82256721109462039</v>
      </c>
      <c r="D12" s="219">
        <f>'4'!E31/'4'!E32</f>
        <v>0.64996359660963177</v>
      </c>
      <c r="E12" s="219">
        <f>'4'!F31/'4'!F32</f>
        <v>0</v>
      </c>
      <c r="F12" s="219">
        <f>'4'!G31/'4'!G32</f>
        <v>0</v>
      </c>
    </row>
    <row r="13" spans="1:6">
      <c r="A13" s="217" t="s">
        <v>318</v>
      </c>
      <c r="B13" s="219">
        <f>'4'!C32/'4'!C36</f>
        <v>2.0892514735361472</v>
      </c>
      <c r="C13" s="219">
        <f>'4'!D32/'4'!D36</f>
        <v>1.4538714992625217</v>
      </c>
      <c r="D13" s="219">
        <f>'4'!E32/'4'!E36</f>
        <v>0.87151374748201027</v>
      </c>
      <c r="E13" s="219">
        <f>'4'!F32/'4'!F36</f>
        <v>0.34622052432959877</v>
      </c>
      <c r="F13" s="219">
        <f>'4'!G32/'4'!G36</f>
        <v>0.38154978676806572</v>
      </c>
    </row>
    <row r="14" spans="1:6">
      <c r="A14" s="217" t="s">
        <v>276</v>
      </c>
      <c r="B14" s="219">
        <f>'4'!C31/Indicadores!B6</f>
        <v>1138.3311162966961</v>
      </c>
      <c r="C14" s="219">
        <f>'4'!D31/Indicadores!C6</f>
        <v>730.71129746600013</v>
      </c>
      <c r="D14" s="219">
        <f>'4'!E31/Indicadores!D6</f>
        <v>349.62940661884761</v>
      </c>
      <c r="E14" s="219">
        <f>'4'!F31/Indicadores!E6</f>
        <v>0</v>
      </c>
      <c r="F14" s="219">
        <f>'4'!G31/Indicadores!F6</f>
        <v>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01DE2-A0E3-444A-83DB-A4A32A66784C}">
  <dimension ref="A1:F27"/>
  <sheetViews>
    <sheetView showGridLines="0" workbookViewId="0">
      <selection activeCell="F8" sqref="F8"/>
    </sheetView>
  </sheetViews>
  <sheetFormatPr baseColWidth="10" defaultRowHeight="12.75"/>
  <cols>
    <col min="1" max="1" width="23.140625" style="166" bestFit="1" customWidth="1"/>
    <col min="2" max="6" width="16.7109375" style="166" customWidth="1"/>
    <col min="7" max="16384" width="11.42578125" style="166"/>
  </cols>
  <sheetData>
    <row r="1" spans="1:6">
      <c r="B1" s="166">
        <v>1000</v>
      </c>
    </row>
    <row r="3" spans="1:6" ht="18" customHeight="1">
      <c r="A3" s="259" t="s">
        <v>278</v>
      </c>
      <c r="B3" s="259"/>
      <c r="C3" s="259"/>
      <c r="D3" s="259"/>
      <c r="E3" s="259"/>
      <c r="F3" s="259"/>
    </row>
    <row r="4" spans="1:6" ht="18" customHeight="1">
      <c r="A4" s="153" t="s">
        <v>206</v>
      </c>
      <c r="B4" s="153">
        <v>2024</v>
      </c>
      <c r="C4" s="153">
        <v>2025</v>
      </c>
      <c r="D4" s="153">
        <v>2026</v>
      </c>
      <c r="E4" s="153">
        <v>2027</v>
      </c>
      <c r="F4" s="153">
        <v>2028</v>
      </c>
    </row>
    <row r="5" spans="1:6" ht="18" customHeight="1">
      <c r="A5" s="155" t="s">
        <v>196</v>
      </c>
      <c r="B5" s="156">
        <f>('1'!C3*'1'!D3)/$B$1</f>
        <v>674316.00000000012</v>
      </c>
      <c r="C5" s="156">
        <f>(B5*(1+'1'!G3))*(1+'1'!Z$4)</f>
        <v>744261.4500480002</v>
      </c>
      <c r="D5" s="156">
        <f>(C5*(1+'1'!H3))*(1+'1'!AA$4)</f>
        <v>827263.34761097818</v>
      </c>
      <c r="E5" s="156">
        <f>(D5*(1+'1'!I3))*(1+'1'!AB$4)</f>
        <v>925990.61004156747</v>
      </c>
      <c r="F5" s="156">
        <f>(E5*(1+'1'!J3))*(1+'1'!AC$4)</f>
        <v>1043764.1147656194</v>
      </c>
    </row>
    <row r="6" spans="1:6" ht="18" customHeight="1">
      <c r="A6" s="155" t="s">
        <v>279</v>
      </c>
      <c r="B6" s="156">
        <f>('1'!C4*'1'!D4)/$B$1</f>
        <v>314680.80000000005</v>
      </c>
      <c r="C6" s="156">
        <f>(B6*(1+'1'!G4))*(1+'1'!Z$4)</f>
        <v>347322.01002240006</v>
      </c>
      <c r="D6" s="156">
        <f>(C6*(1+'1'!H4))*(1+'1'!AA$4)</f>
        <v>386056.2288851231</v>
      </c>
      <c r="E6" s="156">
        <f>(D6*(1+'1'!I4))*(1+'1'!AB$4)</f>
        <v>432128.95135273144</v>
      </c>
      <c r="F6" s="156">
        <f>(E6*(1+'1'!J4))*(1+'1'!AC$4)</f>
        <v>487089.92022395565</v>
      </c>
    </row>
    <row r="7" spans="1:6" ht="18" customHeight="1">
      <c r="A7" s="155" t="s">
        <v>280</v>
      </c>
      <c r="B7" s="156">
        <f>('1'!C5*'1'!D5)/$B$1</f>
        <v>142355.6</v>
      </c>
      <c r="C7" s="156">
        <f>(B7*(1+'1'!G5))*(1+'1'!Z$4)</f>
        <v>157121.86167680001</v>
      </c>
      <c r="D7" s="156">
        <f>(C7*(1+'1'!H5))*(1+'1'!AA$4)</f>
        <v>174644.48449565092</v>
      </c>
      <c r="E7" s="156">
        <f>(D7*(1+'1'!I5))*(1+'1'!AB$4)</f>
        <v>195486.90656433086</v>
      </c>
      <c r="F7" s="156">
        <f>(E7*(1+'1'!J5))*(1+'1'!AC$4)</f>
        <v>220350.20200607518</v>
      </c>
    </row>
    <row r="8" spans="1:6" ht="18" customHeight="1">
      <c r="A8" s="157" t="s">
        <v>182</v>
      </c>
      <c r="B8" s="158">
        <f>+SUM(B5:B7)</f>
        <v>1131352.4000000001</v>
      </c>
      <c r="C8" s="158">
        <f t="shared" ref="C8:F8" si="0">+SUM(C5:C7)</f>
        <v>1248705.3217472003</v>
      </c>
      <c r="D8" s="158">
        <f t="shared" si="0"/>
        <v>1387964.0609917522</v>
      </c>
      <c r="E8" s="158">
        <f t="shared" si="0"/>
        <v>1553606.4679586298</v>
      </c>
      <c r="F8" s="158">
        <f t="shared" si="0"/>
        <v>1751204.23699565</v>
      </c>
    </row>
    <row r="11" spans="1:6">
      <c r="A11" s="259" t="s">
        <v>284</v>
      </c>
      <c r="B11" s="259"/>
      <c r="C11" s="259"/>
      <c r="D11" s="259"/>
      <c r="E11" s="259"/>
      <c r="F11" s="259"/>
    </row>
    <row r="12" spans="1:6" ht="18" customHeight="1">
      <c r="A12" s="153"/>
      <c r="B12" s="153">
        <v>2024</v>
      </c>
      <c r="C12" s="153">
        <v>2025</v>
      </c>
      <c r="D12" s="153">
        <v>2026</v>
      </c>
      <c r="E12" s="153">
        <v>2027</v>
      </c>
      <c r="F12" s="153">
        <v>2028</v>
      </c>
    </row>
    <row r="13" spans="1:6" ht="18" customHeight="1">
      <c r="A13" s="155" t="s">
        <v>282</v>
      </c>
      <c r="B13" s="156">
        <f>(Mercadeo!$D$18)/$B$1</f>
        <v>68000</v>
      </c>
      <c r="C13" s="156">
        <f>(B13*(1+'1'!Z$4))</f>
        <v>74310.399999999994</v>
      </c>
      <c r="D13" s="156">
        <f>(C13*(1+'1'!H11))*(1+'1'!AA$4)</f>
        <v>81577.957119999992</v>
      </c>
      <c r="E13" s="156">
        <f>(D13*(1+'1'!I11))*(1+'1'!AB$4)</f>
        <v>89964.171111935997</v>
      </c>
      <c r="F13" s="156">
        <f>(E13*(1+'1'!J11))*(1+'1'!AC$4)</f>
        <v>99662.308757802704</v>
      </c>
    </row>
    <row r="14" spans="1:6" ht="18" customHeight="1">
      <c r="A14" s="157" t="s">
        <v>182</v>
      </c>
      <c r="B14" s="158">
        <f>+SUM(B13:B13)</f>
        <v>68000</v>
      </c>
      <c r="C14" s="158">
        <f>+SUM(C13:C13)</f>
        <v>74310.399999999994</v>
      </c>
      <c r="D14" s="158">
        <f>+SUM(D13:D13)</f>
        <v>81577.957119999992</v>
      </c>
      <c r="E14" s="158">
        <f>+SUM(E13:E13)</f>
        <v>89964.171111935997</v>
      </c>
      <c r="F14" s="158">
        <f>+SUM(F13:F13)</f>
        <v>99662.308757802704</v>
      </c>
    </row>
    <row r="17" spans="1:6">
      <c r="A17" s="259" t="s">
        <v>285</v>
      </c>
      <c r="B17" s="259"/>
      <c r="C17" s="259"/>
      <c r="D17" s="259"/>
      <c r="E17" s="259"/>
      <c r="F17" s="259"/>
    </row>
    <row r="18" spans="1:6" ht="18" customHeight="1">
      <c r="A18" s="153"/>
      <c r="B18" s="153">
        <v>2024</v>
      </c>
      <c r="C18" s="153">
        <v>2025</v>
      </c>
      <c r="D18" s="153">
        <v>2026</v>
      </c>
      <c r="E18" s="153">
        <v>2027</v>
      </c>
      <c r="F18" s="153">
        <v>2028</v>
      </c>
    </row>
    <row r="19" spans="1:6" ht="18" customHeight="1">
      <c r="A19" s="155" t="s">
        <v>283</v>
      </c>
      <c r="B19" s="156">
        <f>('2'!$C$22)/$B$1</f>
        <v>320111.82400000008</v>
      </c>
      <c r="C19" s="156">
        <f>(B19*(1+'1'!Z$4))</f>
        <v>349818.20126720011</v>
      </c>
      <c r="D19" s="156">
        <f>(C19*(1+'1'!H17))*(1+'1'!AA$4)</f>
        <v>384030.42135113227</v>
      </c>
      <c r="E19" s="156">
        <f>(D19*(1+'1'!I17))*(1+'1'!AB$4)</f>
        <v>423508.74866602867</v>
      </c>
      <c r="F19" s="156">
        <f>(E19*(1+'1'!J17))*(1+'1'!AC$4)</f>
        <v>469162.99177222658</v>
      </c>
    </row>
    <row r="20" spans="1:6" ht="18" customHeight="1">
      <c r="A20" s="157" t="s">
        <v>182</v>
      </c>
      <c r="B20" s="158">
        <f>+SUM(B19:B19)</f>
        <v>320111.82400000008</v>
      </c>
      <c r="C20" s="158">
        <f>+SUM(C19:C19)</f>
        <v>349818.20126720011</v>
      </c>
      <c r="D20" s="158">
        <f>+SUM(D19:D19)</f>
        <v>384030.42135113227</v>
      </c>
      <c r="E20" s="158">
        <f>+SUM(E19:E19)</f>
        <v>423508.74866602867</v>
      </c>
      <c r="F20" s="158">
        <f>+SUM(F19:F19)</f>
        <v>469162.99177222658</v>
      </c>
    </row>
    <row r="23" spans="1:6">
      <c r="A23" s="259" t="s">
        <v>286</v>
      </c>
      <c r="B23" s="259"/>
      <c r="C23" s="259"/>
      <c r="D23" s="259"/>
      <c r="E23" s="259"/>
      <c r="F23" s="259"/>
    </row>
    <row r="24" spans="1:6">
      <c r="A24" s="153"/>
      <c r="B24" s="153">
        <v>2024</v>
      </c>
      <c r="C24" s="153">
        <v>2025</v>
      </c>
      <c r="D24" s="153">
        <v>2026</v>
      </c>
      <c r="E24" s="153">
        <v>2027</v>
      </c>
      <c r="F24" s="153">
        <v>2028</v>
      </c>
    </row>
    <row r="25" spans="1:6">
      <c r="A25" s="155" t="s">
        <v>288</v>
      </c>
      <c r="B25" s="156">
        <f>('2'!C18)/$B$1</f>
        <v>78542.711999999985</v>
      </c>
      <c r="C25" s="156">
        <f>(B25*(1+'1'!Z$4))</f>
        <v>85831.475673599984</v>
      </c>
      <c r="D25" s="156">
        <f>(C25*(1+'1'!H23))*(1+'1'!AA$4)</f>
        <v>94225.793994478052</v>
      </c>
      <c r="E25" s="156">
        <f>(D25*(1+'1'!I23))*(1+'1'!AB$4)</f>
        <v>103912.20561711039</v>
      </c>
      <c r="F25" s="156">
        <f>(E25*(1+'1'!J23))*(1+'1'!AC$4)</f>
        <v>115113.9413826349</v>
      </c>
    </row>
    <row r="26" spans="1:6">
      <c r="A26" s="155" t="s">
        <v>287</v>
      </c>
      <c r="B26" s="156">
        <f>('2'!$F$31)/$B$1</f>
        <v>41480</v>
      </c>
      <c r="C26" s="156">
        <f>(B26*(1+'1'!Z$4))</f>
        <v>45329.343999999997</v>
      </c>
      <c r="D26" s="156">
        <f>(C26*(1+'1'!H24))*(1+'1'!AA$4)</f>
        <v>49762.553843199988</v>
      </c>
      <c r="E26" s="156">
        <f>(D26*(1+'1'!I24))*(1+'1'!AB$4)</f>
        <v>54878.144378280944</v>
      </c>
      <c r="F26" s="156">
        <f>(E26*(1+'1'!J24))*(1+'1'!AC$4)</f>
        <v>60794.008342259636</v>
      </c>
    </row>
    <row r="27" spans="1:6">
      <c r="A27" s="157" t="s">
        <v>182</v>
      </c>
      <c r="B27" s="158">
        <f>SUM(B25:B26)</f>
        <v>120022.71199999998</v>
      </c>
      <c r="C27" s="158">
        <f t="shared" ref="C27:F27" si="1">SUM(C25:C26)</f>
        <v>131160.81967359997</v>
      </c>
      <c r="D27" s="158">
        <f t="shared" si="1"/>
        <v>143988.34783767804</v>
      </c>
      <c r="E27" s="158">
        <f t="shared" si="1"/>
        <v>158790.34999539133</v>
      </c>
      <c r="F27" s="158">
        <f t="shared" si="1"/>
        <v>175907.94972489454</v>
      </c>
    </row>
  </sheetData>
  <mergeCells count="4">
    <mergeCell ref="A3:F3"/>
    <mergeCell ref="A11:F11"/>
    <mergeCell ref="A17:F17"/>
    <mergeCell ref="A23:F2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99A5E-E7CC-4628-A913-742A0E17F5F3}">
  <dimension ref="B2:F9"/>
  <sheetViews>
    <sheetView workbookViewId="0">
      <selection activeCell="B3" sqref="B3"/>
    </sheetView>
  </sheetViews>
  <sheetFormatPr baseColWidth="10" defaultRowHeight="15"/>
  <cols>
    <col min="1" max="1" width="11.42578125" style="142"/>
    <col min="2" max="2" width="18.28515625" style="142" bestFit="1" customWidth="1"/>
    <col min="3" max="4" width="13" style="142" customWidth="1"/>
    <col min="5" max="5" width="45.85546875" style="142" customWidth="1"/>
    <col min="6" max="6" width="90.5703125" style="142" customWidth="1"/>
    <col min="7" max="16384" width="11.42578125" style="142"/>
  </cols>
  <sheetData>
    <row r="2" spans="2:6" ht="35.25" customHeight="1">
      <c r="B2" s="148" t="s">
        <v>289</v>
      </c>
      <c r="C2" s="150" t="s">
        <v>290</v>
      </c>
      <c r="D2" s="148" t="s">
        <v>291</v>
      </c>
      <c r="E2" s="148" t="s">
        <v>292</v>
      </c>
      <c r="F2" s="148" t="s">
        <v>295</v>
      </c>
    </row>
    <row r="3" spans="2:6" ht="96.75" customHeight="1">
      <c r="B3" s="149" t="s">
        <v>293</v>
      </c>
      <c r="C3" s="151">
        <v>1.78E-2</v>
      </c>
      <c r="D3" s="145">
        <f>+(1+C3)^(12)-1</f>
        <v>0.23580332236181256</v>
      </c>
      <c r="E3" s="152" t="s">
        <v>294</v>
      </c>
      <c r="F3" s="152"/>
    </row>
    <row r="4" spans="2:6" ht="137.25" customHeight="1">
      <c r="B4" s="149" t="s">
        <v>312</v>
      </c>
      <c r="C4" s="145">
        <f>+NOMINAL(D4,12)/12</f>
        <v>2.8025103187706124E-2</v>
      </c>
      <c r="D4" s="151">
        <v>0.39329999999999998</v>
      </c>
      <c r="E4" s="152" t="s">
        <v>297</v>
      </c>
      <c r="F4" s="143"/>
    </row>
    <row r="5" spans="2:6" ht="138" customHeight="1">
      <c r="B5" s="149" t="s">
        <v>298</v>
      </c>
      <c r="C5" s="151">
        <v>2.5999999999999999E-2</v>
      </c>
      <c r="D5" s="145">
        <f>+(1+C5)^(12)-1</f>
        <v>0.36071862507373553</v>
      </c>
      <c r="E5" s="152" t="s">
        <v>299</v>
      </c>
      <c r="F5" s="143"/>
    </row>
    <row r="6" spans="2:6" ht="114.75" customHeight="1">
      <c r="B6" s="149" t="s">
        <v>300</v>
      </c>
      <c r="C6" s="145">
        <f>+NOMINAL(D6,12)/12</f>
        <v>2.1844131017010104E-2</v>
      </c>
      <c r="D6" s="145">
        <f>+(1+0.1016)*(1+0.1765)-1</f>
        <v>0.29603239999999986</v>
      </c>
      <c r="E6" s="152" t="s">
        <v>301</v>
      </c>
      <c r="F6" s="143"/>
    </row>
    <row r="9" spans="2:6">
      <c r="B9" s="149" t="s">
        <v>296</v>
      </c>
      <c r="C9" s="145">
        <f>+AVERAGE(C3:C6)</f>
        <v>2.3417308551179055E-2</v>
      </c>
      <c r="D9" s="145">
        <f>+AVERAGE(D3:D6)</f>
        <v>0.32146358685888698</v>
      </c>
    </row>
  </sheetData>
  <hyperlinks>
    <hyperlink ref="E3" r:id="rId1" location=":~:text=URL%3A%20https%3A%2F%2Fwww.bancolombia.com%2Fpersonas%2Fcreditos%2Fconsumo%2Fcredito,100" xr:uid="{AC7E3023-9A8A-4658-ABAC-1B0076CC33A2}"/>
    <hyperlink ref="E4" r:id="rId2" xr:uid="{A5487FFD-8594-425B-9E2B-10A4A680620A}"/>
    <hyperlink ref="E5" r:id="rId3" location="/simuladorCreditoConsumo" xr:uid="{F0B970E5-052A-43D8-BEB0-F25D66E27653}"/>
    <hyperlink ref="E6" r:id="rId4" xr:uid="{5EFB3B68-AD5B-471B-B75B-53187666106A}"/>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sqref="A1:E1"/>
    </sheetView>
  </sheetViews>
  <sheetFormatPr baseColWidth="10" defaultRowHeight="15"/>
  <cols>
    <col min="1" max="1" width="22.5703125" style="8" customWidth="1"/>
    <col min="2" max="2" width="34.5703125" style="8" bestFit="1" customWidth="1"/>
    <col min="3" max="6" width="28.5703125"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222" t="s">
        <v>5</v>
      </c>
      <c r="B1" s="222"/>
      <c r="C1" s="222"/>
      <c r="D1" s="222"/>
      <c r="E1" s="222"/>
      <c r="G1" s="223" t="s">
        <v>12</v>
      </c>
      <c r="H1" s="223"/>
      <c r="I1" s="223"/>
      <c r="J1" s="223"/>
      <c r="P1" s="8" t="s">
        <v>16</v>
      </c>
      <c r="Y1" s="15" t="s">
        <v>9</v>
      </c>
      <c r="Z1" s="50">
        <v>2024</v>
      </c>
      <c r="AA1" s="16"/>
    </row>
    <row r="2" spans="1:29" ht="32.25" customHeight="1" thickBot="1">
      <c r="B2" s="17" t="s">
        <v>4</v>
      </c>
      <c r="C2" s="18" t="s">
        <v>0</v>
      </c>
      <c r="D2" s="17" t="s">
        <v>7</v>
      </c>
      <c r="E2" s="18" t="s">
        <v>1</v>
      </c>
      <c r="F2" s="19" t="s">
        <v>27</v>
      </c>
      <c r="G2" s="20">
        <f>'1'!Z1+1</f>
        <v>2025</v>
      </c>
      <c r="H2" s="20">
        <f>G2+1</f>
        <v>2026</v>
      </c>
      <c r="I2" s="20">
        <f t="shared" ref="I2:J2" si="0">H2+1</f>
        <v>2027</v>
      </c>
      <c r="J2" s="20">
        <f t="shared" si="0"/>
        <v>2028</v>
      </c>
      <c r="L2" s="8">
        <f>G2</f>
        <v>2025</v>
      </c>
      <c r="M2" s="8">
        <f>H2</f>
        <v>2026</v>
      </c>
      <c r="N2" s="8">
        <f>M2+1</f>
        <v>2027</v>
      </c>
      <c r="O2" s="8">
        <f>N2+1</f>
        <v>2028</v>
      </c>
      <c r="P2" s="8" t="s">
        <v>13</v>
      </c>
      <c r="Q2" s="8" t="s">
        <v>11</v>
      </c>
      <c r="R2" s="8" t="s">
        <v>23</v>
      </c>
      <c r="S2" s="8" t="s">
        <v>24</v>
      </c>
      <c r="T2" s="8" t="s">
        <v>17</v>
      </c>
      <c r="U2" s="8" t="s">
        <v>18</v>
      </c>
      <c r="V2" s="8" t="s">
        <v>25</v>
      </c>
      <c r="W2" s="8" t="s">
        <v>26</v>
      </c>
      <c r="Y2" s="16"/>
      <c r="Z2" s="16"/>
      <c r="AA2" s="16"/>
    </row>
    <row r="3" spans="1:29" ht="24" thickBot="1">
      <c r="A3" s="21">
        <v>1</v>
      </c>
      <c r="B3" s="13" t="s">
        <v>213</v>
      </c>
      <c r="C3" s="146">
        <f>+'Potencial Mercado'!H13</f>
        <v>3371.5800000000004</v>
      </c>
      <c r="D3" s="14">
        <f>+Servicios!C5</f>
        <v>200000</v>
      </c>
      <c r="E3" s="22">
        <f>C3*D3</f>
        <v>674316000.00000012</v>
      </c>
      <c r="F3" s="23">
        <f>IF($E$13=0,0,E3/$E$13)</f>
        <v>0.5960264900662251</v>
      </c>
      <c r="G3" s="147">
        <v>0.01</v>
      </c>
      <c r="H3" s="147">
        <f>+G3+0.25%</f>
        <v>1.2500000000000001E-2</v>
      </c>
      <c r="I3" s="147">
        <f t="shared" ref="I3:J3" si="1">+H3+0.25%</f>
        <v>1.5000000000000001E-2</v>
      </c>
      <c r="J3" s="147">
        <f t="shared" si="1"/>
        <v>1.7500000000000002E-2</v>
      </c>
      <c r="K3" s="24"/>
      <c r="L3" s="8">
        <f t="shared" ref="L3:L12" si="2">C3*(1+G3)</f>
        <v>3405.2958000000003</v>
      </c>
      <c r="M3" s="8">
        <f>L3*(1+H3)</f>
        <v>3447.8619975000001</v>
      </c>
      <c r="N3" s="8">
        <f t="shared" ref="N3:O3" si="3">M3*(1+I3)</f>
        <v>3499.5799274624997</v>
      </c>
      <c r="O3" s="8">
        <f t="shared" si="3"/>
        <v>3560.8225761930935</v>
      </c>
      <c r="P3" s="25">
        <f>D3*(1+'1'!$Z$4)</f>
        <v>218560</v>
      </c>
      <c r="Q3" s="25">
        <f>P3*(1+'1'!$AA$4)</f>
        <v>239935.16799999998</v>
      </c>
      <c r="R3" s="25">
        <f>Q3*(1+'1'!$AB$4)</f>
        <v>264600.50327039999</v>
      </c>
      <c r="S3" s="25">
        <f>R3*(1+'1'!$AC$4)</f>
        <v>293124.43752294913</v>
      </c>
      <c r="T3" s="26">
        <f>L3*P3</f>
        <v>744261450.0480001</v>
      </c>
      <c r="U3" s="26">
        <f>M3*Q3</f>
        <v>827263347.61097801</v>
      </c>
      <c r="V3" s="26">
        <f>N3*R3</f>
        <v>925990610.04156733</v>
      </c>
      <c r="W3" s="26">
        <f>O3*S3</f>
        <v>1043764114.7656192</v>
      </c>
      <c r="X3" s="26"/>
      <c r="Y3" s="27" t="s">
        <v>10</v>
      </c>
      <c r="Z3" s="28">
        <f>G2</f>
        <v>2025</v>
      </c>
      <c r="AA3" s="28">
        <f>Z3+1</f>
        <v>2026</v>
      </c>
      <c r="AB3" s="28">
        <f t="shared" ref="AB3:AC3" si="4">AA3+1</f>
        <v>2027</v>
      </c>
      <c r="AC3" s="29">
        <f t="shared" si="4"/>
        <v>2028</v>
      </c>
    </row>
    <row r="4" spans="1:29" ht="23.25">
      <c r="A4" s="21">
        <f>A3+1</f>
        <v>2</v>
      </c>
      <c r="B4" s="13" t="s">
        <v>279</v>
      </c>
      <c r="C4" s="146">
        <f>+'Potencial Mercado'!H14</f>
        <v>1048.9360000000001</v>
      </c>
      <c r="D4" s="14">
        <f>+Servicios!C13</f>
        <v>300000</v>
      </c>
      <c r="E4" s="22">
        <f t="shared" ref="E4:E12" si="5">C4*D4</f>
        <v>314680800.00000006</v>
      </c>
      <c r="F4" s="23">
        <f t="shared" ref="F4:F12" si="6">IF($E$13=0,0,E4/$E$13)</f>
        <v>0.27814569536423839</v>
      </c>
      <c r="G4" s="147">
        <v>0.01</v>
      </c>
      <c r="H4" s="147">
        <f t="shared" ref="H4:J4" si="7">+G4+0.25%</f>
        <v>1.2500000000000001E-2</v>
      </c>
      <c r="I4" s="147">
        <f t="shared" si="7"/>
        <v>1.5000000000000001E-2</v>
      </c>
      <c r="J4" s="147">
        <f t="shared" si="7"/>
        <v>1.7500000000000002E-2</v>
      </c>
      <c r="K4" s="24"/>
      <c r="L4" s="8">
        <f t="shared" si="2"/>
        <v>1059.4253600000002</v>
      </c>
      <c r="M4" s="8">
        <f t="shared" ref="M4:M12" si="8">L4*(1+H4)</f>
        <v>1072.6681770000002</v>
      </c>
      <c r="N4" s="8">
        <f t="shared" ref="N4:N12" si="9">M4*(1+I4)</f>
        <v>1088.7581996550002</v>
      </c>
      <c r="O4" s="8">
        <f t="shared" ref="O4:O12" si="10">N4*(1+J4)</f>
        <v>1107.8114681489628</v>
      </c>
      <c r="P4" s="25">
        <f>D4*(1+'1'!$Z$4)</f>
        <v>327840</v>
      </c>
      <c r="Q4" s="25">
        <f>P4*(1+'1'!$AA$4)</f>
        <v>359902.75199999998</v>
      </c>
      <c r="R4" s="25">
        <f>Q4*(1+'1'!$AB$4)</f>
        <v>396900.75490559998</v>
      </c>
      <c r="S4" s="25">
        <f>R4*(1+'1'!$AC$4)</f>
        <v>439686.65628442372</v>
      </c>
      <c r="T4" s="26">
        <f t="shared" ref="T4:T12" si="11">L4*P4</f>
        <v>347322010.02240008</v>
      </c>
      <c r="U4" s="26">
        <f t="shared" ref="U4:U12" si="12">M4*Q4</f>
        <v>386056228.88512319</v>
      </c>
      <c r="V4" s="26">
        <f t="shared" ref="V4:V12" si="13">N4*R4</f>
        <v>432128951.35273153</v>
      </c>
      <c r="W4" s="26">
        <f t="shared" ref="W4:W12" si="14">O4*S4</f>
        <v>487089920.22395581</v>
      </c>
      <c r="X4" s="26"/>
      <c r="Y4" s="122" t="s">
        <v>14</v>
      </c>
      <c r="Z4" s="51">
        <v>9.2799999999999994E-2</v>
      </c>
      <c r="AA4" s="51">
        <f>+Z4+0.005</f>
        <v>9.7799999999999998E-2</v>
      </c>
      <c r="AB4" s="51">
        <f t="shared" ref="AB4:AC4" si="15">+AA4+0.005</f>
        <v>0.1028</v>
      </c>
      <c r="AC4" s="52">
        <f t="shared" si="15"/>
        <v>0.10780000000000001</v>
      </c>
    </row>
    <row r="5" spans="1:29" ht="24" thickBot="1">
      <c r="A5" s="21">
        <f t="shared" ref="A5:A12" si="16">A4+1</f>
        <v>3</v>
      </c>
      <c r="B5" s="13" t="s">
        <v>280</v>
      </c>
      <c r="C5" s="146">
        <f>+'Potencial Mercado'!H15</f>
        <v>374.62</v>
      </c>
      <c r="D5" s="14">
        <f>+Servicios!C22</f>
        <v>380000</v>
      </c>
      <c r="E5" s="22">
        <f t="shared" si="5"/>
        <v>142355600</v>
      </c>
      <c r="F5" s="23">
        <f t="shared" si="6"/>
        <v>0.1258278145695364</v>
      </c>
      <c r="G5" s="147">
        <v>0.01</v>
      </c>
      <c r="H5" s="147">
        <f t="shared" ref="H5:J5" si="17">+G5+0.25%</f>
        <v>1.2500000000000001E-2</v>
      </c>
      <c r="I5" s="147">
        <f t="shared" si="17"/>
        <v>1.5000000000000001E-2</v>
      </c>
      <c r="J5" s="147">
        <f t="shared" si="17"/>
        <v>1.7500000000000002E-2</v>
      </c>
      <c r="K5" s="24"/>
      <c r="L5" s="8">
        <f t="shared" si="2"/>
        <v>378.36619999999999</v>
      </c>
      <c r="M5" s="8">
        <f t="shared" si="8"/>
        <v>383.0957775</v>
      </c>
      <c r="N5" s="8">
        <f t="shared" si="9"/>
        <v>388.84221416249994</v>
      </c>
      <c r="O5" s="8">
        <f t="shared" si="10"/>
        <v>395.64695291034371</v>
      </c>
      <c r="P5" s="25">
        <f>D5*(1+'1'!$Z$4)</f>
        <v>415264</v>
      </c>
      <c r="Q5" s="25">
        <f>P5*(1+'1'!$AA$4)</f>
        <v>455876.81919999997</v>
      </c>
      <c r="R5" s="25">
        <f>Q5*(1+'1'!$AB$4)</f>
        <v>502740.95621375996</v>
      </c>
      <c r="S5" s="25">
        <f>R5*(1+'1'!$AC$4)</f>
        <v>556936.43129360338</v>
      </c>
      <c r="T5" s="26">
        <f t="shared" si="11"/>
        <v>157121861.67679998</v>
      </c>
      <c r="U5" s="26">
        <f t="shared" si="12"/>
        <v>174644484.49565092</v>
      </c>
      <c r="V5" s="26">
        <f t="shared" si="13"/>
        <v>195486906.56433085</v>
      </c>
      <c r="W5" s="26">
        <f t="shared" si="14"/>
        <v>220350202.00607517</v>
      </c>
      <c r="X5" s="26"/>
      <c r="Y5" s="123" t="s">
        <v>15</v>
      </c>
      <c r="Z5" s="53">
        <f>+Z4</f>
        <v>9.2799999999999994E-2</v>
      </c>
      <c r="AA5" s="53">
        <f t="shared" ref="AA5:AC5" si="18">+AA4</f>
        <v>9.7799999999999998E-2</v>
      </c>
      <c r="AB5" s="53">
        <f t="shared" si="18"/>
        <v>0.1028</v>
      </c>
      <c r="AC5" s="54">
        <f t="shared" si="18"/>
        <v>0.10780000000000001</v>
      </c>
    </row>
    <row r="6" spans="1:29" ht="15.75" thickBot="1">
      <c r="A6" s="21">
        <f t="shared" si="16"/>
        <v>4</v>
      </c>
      <c r="B6" s="13"/>
      <c r="C6" s="56">
        <v>0</v>
      </c>
      <c r="D6" s="14">
        <v>0</v>
      </c>
      <c r="E6" s="22">
        <f t="shared" si="5"/>
        <v>0</v>
      </c>
      <c r="F6" s="23">
        <f t="shared" si="6"/>
        <v>0</v>
      </c>
      <c r="G6" s="49">
        <v>0</v>
      </c>
      <c r="H6" s="49">
        <v>0</v>
      </c>
      <c r="I6" s="49">
        <v>0</v>
      </c>
      <c r="J6" s="49">
        <v>0</v>
      </c>
      <c r="K6" s="24"/>
      <c r="L6" s="8">
        <f t="shared" si="2"/>
        <v>0</v>
      </c>
      <c r="M6" s="8">
        <f t="shared" si="8"/>
        <v>0</v>
      </c>
      <c r="N6" s="8">
        <f t="shared" si="9"/>
        <v>0</v>
      </c>
      <c r="O6" s="8">
        <f t="shared" si="10"/>
        <v>0</v>
      </c>
      <c r="P6" s="25">
        <f>D6*(1+'1'!$Z$4)</f>
        <v>0</v>
      </c>
      <c r="Q6" s="25">
        <f>P6*(1+'1'!$AA$4)</f>
        <v>0</v>
      </c>
      <c r="R6" s="25">
        <f>Q6*(1+'1'!$AB$4)</f>
        <v>0</v>
      </c>
      <c r="S6" s="25">
        <f>R6*(1+'1'!$AC$4)</f>
        <v>0</v>
      </c>
      <c r="T6" s="26">
        <f t="shared" si="11"/>
        <v>0</v>
      </c>
      <c r="U6" s="26">
        <f t="shared" si="12"/>
        <v>0</v>
      </c>
      <c r="V6" s="26">
        <f t="shared" si="13"/>
        <v>0</v>
      </c>
      <c r="W6" s="26">
        <f t="shared" si="14"/>
        <v>0</v>
      </c>
      <c r="X6" s="26"/>
    </row>
    <row r="7" spans="1:29" ht="24" thickBot="1">
      <c r="A7" s="21">
        <f t="shared" si="16"/>
        <v>5</v>
      </c>
      <c r="B7" s="13"/>
      <c r="C7" s="56">
        <v>0</v>
      </c>
      <c r="D7" s="14">
        <v>0</v>
      </c>
      <c r="E7" s="22">
        <f t="shared" si="5"/>
        <v>0</v>
      </c>
      <c r="F7" s="23">
        <f t="shared" si="6"/>
        <v>0</v>
      </c>
      <c r="G7" s="49">
        <v>0</v>
      </c>
      <c r="H7" s="49">
        <v>0</v>
      </c>
      <c r="I7" s="49">
        <v>0</v>
      </c>
      <c r="J7" s="49">
        <v>0</v>
      </c>
      <c r="K7" s="24"/>
      <c r="L7" s="8">
        <f t="shared" si="2"/>
        <v>0</v>
      </c>
      <c r="M7" s="8">
        <f t="shared" si="8"/>
        <v>0</v>
      </c>
      <c r="N7" s="8">
        <f t="shared" si="9"/>
        <v>0</v>
      </c>
      <c r="O7" s="8">
        <f t="shared" si="10"/>
        <v>0</v>
      </c>
      <c r="P7" s="25">
        <f>D7*(1+'1'!$Z$4)</f>
        <v>0</v>
      </c>
      <c r="Q7" s="25">
        <f>P7*(1+'1'!$AA$4)</f>
        <v>0</v>
      </c>
      <c r="R7" s="25">
        <f>Q7*(1+'1'!$AB$4)</f>
        <v>0</v>
      </c>
      <c r="S7" s="25">
        <f>R7*(1+'1'!$AC$4)</f>
        <v>0</v>
      </c>
      <c r="T7" s="26">
        <f t="shared" si="11"/>
        <v>0</v>
      </c>
      <c r="U7" s="26">
        <f t="shared" si="12"/>
        <v>0</v>
      </c>
      <c r="V7" s="26">
        <f t="shared" si="13"/>
        <v>0</v>
      </c>
      <c r="W7" s="26">
        <f t="shared" si="14"/>
        <v>0</v>
      </c>
      <c r="X7" s="26"/>
      <c r="Y7" s="30" t="s">
        <v>91</v>
      </c>
      <c r="Z7" s="31"/>
      <c r="AA7" s="31"/>
      <c r="AB7" s="55">
        <v>0.35</v>
      </c>
      <c r="AC7" s="32"/>
    </row>
    <row r="8" spans="1:29">
      <c r="A8" s="21">
        <f t="shared" si="16"/>
        <v>6</v>
      </c>
      <c r="B8" s="13"/>
      <c r="C8" s="56">
        <v>0</v>
      </c>
      <c r="D8" s="14">
        <v>0</v>
      </c>
      <c r="E8" s="22">
        <f t="shared" si="5"/>
        <v>0</v>
      </c>
      <c r="F8" s="23">
        <f t="shared" si="6"/>
        <v>0</v>
      </c>
      <c r="G8" s="49">
        <v>0</v>
      </c>
      <c r="H8" s="49">
        <v>0</v>
      </c>
      <c r="I8" s="49">
        <v>0</v>
      </c>
      <c r="J8" s="49">
        <v>0</v>
      </c>
      <c r="K8" s="24"/>
      <c r="L8" s="8">
        <f t="shared" si="2"/>
        <v>0</v>
      </c>
      <c r="M8" s="8">
        <f t="shared" si="8"/>
        <v>0</v>
      </c>
      <c r="N8" s="8">
        <f t="shared" si="9"/>
        <v>0</v>
      </c>
      <c r="O8" s="8">
        <f t="shared" si="10"/>
        <v>0</v>
      </c>
      <c r="P8" s="25">
        <f>D8*(1+'1'!$Z$4)</f>
        <v>0</v>
      </c>
      <c r="Q8" s="25">
        <f>P8*(1+'1'!$AA$4)</f>
        <v>0</v>
      </c>
      <c r="R8" s="25">
        <f>Q8*(1+'1'!$AB$4)</f>
        <v>0</v>
      </c>
      <c r="S8" s="25">
        <f>R8*(1+'1'!$AC$4)</f>
        <v>0</v>
      </c>
      <c r="T8" s="26">
        <f t="shared" si="11"/>
        <v>0</v>
      </c>
      <c r="U8" s="26">
        <f t="shared" si="12"/>
        <v>0</v>
      </c>
      <c r="V8" s="26">
        <f t="shared" si="13"/>
        <v>0</v>
      </c>
      <c r="W8" s="26">
        <f t="shared" si="14"/>
        <v>0</v>
      </c>
      <c r="X8" s="26"/>
    </row>
    <row r="9" spans="1:29">
      <c r="A9" s="21">
        <f t="shared" si="16"/>
        <v>7</v>
      </c>
      <c r="B9" s="13"/>
      <c r="C9" s="56">
        <v>0</v>
      </c>
      <c r="D9" s="14">
        <v>0</v>
      </c>
      <c r="E9" s="22">
        <f t="shared" si="5"/>
        <v>0</v>
      </c>
      <c r="F9" s="23">
        <f t="shared" si="6"/>
        <v>0</v>
      </c>
      <c r="G9" s="49">
        <v>0</v>
      </c>
      <c r="H9" s="49">
        <v>0</v>
      </c>
      <c r="I9" s="49">
        <v>0</v>
      </c>
      <c r="J9" s="49">
        <v>0</v>
      </c>
      <c r="K9" s="24"/>
      <c r="L9" s="8">
        <f t="shared" si="2"/>
        <v>0</v>
      </c>
      <c r="M9" s="8">
        <f t="shared" si="8"/>
        <v>0</v>
      </c>
      <c r="N9" s="8">
        <f t="shared" si="9"/>
        <v>0</v>
      </c>
      <c r="O9" s="8">
        <f t="shared" si="10"/>
        <v>0</v>
      </c>
      <c r="P9" s="25">
        <f>D9*(1+'1'!$Z$4)</f>
        <v>0</v>
      </c>
      <c r="Q9" s="25">
        <f>P9*(1+'1'!$AA$4)</f>
        <v>0</v>
      </c>
      <c r="R9" s="25">
        <f>Q9*(1+'1'!$AB$4)</f>
        <v>0</v>
      </c>
      <c r="S9" s="25">
        <f>R9*(1+'1'!$AC$4)</f>
        <v>0</v>
      </c>
      <c r="T9" s="26">
        <f t="shared" si="11"/>
        <v>0</v>
      </c>
      <c r="U9" s="26">
        <f t="shared" si="12"/>
        <v>0</v>
      </c>
      <c r="V9" s="26">
        <f t="shared" si="13"/>
        <v>0</v>
      </c>
      <c r="W9" s="26">
        <f t="shared" si="14"/>
        <v>0</v>
      </c>
      <c r="X9" s="26"/>
    </row>
    <row r="10" spans="1:29">
      <c r="A10" s="21">
        <f t="shared" si="16"/>
        <v>8</v>
      </c>
      <c r="B10" s="13"/>
      <c r="C10" s="56">
        <v>0</v>
      </c>
      <c r="D10" s="14">
        <v>0</v>
      </c>
      <c r="E10" s="22">
        <f t="shared" si="5"/>
        <v>0</v>
      </c>
      <c r="F10" s="23">
        <f t="shared" si="6"/>
        <v>0</v>
      </c>
      <c r="G10" s="49">
        <v>0</v>
      </c>
      <c r="H10" s="49">
        <v>0</v>
      </c>
      <c r="I10" s="49">
        <v>0</v>
      </c>
      <c r="J10" s="49">
        <v>0</v>
      </c>
      <c r="K10" s="24"/>
      <c r="L10" s="8">
        <f t="shared" si="2"/>
        <v>0</v>
      </c>
      <c r="M10" s="8">
        <f t="shared" si="8"/>
        <v>0</v>
      </c>
      <c r="N10" s="8">
        <f t="shared" si="9"/>
        <v>0</v>
      </c>
      <c r="O10" s="8">
        <f t="shared" si="10"/>
        <v>0</v>
      </c>
      <c r="P10" s="25">
        <f>D10*(1+'1'!$Z$4)</f>
        <v>0</v>
      </c>
      <c r="Q10" s="25">
        <f>P10*(1+'1'!$AA$4)</f>
        <v>0</v>
      </c>
      <c r="R10" s="25">
        <f>Q10*(1+'1'!$AB$4)</f>
        <v>0</v>
      </c>
      <c r="S10" s="25">
        <f>R10*(1+'1'!$AC$4)</f>
        <v>0</v>
      </c>
      <c r="T10" s="26">
        <f t="shared" si="11"/>
        <v>0</v>
      </c>
      <c r="U10" s="26">
        <f t="shared" si="12"/>
        <v>0</v>
      </c>
      <c r="V10" s="26">
        <f t="shared" si="13"/>
        <v>0</v>
      </c>
      <c r="W10" s="26">
        <f t="shared" si="14"/>
        <v>0</v>
      </c>
      <c r="X10" s="26"/>
    </row>
    <row r="11" spans="1:29">
      <c r="A11" s="21">
        <f t="shared" si="16"/>
        <v>9</v>
      </c>
      <c r="B11" s="13"/>
      <c r="C11" s="56">
        <v>0</v>
      </c>
      <c r="D11" s="14">
        <v>0</v>
      </c>
      <c r="E11" s="22">
        <f t="shared" si="5"/>
        <v>0</v>
      </c>
      <c r="F11" s="23">
        <f t="shared" si="6"/>
        <v>0</v>
      </c>
      <c r="G11" s="49">
        <v>0</v>
      </c>
      <c r="H11" s="49">
        <v>0</v>
      </c>
      <c r="I11" s="49">
        <v>0</v>
      </c>
      <c r="J11" s="49">
        <v>0</v>
      </c>
      <c r="K11" s="24"/>
      <c r="L11" s="8">
        <f t="shared" si="2"/>
        <v>0</v>
      </c>
      <c r="M11" s="8">
        <f t="shared" si="8"/>
        <v>0</v>
      </c>
      <c r="N11" s="8">
        <f t="shared" si="9"/>
        <v>0</v>
      </c>
      <c r="O11" s="8">
        <f t="shared" si="10"/>
        <v>0</v>
      </c>
      <c r="P11" s="25">
        <f>D11*(1+'1'!$Z$4)</f>
        <v>0</v>
      </c>
      <c r="Q11" s="25">
        <f>P11*(1+'1'!$AA$4)</f>
        <v>0</v>
      </c>
      <c r="R11" s="25">
        <f>Q11*(1+'1'!$AB$4)</f>
        <v>0</v>
      </c>
      <c r="S11" s="25">
        <f>R11*(1+'1'!$AC$4)</f>
        <v>0</v>
      </c>
      <c r="T11" s="26">
        <f t="shared" si="11"/>
        <v>0</v>
      </c>
      <c r="U11" s="26">
        <f t="shared" si="12"/>
        <v>0</v>
      </c>
      <c r="V11" s="26">
        <f t="shared" si="13"/>
        <v>0</v>
      </c>
      <c r="W11" s="26">
        <f t="shared" si="14"/>
        <v>0</v>
      </c>
      <c r="X11" s="26"/>
    </row>
    <row r="12" spans="1:29">
      <c r="A12" s="21">
        <f t="shared" si="16"/>
        <v>10</v>
      </c>
      <c r="B12" s="13"/>
      <c r="C12" s="56">
        <v>0</v>
      </c>
      <c r="D12" s="14">
        <v>0</v>
      </c>
      <c r="E12" s="22">
        <f t="shared" si="5"/>
        <v>0</v>
      </c>
      <c r="F12" s="23">
        <f t="shared" si="6"/>
        <v>0</v>
      </c>
      <c r="G12" s="49">
        <v>0</v>
      </c>
      <c r="H12" s="49">
        <v>0</v>
      </c>
      <c r="I12" s="49">
        <v>0</v>
      </c>
      <c r="J12" s="49">
        <v>0</v>
      </c>
      <c r="K12" s="24"/>
      <c r="L12" s="8">
        <f t="shared" si="2"/>
        <v>0</v>
      </c>
      <c r="M12" s="8">
        <f t="shared" si="8"/>
        <v>0</v>
      </c>
      <c r="N12" s="8">
        <f t="shared" si="9"/>
        <v>0</v>
      </c>
      <c r="O12" s="8">
        <f t="shared" si="10"/>
        <v>0</v>
      </c>
      <c r="P12" s="25">
        <f>D12*(1+'1'!$Z$4)</f>
        <v>0</v>
      </c>
      <c r="Q12" s="25">
        <f>P12*(1+'1'!$AA$4)</f>
        <v>0</v>
      </c>
      <c r="R12" s="25">
        <f>Q12*(1+'1'!$AB$4)</f>
        <v>0</v>
      </c>
      <c r="S12" s="25">
        <f>R12*(1+'1'!$AC$4)</f>
        <v>0</v>
      </c>
      <c r="T12" s="26">
        <f t="shared" si="11"/>
        <v>0</v>
      </c>
      <c r="U12" s="26">
        <f t="shared" si="12"/>
        <v>0</v>
      </c>
      <c r="V12" s="26">
        <f t="shared" si="13"/>
        <v>0</v>
      </c>
      <c r="W12" s="26">
        <f t="shared" si="14"/>
        <v>0</v>
      </c>
      <c r="X12" s="26"/>
    </row>
    <row r="13" spans="1:29">
      <c r="D13" s="8" t="s">
        <v>8</v>
      </c>
      <c r="E13" s="33">
        <f>SUM(E3:E12)</f>
        <v>1131352400.0000002</v>
      </c>
      <c r="F13" s="34">
        <f>SUM(F3:F12)</f>
        <v>0.99999999999999989</v>
      </c>
      <c r="T13" s="35">
        <f>SUM(T3:T12)</f>
        <v>1248705321.7472003</v>
      </c>
      <c r="U13" s="35">
        <f>SUM(U3:U12)</f>
        <v>1387964060.9917521</v>
      </c>
      <c r="V13" s="35">
        <f>SUM(V3:V12)</f>
        <v>1553606467.9586296</v>
      </c>
      <c r="W13" s="35">
        <f>SUM(W3:W12)</f>
        <v>1751204236.9956501</v>
      </c>
      <c r="X13" s="26"/>
    </row>
    <row r="15" spans="1:29" ht="23.25" customHeight="1">
      <c r="A15" s="222" t="s">
        <v>6</v>
      </c>
      <c r="B15" s="222"/>
      <c r="C15" s="222"/>
      <c r="D15" s="222"/>
      <c r="E15" s="222"/>
      <c r="G15" s="36"/>
    </row>
    <row r="16" spans="1:29" ht="25.5" customHeight="1">
      <c r="B16" s="17" t="s">
        <v>3</v>
      </c>
      <c r="C16" s="37" t="s">
        <v>0</v>
      </c>
      <c r="D16" s="115" t="s">
        <v>137</v>
      </c>
      <c r="E16" s="18" t="s">
        <v>2</v>
      </c>
      <c r="L16" s="8">
        <f>L2</f>
        <v>2025</v>
      </c>
      <c r="M16" s="8">
        <f t="shared" ref="M16:W16" si="19">M2</f>
        <v>2026</v>
      </c>
      <c r="N16" s="8">
        <f t="shared" si="19"/>
        <v>2027</v>
      </c>
      <c r="O16" s="8">
        <f t="shared" si="19"/>
        <v>2028</v>
      </c>
      <c r="P16" s="8" t="str">
        <f t="shared" si="19"/>
        <v>AÑO 2</v>
      </c>
      <c r="Q16" s="8" t="str">
        <f t="shared" si="19"/>
        <v>AÑO 3</v>
      </c>
      <c r="R16" s="8" t="str">
        <f t="shared" si="19"/>
        <v>AÑO 4</v>
      </c>
      <c r="S16" s="8" t="str">
        <f t="shared" si="19"/>
        <v>AÑO 5</v>
      </c>
      <c r="T16" s="8" t="str">
        <f t="shared" si="19"/>
        <v>año 2</v>
      </c>
      <c r="U16" s="8" t="str">
        <f t="shared" si="19"/>
        <v>año 3</v>
      </c>
      <c r="V16" s="8" t="str">
        <f t="shared" si="19"/>
        <v>año 4</v>
      </c>
      <c r="W16" s="8" t="str">
        <f t="shared" si="19"/>
        <v>año 5</v>
      </c>
    </row>
    <row r="17" spans="1:24">
      <c r="A17" s="21">
        <f>A3</f>
        <v>1</v>
      </c>
      <c r="B17" s="95" t="str">
        <f>B3</f>
        <v>Valera</v>
      </c>
      <c r="C17" s="144">
        <f>C3</f>
        <v>3371.5800000000004</v>
      </c>
      <c r="D17" s="14">
        <f>+Servicios!E11</f>
        <v>61000</v>
      </c>
      <c r="E17" s="22">
        <f>C17*D17</f>
        <v>205666380.00000003</v>
      </c>
      <c r="F17" s="23">
        <f>IF($E$27=0,0,E17/$E$27)</f>
        <v>0.51231802911534152</v>
      </c>
      <c r="L17" s="8">
        <f t="shared" ref="L17:L26" si="20">C17*(1+G3)</f>
        <v>3405.2958000000003</v>
      </c>
      <c r="M17" s="8">
        <f>L17*(1+H3)</f>
        <v>3447.8619975000001</v>
      </c>
      <c r="N17" s="8">
        <f t="shared" ref="N17:O17" si="21">M17*(1+I3)</f>
        <v>3499.5799274624997</v>
      </c>
      <c r="O17" s="8">
        <f t="shared" si="21"/>
        <v>3560.8225761930935</v>
      </c>
      <c r="P17" s="40">
        <f>D17*(1+'1'!$Z$5)</f>
        <v>66660.800000000003</v>
      </c>
      <c r="Q17" s="25">
        <f>P17*(1+'1'!$AA$5)</f>
        <v>73180.226239999989</v>
      </c>
      <c r="R17" s="25">
        <f>Q17*(1+'1'!$AB$5)</f>
        <v>80703.153497471983</v>
      </c>
      <c r="S17" s="25">
        <f>R17*(1+'1'!$AC$5)</f>
        <v>89402.953444499479</v>
      </c>
      <c r="T17" s="40">
        <f t="shared" ref="T17:U19" si="22">L17*P17</f>
        <v>226999742.26464003</v>
      </c>
      <c r="U17" s="26">
        <f t="shared" si="22"/>
        <v>252315321.0213483</v>
      </c>
      <c r="V17" s="26">
        <f t="shared" ref="V17:W17" si="23">N17*R17</f>
        <v>282427136.06267798</v>
      </c>
      <c r="W17" s="26">
        <f t="shared" si="23"/>
        <v>318348055.00351381</v>
      </c>
      <c r="X17" s="26"/>
    </row>
    <row r="18" spans="1:24">
      <c r="A18" s="21">
        <f t="shared" ref="A18:B25" si="24">A4</f>
        <v>2</v>
      </c>
      <c r="B18" s="41" t="str">
        <f t="shared" si="24"/>
        <v>Bienestar Básico</v>
      </c>
      <c r="C18" s="144">
        <f t="shared" ref="C18:C26" si="25">C4</f>
        <v>1048.9360000000001</v>
      </c>
      <c r="D18" s="14">
        <f>+Servicios!E19</f>
        <v>91500</v>
      </c>
      <c r="E18" s="22">
        <f t="shared" ref="E18:E26" si="26">C18*D18</f>
        <v>95977644.000000015</v>
      </c>
      <c r="F18" s="23">
        <f t="shared" ref="F18:F26" si="27">IF($E$27=0,0,E18/$E$27)</f>
        <v>0.23908174692049272</v>
      </c>
      <c r="L18" s="8">
        <f t="shared" si="20"/>
        <v>1059.4253600000002</v>
      </c>
      <c r="M18" s="8">
        <f t="shared" ref="M18:M26" si="28">L18*(1+H4)</f>
        <v>1072.6681770000002</v>
      </c>
      <c r="N18" s="8">
        <f t="shared" ref="N18:N26" si="29">M18*(1+I4)</f>
        <v>1088.7581996550002</v>
      </c>
      <c r="O18" s="8">
        <f t="shared" ref="O18:O26" si="30">N18*(1+J4)</f>
        <v>1107.8114681489628</v>
      </c>
      <c r="P18" s="40">
        <f>D18*(1+'1'!$Z$5)</f>
        <v>99991.2</v>
      </c>
      <c r="Q18" s="25">
        <f>P18*(1+'1'!$AA$5)</f>
        <v>109770.33935999998</v>
      </c>
      <c r="R18" s="25">
        <f>Q18*(1+'1'!$AB$5)</f>
        <v>121054.73024620798</v>
      </c>
      <c r="S18" s="25">
        <f>R18*(1+'1'!$AC$5)</f>
        <v>134104.43016674923</v>
      </c>
      <c r="T18" s="40">
        <f t="shared" si="22"/>
        <v>105933213.05683202</v>
      </c>
      <c r="U18" s="26">
        <f t="shared" si="22"/>
        <v>117747149.80996256</v>
      </c>
      <c r="V18" s="26">
        <f t="shared" ref="V18:V26" si="31">N18*R18</f>
        <v>131799330.1625831</v>
      </c>
      <c r="W18" s="26">
        <f t="shared" ref="W18:W26" si="32">O18*S18</f>
        <v>148562425.66830653</v>
      </c>
      <c r="X18" s="26"/>
    </row>
    <row r="19" spans="1:24">
      <c r="A19" s="21">
        <f t="shared" si="24"/>
        <v>3</v>
      </c>
      <c r="B19" s="41" t="str">
        <f t="shared" si="24"/>
        <v>Bienestar Integral</v>
      </c>
      <c r="C19" s="39">
        <f t="shared" si="25"/>
        <v>374.62</v>
      </c>
      <c r="D19" s="14">
        <f>+Servicios!E28</f>
        <v>266400</v>
      </c>
      <c r="E19" s="22">
        <f t="shared" si="26"/>
        <v>99798768</v>
      </c>
      <c r="F19" s="23">
        <f t="shared" si="27"/>
        <v>0.2486002239641657</v>
      </c>
      <c r="L19" s="8">
        <f t="shared" si="20"/>
        <v>378.36619999999999</v>
      </c>
      <c r="M19" s="8">
        <f t="shared" si="28"/>
        <v>383.0957775</v>
      </c>
      <c r="N19" s="8">
        <f t="shared" si="29"/>
        <v>388.84221416249994</v>
      </c>
      <c r="O19" s="8">
        <f t="shared" si="30"/>
        <v>395.64695291034371</v>
      </c>
      <c r="P19" s="40">
        <f>D19*(1+'1'!$Z$5)</f>
        <v>291121.91999999998</v>
      </c>
      <c r="Q19" s="25">
        <f>P19*(1+'1'!$AA$5)</f>
        <v>319593.64377599995</v>
      </c>
      <c r="R19" s="25">
        <f>Q19*(1+'1'!$AB$5)</f>
        <v>352447.87035617273</v>
      </c>
      <c r="S19" s="25">
        <f>R19*(1+'1'!$AC$5)</f>
        <v>390441.75078056817</v>
      </c>
      <c r="T19" s="40">
        <f t="shared" si="22"/>
        <v>110150694.60710399</v>
      </c>
      <c r="U19" s="26">
        <f t="shared" si="22"/>
        <v>122434975.44642474</v>
      </c>
      <c r="V19" s="26">
        <f t="shared" si="31"/>
        <v>137046610.28615195</v>
      </c>
      <c r="W19" s="26">
        <f t="shared" si="32"/>
        <v>154477088.9853116</v>
      </c>
      <c r="X19" s="26"/>
    </row>
    <row r="20" spans="1:24">
      <c r="A20" s="21">
        <f t="shared" si="24"/>
        <v>4</v>
      </c>
      <c r="B20" s="41">
        <f t="shared" si="24"/>
        <v>0</v>
      </c>
      <c r="C20" s="39">
        <f t="shared" si="25"/>
        <v>0</v>
      </c>
      <c r="D20" s="14">
        <v>0</v>
      </c>
      <c r="E20" s="22">
        <f t="shared" si="26"/>
        <v>0</v>
      </c>
      <c r="F20" s="23">
        <f t="shared" si="27"/>
        <v>0</v>
      </c>
      <c r="L20" s="8">
        <f t="shared" si="20"/>
        <v>0</v>
      </c>
      <c r="M20" s="8">
        <f t="shared" si="28"/>
        <v>0</v>
      </c>
      <c r="N20" s="8">
        <f t="shared" si="29"/>
        <v>0</v>
      </c>
      <c r="O20" s="8">
        <f t="shared" si="30"/>
        <v>0</v>
      </c>
      <c r="P20" s="40">
        <f>D20*(1+'1'!$Z$5)</f>
        <v>0</v>
      </c>
      <c r="Q20" s="25">
        <f>P20*(1+'1'!$AA$5)</f>
        <v>0</v>
      </c>
      <c r="R20" s="25">
        <f>Q20*(1+'1'!$AB$5)</f>
        <v>0</v>
      </c>
      <c r="S20" s="25">
        <f>R20*(1+'1'!$AC$5)</f>
        <v>0</v>
      </c>
      <c r="T20" s="40">
        <f t="shared" ref="T20:T26" si="33">L20*P20</f>
        <v>0</v>
      </c>
      <c r="U20" s="26">
        <f t="shared" ref="U20:U26" si="34">M20*Q20</f>
        <v>0</v>
      </c>
      <c r="V20" s="26">
        <f t="shared" si="31"/>
        <v>0</v>
      </c>
      <c r="W20" s="26">
        <f t="shared" si="32"/>
        <v>0</v>
      </c>
      <c r="X20" s="26"/>
    </row>
    <row r="21" spans="1:24">
      <c r="A21" s="21">
        <f t="shared" si="24"/>
        <v>5</v>
      </c>
      <c r="B21" s="41">
        <f t="shared" si="24"/>
        <v>0</v>
      </c>
      <c r="C21" s="39">
        <f t="shared" si="25"/>
        <v>0</v>
      </c>
      <c r="D21" s="14">
        <v>0</v>
      </c>
      <c r="E21" s="22">
        <f t="shared" si="26"/>
        <v>0</v>
      </c>
      <c r="F21" s="23">
        <f t="shared" si="27"/>
        <v>0</v>
      </c>
      <c r="L21" s="8">
        <f t="shared" si="20"/>
        <v>0</v>
      </c>
      <c r="M21" s="8">
        <f t="shared" si="28"/>
        <v>0</v>
      </c>
      <c r="N21" s="8">
        <f t="shared" si="29"/>
        <v>0</v>
      </c>
      <c r="O21" s="8">
        <f t="shared" si="30"/>
        <v>0</v>
      </c>
      <c r="P21" s="40">
        <f>D21*(1+'1'!$Z$5)</f>
        <v>0</v>
      </c>
      <c r="Q21" s="25">
        <f>P21*(1+'1'!$AA$5)</f>
        <v>0</v>
      </c>
      <c r="R21" s="25">
        <f>Q21*(1+'1'!$AB$5)</f>
        <v>0</v>
      </c>
      <c r="S21" s="25">
        <f>R21*(1+'1'!$AC$5)</f>
        <v>0</v>
      </c>
      <c r="T21" s="40">
        <f t="shared" si="33"/>
        <v>0</v>
      </c>
      <c r="U21" s="26">
        <f t="shared" si="34"/>
        <v>0</v>
      </c>
      <c r="V21" s="26">
        <f t="shared" si="31"/>
        <v>0</v>
      </c>
      <c r="W21" s="26">
        <f t="shared" si="32"/>
        <v>0</v>
      </c>
      <c r="X21" s="26"/>
    </row>
    <row r="22" spans="1:24">
      <c r="A22" s="21">
        <f t="shared" si="24"/>
        <v>6</v>
      </c>
      <c r="B22" s="41">
        <f t="shared" si="24"/>
        <v>0</v>
      </c>
      <c r="C22" s="39">
        <f t="shared" si="25"/>
        <v>0</v>
      </c>
      <c r="D22" s="14">
        <v>0</v>
      </c>
      <c r="E22" s="22">
        <f t="shared" si="26"/>
        <v>0</v>
      </c>
      <c r="F22" s="23">
        <f t="shared" si="27"/>
        <v>0</v>
      </c>
      <c r="L22" s="8">
        <f t="shared" si="20"/>
        <v>0</v>
      </c>
      <c r="M22" s="8">
        <f t="shared" si="28"/>
        <v>0</v>
      </c>
      <c r="N22" s="8">
        <f t="shared" si="29"/>
        <v>0</v>
      </c>
      <c r="O22" s="8">
        <f t="shared" si="30"/>
        <v>0</v>
      </c>
      <c r="P22" s="40">
        <f>D22*(1+'1'!$Z$5)</f>
        <v>0</v>
      </c>
      <c r="Q22" s="25">
        <f>P22*(1+'1'!$AA$5)</f>
        <v>0</v>
      </c>
      <c r="R22" s="25">
        <f>Q22*(1+'1'!$AB$5)</f>
        <v>0</v>
      </c>
      <c r="S22" s="25">
        <f>R22*(1+'1'!$AC$5)</f>
        <v>0</v>
      </c>
      <c r="T22" s="40">
        <f t="shared" si="33"/>
        <v>0</v>
      </c>
      <c r="U22" s="26">
        <f t="shared" si="34"/>
        <v>0</v>
      </c>
      <c r="V22" s="26">
        <f t="shared" si="31"/>
        <v>0</v>
      </c>
      <c r="W22" s="26">
        <f t="shared" si="32"/>
        <v>0</v>
      </c>
      <c r="X22" s="26"/>
    </row>
    <row r="23" spans="1:24">
      <c r="A23" s="21">
        <f t="shared" si="24"/>
        <v>7</v>
      </c>
      <c r="B23" s="41">
        <f t="shared" si="24"/>
        <v>0</v>
      </c>
      <c r="C23" s="39">
        <f t="shared" si="25"/>
        <v>0</v>
      </c>
      <c r="D23" s="14">
        <v>0</v>
      </c>
      <c r="E23" s="22">
        <f t="shared" si="26"/>
        <v>0</v>
      </c>
      <c r="F23" s="23">
        <f t="shared" si="27"/>
        <v>0</v>
      </c>
      <c r="L23" s="8">
        <f t="shared" si="20"/>
        <v>0</v>
      </c>
      <c r="M23" s="8">
        <f t="shared" si="28"/>
        <v>0</v>
      </c>
      <c r="N23" s="8">
        <f t="shared" si="29"/>
        <v>0</v>
      </c>
      <c r="O23" s="8">
        <f t="shared" si="30"/>
        <v>0</v>
      </c>
      <c r="P23" s="40">
        <f>D23*(1+'1'!$Z$5)</f>
        <v>0</v>
      </c>
      <c r="Q23" s="25">
        <f>P23*(1+'1'!$AA$5)</f>
        <v>0</v>
      </c>
      <c r="R23" s="25">
        <f>Q23*(1+'1'!$AB$5)</f>
        <v>0</v>
      </c>
      <c r="S23" s="25">
        <f>R23*(1+'1'!$AC$5)</f>
        <v>0</v>
      </c>
      <c r="T23" s="40">
        <f t="shared" si="33"/>
        <v>0</v>
      </c>
      <c r="U23" s="26">
        <f t="shared" si="34"/>
        <v>0</v>
      </c>
      <c r="V23" s="26">
        <f t="shared" si="31"/>
        <v>0</v>
      </c>
      <c r="W23" s="26">
        <f t="shared" si="32"/>
        <v>0</v>
      </c>
      <c r="X23" s="26"/>
    </row>
    <row r="24" spans="1:24">
      <c r="A24" s="21">
        <f t="shared" si="24"/>
        <v>8</v>
      </c>
      <c r="B24" s="41">
        <f t="shared" si="24"/>
        <v>0</v>
      </c>
      <c r="C24" s="39">
        <f t="shared" si="25"/>
        <v>0</v>
      </c>
      <c r="D24" s="14">
        <v>0</v>
      </c>
      <c r="E24" s="22">
        <f t="shared" si="26"/>
        <v>0</v>
      </c>
      <c r="F24" s="23">
        <f t="shared" si="27"/>
        <v>0</v>
      </c>
      <c r="L24" s="8">
        <f t="shared" si="20"/>
        <v>0</v>
      </c>
      <c r="M24" s="8">
        <f t="shared" si="28"/>
        <v>0</v>
      </c>
      <c r="N24" s="8">
        <f t="shared" si="29"/>
        <v>0</v>
      </c>
      <c r="O24" s="8">
        <f t="shared" si="30"/>
        <v>0</v>
      </c>
      <c r="P24" s="40">
        <f>D24*(1+'1'!$Z$5)</f>
        <v>0</v>
      </c>
      <c r="Q24" s="25">
        <f>P24*(1+'1'!$AA$5)</f>
        <v>0</v>
      </c>
      <c r="R24" s="25">
        <f>Q24*(1+'1'!$AB$5)</f>
        <v>0</v>
      </c>
      <c r="S24" s="25">
        <f>R24*(1+'1'!$AC$5)</f>
        <v>0</v>
      </c>
      <c r="T24" s="40">
        <f t="shared" si="33"/>
        <v>0</v>
      </c>
      <c r="U24" s="26">
        <f t="shared" si="34"/>
        <v>0</v>
      </c>
      <c r="V24" s="26">
        <f t="shared" si="31"/>
        <v>0</v>
      </c>
      <c r="W24" s="26">
        <f t="shared" si="32"/>
        <v>0</v>
      </c>
      <c r="X24" s="26"/>
    </row>
    <row r="25" spans="1:24">
      <c r="A25" s="21">
        <f t="shared" si="24"/>
        <v>9</v>
      </c>
      <c r="B25" s="41">
        <f t="shared" si="24"/>
        <v>0</v>
      </c>
      <c r="C25" s="39">
        <f t="shared" si="25"/>
        <v>0</v>
      </c>
      <c r="D25" s="14">
        <v>0</v>
      </c>
      <c r="E25" s="22">
        <f t="shared" si="26"/>
        <v>0</v>
      </c>
      <c r="F25" s="23">
        <f t="shared" si="27"/>
        <v>0</v>
      </c>
      <c r="L25" s="8">
        <f t="shared" si="20"/>
        <v>0</v>
      </c>
      <c r="M25" s="8">
        <f t="shared" si="28"/>
        <v>0</v>
      </c>
      <c r="N25" s="8">
        <f t="shared" si="29"/>
        <v>0</v>
      </c>
      <c r="O25" s="8">
        <f t="shared" si="30"/>
        <v>0</v>
      </c>
      <c r="P25" s="40">
        <f>D25*(1+'1'!$Z$5)</f>
        <v>0</v>
      </c>
      <c r="Q25" s="25">
        <f>P25*(1+'1'!$AA$5)</f>
        <v>0</v>
      </c>
      <c r="R25" s="25">
        <f>Q25*(1+'1'!$AB$5)</f>
        <v>0</v>
      </c>
      <c r="S25" s="25">
        <f>R25*(1+'1'!$AC$5)</f>
        <v>0</v>
      </c>
      <c r="T25" s="40">
        <f t="shared" si="33"/>
        <v>0</v>
      </c>
      <c r="U25" s="26">
        <f t="shared" si="34"/>
        <v>0</v>
      </c>
      <c r="V25" s="26">
        <f t="shared" si="31"/>
        <v>0</v>
      </c>
      <c r="W25" s="26">
        <f t="shared" si="32"/>
        <v>0</v>
      </c>
      <c r="X25" s="26"/>
    </row>
    <row r="26" spans="1:24">
      <c r="A26" s="21">
        <f>A12</f>
        <v>10</v>
      </c>
      <c r="B26" s="41">
        <f t="shared" ref="B26" si="35">B12</f>
        <v>0</v>
      </c>
      <c r="C26" s="39">
        <f t="shared" si="25"/>
        <v>0</v>
      </c>
      <c r="D26" s="14">
        <v>0</v>
      </c>
      <c r="E26" s="22">
        <f t="shared" si="26"/>
        <v>0</v>
      </c>
      <c r="F26" s="23">
        <f t="shared" si="27"/>
        <v>0</v>
      </c>
      <c r="L26" s="8">
        <f t="shared" si="20"/>
        <v>0</v>
      </c>
      <c r="M26" s="8">
        <f t="shared" si="28"/>
        <v>0</v>
      </c>
      <c r="N26" s="8">
        <f t="shared" si="29"/>
        <v>0</v>
      </c>
      <c r="O26" s="8">
        <f t="shared" si="30"/>
        <v>0</v>
      </c>
      <c r="P26" s="40">
        <f>D26*(1+'1'!$Z$5)</f>
        <v>0</v>
      </c>
      <c r="Q26" s="25">
        <f>P26*(1+'1'!$AA$5)</f>
        <v>0</v>
      </c>
      <c r="R26" s="25">
        <f>Q26*(1+'1'!$AB$5)</f>
        <v>0</v>
      </c>
      <c r="S26" s="25">
        <f>R26*(1+'1'!$AC$5)</f>
        <v>0</v>
      </c>
      <c r="T26" s="40">
        <f t="shared" si="33"/>
        <v>0</v>
      </c>
      <c r="U26" s="26">
        <f t="shared" si="34"/>
        <v>0</v>
      </c>
      <c r="V26" s="26">
        <f t="shared" si="31"/>
        <v>0</v>
      </c>
      <c r="W26" s="26">
        <f t="shared" si="32"/>
        <v>0</v>
      </c>
      <c r="X26" s="26"/>
    </row>
    <row r="27" spans="1:24">
      <c r="D27" s="8" t="str">
        <f>D13</f>
        <v>TOTAL</v>
      </c>
      <c r="E27" s="33">
        <f>SUM(E17:E26)</f>
        <v>401442792.00000006</v>
      </c>
      <c r="F27" s="34">
        <f>SUM(F17:F26)</f>
        <v>0.99999999999999989</v>
      </c>
      <c r="T27" s="35">
        <f>SUM(T17:T26)</f>
        <v>443083649.92857605</v>
      </c>
      <c r="U27" s="35">
        <f>SUM(U17:U26)</f>
        <v>492497446.27773559</v>
      </c>
      <c r="V27" s="35">
        <f t="shared" ref="V27:W27" si="36">SUM(V17:V26)</f>
        <v>551273076.5114131</v>
      </c>
      <c r="W27" s="35">
        <f t="shared" si="36"/>
        <v>621387569.65713191</v>
      </c>
      <c r="X27" s="26"/>
    </row>
    <row r="30" spans="1:24">
      <c r="A30" s="221" t="s">
        <v>19</v>
      </c>
      <c r="B30" s="221"/>
      <c r="C30" s="221"/>
      <c r="D30" s="221"/>
      <c r="E30" s="221"/>
      <c r="F30" s="221"/>
    </row>
    <row r="31" spans="1:24" ht="26.25">
      <c r="A31" s="42" t="s">
        <v>10</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c r="A32" s="45" t="s">
        <v>20</v>
      </c>
      <c r="B32" s="46">
        <f>'1'!E13</f>
        <v>1131352400.0000002</v>
      </c>
      <c r="C32" s="47">
        <f>'1'!T13</f>
        <v>1248705321.7472003</v>
      </c>
      <c r="D32" s="47">
        <f>'1'!U13</f>
        <v>1387964060.9917521</v>
      </c>
      <c r="E32" s="47">
        <f>'1'!V13</f>
        <v>1553606467.9586296</v>
      </c>
      <c r="F32" s="47">
        <f>'1'!W13</f>
        <v>1751204236.9956501</v>
      </c>
    </row>
    <row r="33" spans="1:6">
      <c r="A33" s="45" t="s">
        <v>21</v>
      </c>
      <c r="B33" s="46">
        <f>'1'!E27</f>
        <v>401442792.00000006</v>
      </c>
      <c r="C33" s="46">
        <f>'1'!T27</f>
        <v>443083649.92857605</v>
      </c>
      <c r="D33" s="46">
        <f>'1'!U27</f>
        <v>492497446.27773559</v>
      </c>
      <c r="E33" s="46">
        <f>'1'!V27</f>
        <v>551273076.5114131</v>
      </c>
      <c r="F33" s="46">
        <f>'1'!W27</f>
        <v>621387569.65713191</v>
      </c>
    </row>
    <row r="34" spans="1:6" ht="21" thickBot="1">
      <c r="A34" s="48" t="s">
        <v>22</v>
      </c>
      <c r="B34" s="121">
        <f>B32-B33</f>
        <v>729909608.00000024</v>
      </c>
      <c r="C34" s="121">
        <f t="shared" ref="C34:D34" si="37">C32-C33</f>
        <v>805621671.81862426</v>
      </c>
      <c r="D34" s="121">
        <f t="shared" si="37"/>
        <v>895466614.71401656</v>
      </c>
      <c r="E34" s="121">
        <f t="shared" ref="E34" si="38">E32-E33</f>
        <v>1002333391.4472165</v>
      </c>
      <c r="F34" s="121">
        <f t="shared" ref="F34" si="39">F32-F33</f>
        <v>1129816667.3385181</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1ECA-E959-490E-86C0-85117579124F}">
  <dimension ref="B1:J44"/>
  <sheetViews>
    <sheetView showGridLines="0" zoomScaleNormal="100" workbookViewId="0">
      <selection activeCell="C20" sqref="C20"/>
    </sheetView>
  </sheetViews>
  <sheetFormatPr baseColWidth="10" defaultRowHeight="12.75"/>
  <cols>
    <col min="1" max="1" width="11.42578125" style="154"/>
    <col min="2" max="2" width="22.28515625" style="154" customWidth="1"/>
    <col min="3" max="4" width="18.7109375" style="154" customWidth="1"/>
    <col min="5" max="5" width="13.7109375" style="154" customWidth="1"/>
    <col min="6" max="6" width="11.42578125" style="154"/>
    <col min="7" max="7" width="24.140625" style="154" customWidth="1"/>
    <col min="8" max="9" width="18.7109375" style="154" customWidth="1"/>
    <col min="10" max="10" width="13.7109375" style="154" customWidth="1"/>
    <col min="11" max="16384" width="11.42578125" style="154"/>
  </cols>
  <sheetData>
    <row r="1" spans="2:10" ht="13.5" thickBot="1"/>
    <row r="2" spans="2:10" ht="13.5" thickBot="1">
      <c r="B2" s="224" t="s">
        <v>302</v>
      </c>
      <c r="C2" s="225"/>
      <c r="D2" s="225"/>
      <c r="E2" s="226"/>
      <c r="G2" s="224" t="s">
        <v>303</v>
      </c>
      <c r="H2" s="225"/>
      <c r="I2" s="225"/>
      <c r="J2" s="226"/>
    </row>
    <row r="3" spans="2:10" ht="13.5" thickBot="1"/>
    <row r="4" spans="2:10" ht="13.5" thickBot="1">
      <c r="B4" s="155" t="s">
        <v>205</v>
      </c>
      <c r="C4" s="160">
        <v>75</v>
      </c>
      <c r="G4" s="161" t="s">
        <v>199</v>
      </c>
      <c r="H4" s="162" t="s">
        <v>200</v>
      </c>
    </row>
    <row r="5" spans="2:10" ht="13.5" thickBot="1">
      <c r="B5" s="155" t="s">
        <v>304</v>
      </c>
      <c r="C5" s="160">
        <v>64</v>
      </c>
      <c r="G5" s="163" t="s">
        <v>201</v>
      </c>
      <c r="H5" s="164">
        <v>112386</v>
      </c>
    </row>
    <row r="6" spans="2:10" ht="13.5" thickBot="1">
      <c r="B6" s="155" t="s">
        <v>203</v>
      </c>
      <c r="C6" s="165">
        <f>C5/C4</f>
        <v>0.85333333333333339</v>
      </c>
      <c r="D6" s="166"/>
      <c r="G6" s="167" t="s">
        <v>202</v>
      </c>
      <c r="H6" s="168">
        <v>112386</v>
      </c>
    </row>
    <row r="8" spans="2:10">
      <c r="B8" s="157" t="s">
        <v>206</v>
      </c>
      <c r="C8" s="157" t="s">
        <v>204</v>
      </c>
      <c r="D8" s="157" t="s">
        <v>203</v>
      </c>
      <c r="G8" s="155" t="s">
        <v>211</v>
      </c>
      <c r="H8" s="160">
        <f>H6*C6</f>
        <v>95902.720000000001</v>
      </c>
    </row>
    <row r="9" spans="2:10">
      <c r="B9" s="169" t="s">
        <v>196</v>
      </c>
      <c r="C9" s="170">
        <v>45</v>
      </c>
      <c r="D9" s="165">
        <f>C9/$C$5</f>
        <v>0.703125</v>
      </c>
      <c r="G9" s="155" t="s">
        <v>207</v>
      </c>
      <c r="H9" s="165">
        <v>0.05</v>
      </c>
    </row>
    <row r="10" spans="2:10">
      <c r="B10" s="155" t="s">
        <v>212</v>
      </c>
      <c r="C10" s="160">
        <v>14</v>
      </c>
      <c r="D10" s="165">
        <f t="shared" ref="D10:D11" si="0">C10/$C$5</f>
        <v>0.21875</v>
      </c>
      <c r="G10" s="155" t="s">
        <v>208</v>
      </c>
      <c r="H10" s="160">
        <f>H8*H9</f>
        <v>4795.1360000000004</v>
      </c>
    </row>
    <row r="11" spans="2:10">
      <c r="B11" s="155" t="s">
        <v>162</v>
      </c>
      <c r="C11" s="160">
        <v>5</v>
      </c>
      <c r="D11" s="165">
        <f t="shared" si="0"/>
        <v>7.8125E-2</v>
      </c>
    </row>
    <row r="12" spans="2:10">
      <c r="G12" s="157" t="s">
        <v>210</v>
      </c>
      <c r="H12" s="157" t="s">
        <v>209</v>
      </c>
    </row>
    <row r="13" spans="2:10">
      <c r="G13" s="169" t="s">
        <v>196</v>
      </c>
      <c r="H13" s="170">
        <f>$H$10*D9</f>
        <v>3371.5800000000004</v>
      </c>
    </row>
    <row r="14" spans="2:10">
      <c r="G14" s="155" t="s">
        <v>212</v>
      </c>
      <c r="H14" s="170">
        <f t="shared" ref="H14:H15" si="1">$H$10*D10</f>
        <v>1048.9360000000001</v>
      </c>
    </row>
    <row r="15" spans="2:10">
      <c r="G15" s="155" t="s">
        <v>162</v>
      </c>
      <c r="H15" s="170">
        <f t="shared" si="1"/>
        <v>374.62</v>
      </c>
    </row>
    <row r="19" spans="8:8">
      <c r="H19" s="171"/>
    </row>
    <row r="33" spans="2:10">
      <c r="B33" s="172"/>
      <c r="C33" s="172"/>
      <c r="D33" s="172"/>
      <c r="E33" s="173"/>
    </row>
    <row r="34" spans="2:10">
      <c r="B34" s="172"/>
      <c r="C34" s="172"/>
      <c r="D34" s="172"/>
      <c r="E34" s="173"/>
    </row>
    <row r="35" spans="2:10">
      <c r="B35" s="172"/>
      <c r="C35" s="172"/>
      <c r="D35" s="172"/>
      <c r="E35" s="172"/>
      <c r="I35" s="172"/>
      <c r="J35" s="173"/>
    </row>
    <row r="36" spans="2:10">
      <c r="B36" s="172"/>
      <c r="C36" s="172"/>
      <c r="D36" s="172"/>
      <c r="E36" s="172"/>
      <c r="I36" s="172"/>
      <c r="J36" s="173"/>
    </row>
    <row r="37" spans="2:10">
      <c r="B37" s="172"/>
      <c r="C37" s="172"/>
      <c r="D37" s="172"/>
      <c r="E37" s="172"/>
      <c r="G37" s="172"/>
      <c r="H37" s="172"/>
      <c r="I37" s="172"/>
      <c r="J37" s="172"/>
    </row>
    <row r="38" spans="2:10">
      <c r="B38" s="172"/>
      <c r="C38" s="172"/>
      <c r="D38" s="172"/>
      <c r="E38" s="172"/>
      <c r="G38" s="172"/>
      <c r="H38" s="172"/>
      <c r="I38" s="172"/>
      <c r="J38" s="172"/>
    </row>
    <row r="39" spans="2:10">
      <c r="B39" s="172"/>
      <c r="C39" s="172"/>
      <c r="D39" s="172"/>
      <c r="E39" s="172"/>
      <c r="G39" s="172"/>
      <c r="H39" s="172"/>
      <c r="I39" s="172"/>
      <c r="J39" s="172"/>
    </row>
    <row r="40" spans="2:10">
      <c r="B40" s="172"/>
      <c r="C40" s="172"/>
      <c r="D40" s="172"/>
      <c r="E40" s="172"/>
      <c r="G40" s="172"/>
      <c r="H40" s="172"/>
      <c r="I40" s="172"/>
      <c r="J40" s="172"/>
    </row>
    <row r="41" spans="2:10">
      <c r="G41" s="172"/>
      <c r="H41" s="172"/>
      <c r="I41" s="172"/>
      <c r="J41" s="172"/>
    </row>
    <row r="42" spans="2:10">
      <c r="G42" s="172"/>
      <c r="H42" s="172"/>
      <c r="I42" s="172"/>
      <c r="J42" s="172"/>
    </row>
    <row r="43" spans="2:10">
      <c r="G43" s="172"/>
      <c r="H43" s="172"/>
    </row>
    <row r="44" spans="2:10">
      <c r="G44" s="172"/>
      <c r="H44" s="172"/>
    </row>
  </sheetData>
  <mergeCells count="2">
    <mergeCell ref="G2:J2"/>
    <mergeCell ref="B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B85E6-A17A-4D9F-B6C8-7700F1E44ECE}">
  <dimension ref="A2:Q45"/>
  <sheetViews>
    <sheetView showGridLines="0" zoomScaleNormal="100" workbookViewId="0">
      <selection activeCell="D16" sqref="D16"/>
    </sheetView>
  </sheetViews>
  <sheetFormatPr baseColWidth="10" defaultRowHeight="12.75"/>
  <cols>
    <col min="1" max="1" width="11.42578125" style="154"/>
    <col min="2" max="2" width="22.28515625" style="154" customWidth="1"/>
    <col min="3" max="5" width="13.7109375" style="154" customWidth="1"/>
    <col min="6" max="6" width="11.42578125" style="154"/>
    <col min="7" max="7" width="17.7109375" style="154" customWidth="1"/>
    <col min="8" max="8" width="27.5703125" style="154" customWidth="1"/>
    <col min="9" max="9" width="19.5703125" style="154" customWidth="1"/>
    <col min="10" max="10" width="11.42578125" style="154"/>
    <col min="11" max="11" width="17.7109375" style="154" customWidth="1"/>
    <col min="12" max="12" width="27.5703125" style="154" customWidth="1"/>
    <col min="13" max="13" width="19.5703125" style="154" customWidth="1"/>
    <col min="14" max="14" width="11.42578125" style="154"/>
    <col min="15" max="15" width="17.7109375" style="154" customWidth="1"/>
    <col min="16" max="16" width="25.85546875" style="154" bestFit="1" customWidth="1"/>
    <col min="17" max="17" width="19.5703125" style="154" customWidth="1"/>
    <col min="18" max="16384" width="11.42578125" style="154"/>
  </cols>
  <sheetData>
    <row r="2" spans="1:17" ht="13.5" thickBot="1"/>
    <row r="3" spans="1:17" ht="13.5" thickBot="1">
      <c r="B3" s="224" t="s">
        <v>170</v>
      </c>
      <c r="C3" s="225"/>
      <c r="D3" s="225"/>
      <c r="E3" s="226"/>
      <c r="G3" s="224" t="s">
        <v>194</v>
      </c>
      <c r="H3" s="225"/>
      <c r="I3" s="226"/>
      <c r="K3" s="224" t="s">
        <v>305</v>
      </c>
      <c r="L3" s="225"/>
      <c r="M3" s="226"/>
      <c r="O3" s="224" t="s">
        <v>195</v>
      </c>
      <c r="P3" s="225"/>
      <c r="Q3" s="226"/>
    </row>
    <row r="4" spans="1:17" ht="13.5" thickBot="1"/>
    <row r="5" spans="1:17" ht="13.5" thickBot="1">
      <c r="B5" s="174" t="s">
        <v>196</v>
      </c>
      <c r="C5" s="175">
        <v>200000</v>
      </c>
      <c r="D5" s="166"/>
      <c r="E5" s="166"/>
      <c r="G5" s="176" t="s">
        <v>163</v>
      </c>
      <c r="H5" s="177" t="s">
        <v>306</v>
      </c>
      <c r="I5" s="178" t="s">
        <v>161</v>
      </c>
      <c r="K5" s="176" t="s">
        <v>163</v>
      </c>
      <c r="L5" s="177" t="s">
        <v>306</v>
      </c>
      <c r="M5" s="178" t="s">
        <v>161</v>
      </c>
      <c r="O5" s="176" t="s">
        <v>163</v>
      </c>
      <c r="P5" s="177" t="s">
        <v>306</v>
      </c>
      <c r="Q5" s="178" t="s">
        <v>161</v>
      </c>
    </row>
    <row r="6" spans="1:17" ht="13.5" thickBot="1">
      <c r="A6" s="179"/>
      <c r="B6" s="161" t="s">
        <v>164</v>
      </c>
      <c r="C6" s="180" t="s">
        <v>165</v>
      </c>
      <c r="D6" s="180" t="s">
        <v>166</v>
      </c>
      <c r="E6" s="162" t="s">
        <v>167</v>
      </c>
      <c r="G6" s="181">
        <v>6.25</v>
      </c>
      <c r="H6" s="182">
        <f>+Servicios!$D$15</f>
        <v>10000</v>
      </c>
      <c r="I6" s="183"/>
      <c r="K6" s="181">
        <v>6.25</v>
      </c>
      <c r="L6" s="182">
        <f>+Servicios!$D$15</f>
        <v>10000</v>
      </c>
      <c r="M6" s="183"/>
      <c r="O6" s="181">
        <v>6.25</v>
      </c>
      <c r="P6" s="182">
        <f>+Servicios!$D$24</f>
        <v>10000</v>
      </c>
      <c r="Q6" s="183"/>
    </row>
    <row r="7" spans="1:17">
      <c r="B7" s="184" t="s">
        <v>160</v>
      </c>
      <c r="C7" s="185">
        <f>9/2</f>
        <v>4.5</v>
      </c>
      <c r="D7" s="182">
        <v>10000</v>
      </c>
      <c r="E7" s="183">
        <f>+C7*D7</f>
        <v>45000</v>
      </c>
      <c r="G7" s="186">
        <v>7.291666666666667</v>
      </c>
      <c r="H7" s="156">
        <f>+Servicios!$D$15</f>
        <v>10000</v>
      </c>
      <c r="I7" s="187">
        <v>10000</v>
      </c>
      <c r="K7" s="186">
        <v>7.291666666666667</v>
      </c>
      <c r="L7" s="156">
        <f>+Servicios!$D$15</f>
        <v>10000</v>
      </c>
      <c r="M7" s="187">
        <f>+Servicios!$D$16</f>
        <v>12500</v>
      </c>
      <c r="O7" s="186">
        <v>7.291666666666667</v>
      </c>
      <c r="P7" s="156">
        <f>+Servicios!$D$24</f>
        <v>10000</v>
      </c>
      <c r="Q7" s="187"/>
    </row>
    <row r="8" spans="1:17">
      <c r="B8" s="188" t="s">
        <v>161</v>
      </c>
      <c r="C8" s="189">
        <f>1</f>
        <v>1</v>
      </c>
      <c r="D8" s="156">
        <v>10000</v>
      </c>
      <c r="E8" s="187">
        <f>+C8*D8</f>
        <v>10000</v>
      </c>
      <c r="G8" s="186">
        <v>6.3333333333333304</v>
      </c>
      <c r="H8" s="156">
        <f>+Servicios!$D$15</f>
        <v>10000</v>
      </c>
      <c r="I8" s="187">
        <v>10000</v>
      </c>
      <c r="K8" s="186">
        <v>6.3333333333333304</v>
      </c>
      <c r="L8" s="156">
        <f>+Servicios!$D$15</f>
        <v>10000</v>
      </c>
      <c r="M8" s="187">
        <f>+Servicios!$D$16</f>
        <v>12500</v>
      </c>
      <c r="O8" s="186">
        <v>6.3333333333333304</v>
      </c>
      <c r="P8" s="156">
        <f>+Servicios!$D$24</f>
        <v>10000</v>
      </c>
      <c r="Q8" s="187"/>
    </row>
    <row r="9" spans="1:17">
      <c r="B9" s="188" t="s">
        <v>183</v>
      </c>
      <c r="C9" s="230">
        <v>0.01</v>
      </c>
      <c r="D9" s="231"/>
      <c r="E9" s="187">
        <f>+C9*$C$13</f>
        <v>3000</v>
      </c>
      <c r="G9" s="186">
        <v>6.375</v>
      </c>
      <c r="H9" s="156">
        <f>+Servicios!$D$15</f>
        <v>10000</v>
      </c>
      <c r="I9" s="187">
        <v>10000</v>
      </c>
      <c r="K9" s="186">
        <v>6.375</v>
      </c>
      <c r="L9" s="156">
        <f>+Servicios!$D$15</f>
        <v>10000</v>
      </c>
      <c r="M9" s="187">
        <f>+Servicios!$D$16</f>
        <v>12500</v>
      </c>
      <c r="O9" s="186">
        <v>6.375</v>
      </c>
      <c r="P9" s="156">
        <f>+Servicios!$D$24</f>
        <v>10000</v>
      </c>
      <c r="Q9" s="187"/>
    </row>
    <row r="10" spans="1:17" ht="13.5" thickBot="1">
      <c r="B10" s="190" t="s">
        <v>184</v>
      </c>
      <c r="C10" s="228">
        <v>0.01</v>
      </c>
      <c r="D10" s="229"/>
      <c r="E10" s="191">
        <f>+C10*$C$13</f>
        <v>3000</v>
      </c>
      <c r="G10" s="186">
        <v>6.4166666666666696</v>
      </c>
      <c r="H10" s="156">
        <f>+Servicios!$D$15</f>
        <v>10000</v>
      </c>
      <c r="I10" s="187">
        <v>10000</v>
      </c>
      <c r="K10" s="186">
        <v>6.4166666666666696</v>
      </c>
      <c r="L10" s="156">
        <f>+Servicios!$D$15</f>
        <v>10000</v>
      </c>
      <c r="M10" s="187">
        <f>+Servicios!$D$16</f>
        <v>12500</v>
      </c>
      <c r="O10" s="186">
        <v>6.4166666666666696</v>
      </c>
      <c r="P10" s="156">
        <f>+Servicios!$D$24</f>
        <v>10000</v>
      </c>
      <c r="Q10" s="187"/>
    </row>
    <row r="11" spans="1:17" ht="13.5" thickBot="1">
      <c r="B11" s="166"/>
      <c r="C11" s="166"/>
      <c r="D11" s="166"/>
      <c r="E11" s="192">
        <f>+SUM(E7:E10)</f>
        <v>61000</v>
      </c>
      <c r="G11" s="186">
        <v>6.666666666666667</v>
      </c>
      <c r="H11" s="156">
        <f>+Servicios!$D$15</f>
        <v>10000</v>
      </c>
      <c r="I11" s="187"/>
      <c r="K11" s="186">
        <v>6.666666666666667</v>
      </c>
      <c r="L11" s="156">
        <f>+Servicios!$D$15</f>
        <v>10000</v>
      </c>
      <c r="M11" s="187"/>
      <c r="O11" s="186">
        <v>6.666666666666667</v>
      </c>
      <c r="P11" s="156">
        <f>+Servicios!$D$24</f>
        <v>10000</v>
      </c>
      <c r="Q11" s="187">
        <f>+Servicios!$D$25</f>
        <v>12500</v>
      </c>
    </row>
    <row r="12" spans="1:17" ht="13.5" thickBot="1">
      <c r="G12" s="186">
        <v>6.708333333333333</v>
      </c>
      <c r="H12" s="156">
        <f>+Servicios!$D$15</f>
        <v>10000</v>
      </c>
      <c r="I12" s="187"/>
      <c r="K12" s="186">
        <v>6.708333333333333</v>
      </c>
      <c r="L12" s="156">
        <f>+Servicios!$D$15</f>
        <v>10000</v>
      </c>
      <c r="M12" s="187"/>
      <c r="O12" s="186">
        <v>6.708333333333333</v>
      </c>
      <c r="P12" s="156">
        <f>+Servicios!$D$24</f>
        <v>10000</v>
      </c>
      <c r="Q12" s="187">
        <f>+Servicios!$D$25</f>
        <v>12500</v>
      </c>
    </row>
    <row r="13" spans="1:17" ht="13.5" thickBot="1">
      <c r="B13" s="174" t="s">
        <v>212</v>
      </c>
      <c r="C13" s="175">
        <v>300000</v>
      </c>
      <c r="D13" s="166"/>
      <c r="E13" s="166"/>
      <c r="G13" s="186">
        <v>6.75</v>
      </c>
      <c r="H13" s="156">
        <f>+Servicios!$D$15</f>
        <v>10000</v>
      </c>
      <c r="I13" s="187"/>
      <c r="K13" s="186">
        <v>6.75</v>
      </c>
      <c r="L13" s="156">
        <f>+Servicios!$D$15</f>
        <v>10000</v>
      </c>
      <c r="M13" s="187"/>
      <c r="O13" s="186">
        <v>6.75</v>
      </c>
      <c r="P13" s="156">
        <f>+Servicios!$D$24</f>
        <v>10000</v>
      </c>
      <c r="Q13" s="187">
        <f>+Servicios!$D$25</f>
        <v>12500</v>
      </c>
    </row>
    <row r="14" spans="1:17" ht="13.5" thickBot="1">
      <c r="B14" s="161" t="s">
        <v>164</v>
      </c>
      <c r="C14" s="180" t="s">
        <v>165</v>
      </c>
      <c r="D14" s="180" t="s">
        <v>166</v>
      </c>
      <c r="E14" s="162" t="s">
        <v>167</v>
      </c>
      <c r="G14" s="186">
        <v>6.7916666666666696</v>
      </c>
      <c r="H14" s="156">
        <f>+Servicios!$D$15</f>
        <v>10000</v>
      </c>
      <c r="I14" s="187"/>
      <c r="K14" s="186">
        <v>6.7916666666666696</v>
      </c>
      <c r="L14" s="156">
        <f>+Servicios!$D$15</f>
        <v>10000</v>
      </c>
      <c r="M14" s="187"/>
      <c r="O14" s="186">
        <v>6.7916666666666696</v>
      </c>
      <c r="P14" s="156">
        <f>+Servicios!$D$24</f>
        <v>10000</v>
      </c>
      <c r="Q14" s="187">
        <f>+Servicios!$D$25</f>
        <v>12500</v>
      </c>
    </row>
    <row r="15" spans="1:17">
      <c r="B15" s="184" t="s">
        <v>160</v>
      </c>
      <c r="C15" s="193">
        <f>14/2</f>
        <v>7</v>
      </c>
      <c r="D15" s="182">
        <v>10000</v>
      </c>
      <c r="E15" s="183">
        <f>+C15*D15</f>
        <v>70000</v>
      </c>
      <c r="G15" s="186">
        <v>6.8333333333333304</v>
      </c>
      <c r="H15" s="156">
        <f>+Servicios!$D$15</f>
        <v>10000</v>
      </c>
      <c r="I15" s="187"/>
      <c r="K15" s="186">
        <v>6.8333333333333304</v>
      </c>
      <c r="L15" s="156">
        <f>+Servicios!$D$15</f>
        <v>10000</v>
      </c>
      <c r="M15" s="187"/>
      <c r="O15" s="186">
        <v>6.8333333333333304</v>
      </c>
      <c r="P15" s="156">
        <f>+Servicios!$D$24</f>
        <v>10000</v>
      </c>
      <c r="Q15" s="187"/>
    </row>
    <row r="16" spans="1:17" ht="13.5" thickBot="1">
      <c r="B16" s="188" t="s">
        <v>161</v>
      </c>
      <c r="C16" s="189">
        <f>1</f>
        <v>1</v>
      </c>
      <c r="D16" s="156">
        <v>12500</v>
      </c>
      <c r="E16" s="187">
        <f>+C16*D16</f>
        <v>12500</v>
      </c>
      <c r="G16" s="194"/>
      <c r="H16" s="195"/>
      <c r="I16" s="191"/>
      <c r="K16" s="194"/>
      <c r="L16" s="195"/>
      <c r="M16" s="191"/>
      <c r="O16" s="194"/>
      <c r="P16" s="195"/>
      <c r="Q16" s="191"/>
    </row>
    <row r="17" spans="2:17">
      <c r="B17" s="188" t="s">
        <v>183</v>
      </c>
      <c r="C17" s="230">
        <v>0.01</v>
      </c>
      <c r="D17" s="231"/>
      <c r="E17" s="187">
        <f>+C17*$C$13</f>
        <v>3000</v>
      </c>
      <c r="G17" s="196" t="s">
        <v>171</v>
      </c>
      <c r="H17" s="197">
        <f>+SUM(H6:H16)</f>
        <v>100000</v>
      </c>
      <c r="I17" s="198">
        <f>+SUM(I6:I16)</f>
        <v>40000</v>
      </c>
      <c r="K17" s="196" t="s">
        <v>171</v>
      </c>
      <c r="L17" s="197">
        <f>+SUM(L6:L16)</f>
        <v>100000</v>
      </c>
      <c r="M17" s="198">
        <f>+SUM(M6:M16)</f>
        <v>50000</v>
      </c>
      <c r="O17" s="196" t="s">
        <v>171</v>
      </c>
      <c r="P17" s="197">
        <f>+SUM(P6:P16)</f>
        <v>100000</v>
      </c>
      <c r="Q17" s="198">
        <f>+SUM(Q6:Q16)</f>
        <v>50000</v>
      </c>
    </row>
    <row r="18" spans="2:17" ht="13.5" thickBot="1">
      <c r="B18" s="190" t="s">
        <v>184</v>
      </c>
      <c r="C18" s="228">
        <v>0.02</v>
      </c>
      <c r="D18" s="229"/>
      <c r="E18" s="191">
        <f>+C18*$C$13</f>
        <v>6000</v>
      </c>
    </row>
    <row r="19" spans="2:17" ht="13.5" thickBot="1">
      <c r="B19" s="166"/>
      <c r="C19" s="166"/>
      <c r="D19" s="166"/>
      <c r="E19" s="192">
        <f>+SUM(E15:E18)</f>
        <v>91500</v>
      </c>
      <c r="L19" s="199"/>
      <c r="M19" s="199"/>
      <c r="N19" s="199"/>
      <c r="O19" s="199"/>
      <c r="P19" s="199"/>
      <c r="Q19" s="199"/>
    </row>
    <row r="20" spans="2:17">
      <c r="G20" s="199"/>
      <c r="H20" s="199"/>
      <c r="I20" s="199"/>
      <c r="J20" s="199"/>
      <c r="K20" s="172"/>
      <c r="L20" s="199"/>
      <c r="M20" s="199"/>
      <c r="N20" s="199"/>
      <c r="O20" s="199"/>
      <c r="P20" s="199"/>
      <c r="Q20" s="199"/>
    </row>
    <row r="21" spans="2:17" ht="13.5" thickBot="1">
      <c r="G21" s="199"/>
      <c r="H21" s="199">
        <f>+H17*5</f>
        <v>500000</v>
      </c>
      <c r="I21" s="199">
        <f>+I17*5</f>
        <v>200000</v>
      </c>
      <c r="J21" s="199"/>
      <c r="K21" s="172"/>
      <c r="L21" s="199">
        <f>+L17*5</f>
        <v>500000</v>
      </c>
      <c r="M21" s="199">
        <f>+M17*5</f>
        <v>250000</v>
      </c>
      <c r="N21" s="199"/>
      <c r="O21" s="199"/>
      <c r="P21" s="199">
        <f t="shared" ref="P21:Q21" si="0">+P17*5</f>
        <v>500000</v>
      </c>
      <c r="Q21" s="199">
        <f t="shared" si="0"/>
        <v>250000</v>
      </c>
    </row>
    <row r="22" spans="2:17" ht="13.5" thickBot="1">
      <c r="B22" s="174" t="s">
        <v>162</v>
      </c>
      <c r="C22" s="175">
        <v>380000</v>
      </c>
      <c r="D22" s="166"/>
      <c r="E22" s="166"/>
      <c r="G22" s="199"/>
      <c r="H22" s="199">
        <f>(H21*4)+H21</f>
        <v>2500000</v>
      </c>
      <c r="I22" s="199">
        <f>+I21*4</f>
        <v>800000</v>
      </c>
      <c r="J22" s="199"/>
      <c r="K22" s="172"/>
      <c r="L22" s="199">
        <f>(L21*4)+L21</f>
        <v>2500000</v>
      </c>
      <c r="M22" s="199">
        <f>+M21*4</f>
        <v>1000000</v>
      </c>
      <c r="N22" s="199"/>
      <c r="O22" s="199"/>
      <c r="P22" s="199">
        <f>(P21*4)+P21</f>
        <v>2500000</v>
      </c>
      <c r="Q22" s="199">
        <f t="shared" ref="Q22" si="1">+Q21*4</f>
        <v>1000000</v>
      </c>
    </row>
    <row r="23" spans="2:17" ht="13.5" thickBot="1">
      <c r="B23" s="161" t="s">
        <v>164</v>
      </c>
      <c r="C23" s="180" t="s">
        <v>165</v>
      </c>
      <c r="D23" s="180" t="s">
        <v>166</v>
      </c>
      <c r="E23" s="162" t="s">
        <v>167</v>
      </c>
      <c r="G23" s="199"/>
      <c r="H23" s="199"/>
      <c r="I23" s="199"/>
      <c r="J23" s="199"/>
      <c r="K23" s="172"/>
      <c r="L23" s="199"/>
      <c r="M23" s="199"/>
      <c r="N23" s="199"/>
      <c r="O23" s="199"/>
      <c r="P23" s="199"/>
      <c r="Q23" s="199"/>
    </row>
    <row r="24" spans="2:17">
      <c r="B24" s="184" t="s">
        <v>160</v>
      </c>
      <c r="C24" s="193">
        <f>23</f>
        <v>23</v>
      </c>
      <c r="D24" s="182">
        <f>+D15</f>
        <v>10000</v>
      </c>
      <c r="E24" s="183">
        <f>+C24*D24</f>
        <v>230000</v>
      </c>
      <c r="G24" s="199"/>
      <c r="H24" s="199"/>
      <c r="I24" s="199"/>
      <c r="J24" s="199"/>
      <c r="K24" s="172"/>
      <c r="L24" s="199"/>
      <c r="M24" s="199"/>
      <c r="N24" s="199"/>
      <c r="O24" s="199"/>
      <c r="P24" s="199"/>
      <c r="Q24" s="199"/>
    </row>
    <row r="25" spans="2:17">
      <c r="B25" s="188" t="s">
        <v>161</v>
      </c>
      <c r="C25" s="189">
        <f>2</f>
        <v>2</v>
      </c>
      <c r="D25" s="156">
        <f>+D16</f>
        <v>12500</v>
      </c>
      <c r="E25" s="187">
        <f>+C25*D25</f>
        <v>25000</v>
      </c>
      <c r="G25" s="199"/>
      <c r="H25" s="199"/>
      <c r="I25" s="199"/>
      <c r="J25" s="199"/>
      <c r="K25" s="172"/>
      <c r="L25" s="199"/>
      <c r="M25" s="199"/>
      <c r="N25" s="199"/>
      <c r="O25" s="199"/>
      <c r="P25" s="199"/>
      <c r="Q25" s="199"/>
    </row>
    <row r="26" spans="2:17">
      <c r="B26" s="188" t="s">
        <v>183</v>
      </c>
      <c r="C26" s="230">
        <v>0.01</v>
      </c>
      <c r="D26" s="231"/>
      <c r="E26" s="187">
        <f>+C26*$C$22</f>
        <v>3800</v>
      </c>
      <c r="G26" s="199"/>
      <c r="H26" s="199"/>
      <c r="I26" s="199"/>
      <c r="J26" s="199"/>
      <c r="K26" s="172"/>
      <c r="L26" s="199"/>
      <c r="M26" s="199"/>
      <c r="N26" s="199"/>
      <c r="O26" s="199"/>
      <c r="P26" s="199"/>
      <c r="Q26" s="199"/>
    </row>
    <row r="27" spans="2:17" ht="13.5" thickBot="1">
      <c r="B27" s="190" t="s">
        <v>184</v>
      </c>
      <c r="C27" s="228">
        <v>0.02</v>
      </c>
      <c r="D27" s="229"/>
      <c r="E27" s="191">
        <f>+C27*$C$22</f>
        <v>7600</v>
      </c>
      <c r="G27" s="199"/>
      <c r="H27" s="199"/>
      <c r="I27" s="199"/>
      <c r="J27" s="199"/>
      <c r="K27" s="172"/>
      <c r="L27" s="199"/>
      <c r="M27" s="199"/>
      <c r="N27" s="199"/>
      <c r="O27" s="199"/>
      <c r="P27" s="199"/>
      <c r="Q27" s="199"/>
    </row>
    <row r="28" spans="2:17" ht="13.5" thickBot="1">
      <c r="B28" s="166"/>
      <c r="C28" s="166"/>
      <c r="D28" s="166"/>
      <c r="E28" s="192">
        <f>+SUM(E24:E27)</f>
        <v>266400</v>
      </c>
      <c r="G28" s="199"/>
      <c r="H28" s="199"/>
      <c r="I28" s="199"/>
      <c r="J28" s="199"/>
      <c r="K28" s="172"/>
      <c r="L28" s="200"/>
      <c r="M28" s="227" t="s">
        <v>192</v>
      </c>
      <c r="N28" s="227"/>
      <c r="O28" s="199"/>
      <c r="P28" s="199"/>
      <c r="Q28" s="199"/>
    </row>
    <row r="29" spans="2:17">
      <c r="G29" s="199"/>
      <c r="H29" s="199"/>
      <c r="I29" s="199"/>
      <c r="J29" s="199"/>
      <c r="K29" s="199"/>
      <c r="L29" s="200"/>
      <c r="M29" s="201" t="s">
        <v>193</v>
      </c>
      <c r="N29" s="201" t="s">
        <v>191</v>
      </c>
      <c r="O29" s="199"/>
      <c r="P29" s="199"/>
      <c r="Q29" s="199"/>
    </row>
    <row r="30" spans="2:17">
      <c r="G30" s="199"/>
      <c r="H30" s="199"/>
      <c r="I30" s="199"/>
      <c r="J30" s="199"/>
      <c r="K30" s="199"/>
      <c r="L30" s="200" t="s">
        <v>188</v>
      </c>
      <c r="M30" s="202">
        <f>SUM(F38:F40)</f>
        <v>20</v>
      </c>
      <c r="N30" s="202">
        <f>+M30</f>
        <v>20</v>
      </c>
      <c r="O30" s="199"/>
      <c r="P30" s="199"/>
      <c r="Q30" s="199"/>
    </row>
    <row r="31" spans="2:17">
      <c r="E31" s="199">
        <f>+($E$17+$E$26+E9)*5</f>
        <v>49000</v>
      </c>
      <c r="F31" s="199">
        <f>+($E$18+$E$27+E10)*5</f>
        <v>83000</v>
      </c>
      <c r="G31" s="199"/>
      <c r="H31" s="199"/>
      <c r="I31" s="199"/>
      <c r="J31" s="199"/>
      <c r="K31" s="199"/>
      <c r="L31" s="200" t="s">
        <v>187</v>
      </c>
      <c r="M31" s="202">
        <v>4</v>
      </c>
      <c r="N31" s="202">
        <v>3</v>
      </c>
    </row>
    <row r="32" spans="2:17">
      <c r="B32" s="203"/>
      <c r="C32" s="203"/>
      <c r="E32" s="199">
        <f>+E31*4</f>
        <v>196000</v>
      </c>
      <c r="F32" s="199">
        <f>+F31*4</f>
        <v>332000</v>
      </c>
      <c r="G32" s="199"/>
      <c r="H32" s="199"/>
      <c r="I32" s="199"/>
      <c r="J32" s="199"/>
      <c r="K32" s="199"/>
      <c r="L32" s="200" t="s">
        <v>189</v>
      </c>
      <c r="M32" s="202">
        <f>M30*M31</f>
        <v>80</v>
      </c>
      <c r="N32" s="202">
        <f>N30*N31</f>
        <v>60</v>
      </c>
    </row>
    <row r="33" spans="2:14">
      <c r="E33" s="199">
        <v>2000000</v>
      </c>
      <c r="F33" s="199">
        <v>2000000</v>
      </c>
      <c r="G33" s="199"/>
      <c r="H33" s="199"/>
      <c r="I33" s="199"/>
      <c r="J33" s="199"/>
      <c r="K33" s="199"/>
      <c r="L33" s="200" t="s">
        <v>190</v>
      </c>
      <c r="M33" s="202">
        <f>+M32*12</f>
        <v>960</v>
      </c>
      <c r="N33" s="202">
        <f>+N32*12</f>
        <v>720</v>
      </c>
    </row>
    <row r="34" spans="2:14">
      <c r="G34" s="199"/>
      <c r="H34" s="199"/>
      <c r="I34" s="199"/>
      <c r="J34" s="199"/>
      <c r="K34" s="199"/>
      <c r="L34" s="199"/>
      <c r="M34" s="199"/>
      <c r="N34" s="199"/>
    </row>
    <row r="35" spans="2:14">
      <c r="G35" s="199"/>
      <c r="H35" s="199"/>
      <c r="I35" s="199"/>
      <c r="J35" s="199"/>
      <c r="K35" s="199"/>
      <c r="L35" s="199"/>
      <c r="M35" s="199"/>
      <c r="N35" s="199"/>
    </row>
    <row r="36" spans="2:14">
      <c r="G36" s="199"/>
      <c r="H36" s="199"/>
      <c r="I36" s="199"/>
      <c r="J36" s="199"/>
      <c r="K36" s="199"/>
      <c r="L36" s="199"/>
      <c r="M36" s="199"/>
      <c r="N36" s="199"/>
    </row>
    <row r="37" spans="2:14">
      <c r="B37" s="172"/>
      <c r="C37" s="172"/>
      <c r="D37" s="172"/>
      <c r="E37" s="172"/>
      <c r="F37" s="172"/>
      <c r="G37" s="199"/>
      <c r="H37" s="199"/>
      <c r="I37" s="199"/>
      <c r="J37" s="199"/>
      <c r="K37" s="199"/>
      <c r="L37" s="199"/>
      <c r="M37" s="199"/>
      <c r="N37" s="199"/>
    </row>
    <row r="38" spans="2:14">
      <c r="B38" s="172"/>
      <c r="C38" s="172"/>
      <c r="D38" s="172"/>
      <c r="E38" s="173" t="s">
        <v>185</v>
      </c>
      <c r="F38" s="173">
        <v>10</v>
      </c>
    </row>
    <row r="39" spans="2:14">
      <c r="B39" s="172"/>
      <c r="C39" s="172"/>
      <c r="D39" s="172"/>
      <c r="E39" s="173" t="s">
        <v>186</v>
      </c>
      <c r="F39" s="173">
        <v>10</v>
      </c>
    </row>
    <row r="40" spans="2:14">
      <c r="B40" s="172"/>
      <c r="C40" s="172"/>
      <c r="D40" s="172"/>
      <c r="E40" s="172"/>
      <c r="F40" s="172"/>
    </row>
    <row r="41" spans="2:14">
      <c r="B41" s="172"/>
      <c r="C41" s="172"/>
      <c r="D41" s="172"/>
      <c r="E41" s="172"/>
      <c r="F41" s="172"/>
    </row>
    <row r="42" spans="2:14">
      <c r="B42" s="172"/>
      <c r="C42" s="172"/>
      <c r="D42" s="172"/>
      <c r="E42" s="172"/>
      <c r="F42" s="172"/>
    </row>
    <row r="43" spans="2:14">
      <c r="B43" s="172"/>
      <c r="C43" s="172"/>
      <c r="D43" s="172"/>
      <c r="E43" s="172"/>
      <c r="F43" s="172"/>
    </row>
    <row r="44" spans="2:14">
      <c r="B44" s="172"/>
      <c r="C44" s="172"/>
      <c r="D44" s="172"/>
      <c r="E44" s="172"/>
      <c r="F44" s="172"/>
    </row>
    <row r="45" spans="2:14">
      <c r="B45" s="172"/>
      <c r="C45" s="172"/>
      <c r="D45" s="172"/>
      <c r="E45" s="172"/>
      <c r="F45" s="172"/>
    </row>
  </sheetData>
  <mergeCells count="11">
    <mergeCell ref="M28:N28"/>
    <mergeCell ref="O3:Q3"/>
    <mergeCell ref="C18:D18"/>
    <mergeCell ref="C17:D17"/>
    <mergeCell ref="C26:D26"/>
    <mergeCell ref="C27:D27"/>
    <mergeCell ref="B3:E3"/>
    <mergeCell ref="K3:M3"/>
    <mergeCell ref="C9:D9"/>
    <mergeCell ref="C10:D10"/>
    <mergeCell ref="G3:I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B1F52-5E87-4D4F-85B6-BD639BC7B696}">
  <dimension ref="B2:D18"/>
  <sheetViews>
    <sheetView showGridLines="0" topLeftCell="A7" zoomScaleNormal="100" workbookViewId="0">
      <selection activeCell="D15" sqref="D15:D17"/>
    </sheetView>
  </sheetViews>
  <sheetFormatPr baseColWidth="10" defaultRowHeight="12.75"/>
  <cols>
    <col min="1" max="1" width="11.42578125" style="154"/>
    <col min="2" max="2" width="20.140625" style="154" customWidth="1"/>
    <col min="3" max="3" width="63.85546875" style="154" bestFit="1" customWidth="1"/>
    <col min="4" max="4" width="15.5703125" style="154" customWidth="1"/>
    <col min="5" max="16384" width="11.42578125" style="154"/>
  </cols>
  <sheetData>
    <row r="2" spans="2:4">
      <c r="B2" s="153" t="s">
        <v>258</v>
      </c>
      <c r="C2" s="153" t="s">
        <v>221</v>
      </c>
      <c r="D2" s="153" t="s">
        <v>167</v>
      </c>
    </row>
    <row r="3" spans="2:4">
      <c r="B3" s="233" t="s">
        <v>257</v>
      </c>
      <c r="C3" s="155" t="s">
        <v>259</v>
      </c>
      <c r="D3" s="156">
        <v>0</v>
      </c>
    </row>
    <row r="4" spans="2:4">
      <c r="B4" s="233"/>
      <c r="C4" s="155" t="s">
        <v>260</v>
      </c>
      <c r="D4" s="156">
        <v>4000000</v>
      </c>
    </row>
    <row r="5" spans="2:4">
      <c r="B5" s="233"/>
      <c r="C5" s="155" t="s">
        <v>261</v>
      </c>
      <c r="D5" s="156">
        <v>5000000</v>
      </c>
    </row>
    <row r="6" spans="2:4">
      <c r="B6" s="233"/>
      <c r="C6" s="157" t="s">
        <v>236</v>
      </c>
      <c r="D6" s="158">
        <f>+SUM(D3:D5)</f>
        <v>9000000</v>
      </c>
    </row>
    <row r="7" spans="2:4">
      <c r="B7" s="233" t="s">
        <v>262</v>
      </c>
      <c r="C7" s="155" t="s">
        <v>263</v>
      </c>
      <c r="D7" s="156">
        <v>15000000</v>
      </c>
    </row>
    <row r="8" spans="2:4">
      <c r="B8" s="233"/>
      <c r="C8" s="155" t="s">
        <v>264</v>
      </c>
      <c r="D8" s="156">
        <v>5000000</v>
      </c>
    </row>
    <row r="9" spans="2:4">
      <c r="B9" s="233"/>
      <c r="C9" s="155" t="s">
        <v>265</v>
      </c>
      <c r="D9" s="156">
        <v>5000000</v>
      </c>
    </row>
    <row r="10" spans="2:4">
      <c r="B10" s="233"/>
      <c r="C10" s="157" t="s">
        <v>243</v>
      </c>
      <c r="D10" s="158">
        <f>+SUM(D7:D9)</f>
        <v>25000000</v>
      </c>
    </row>
    <row r="11" spans="2:4">
      <c r="B11" s="233" t="s">
        <v>266</v>
      </c>
      <c r="C11" s="155" t="s">
        <v>267</v>
      </c>
      <c r="D11" s="156">
        <v>10000000</v>
      </c>
    </row>
    <row r="12" spans="2:4">
      <c r="B12" s="233"/>
      <c r="C12" s="157" t="s">
        <v>251</v>
      </c>
      <c r="D12" s="158">
        <f>+SUM(D11)</f>
        <v>10000000</v>
      </c>
    </row>
    <row r="13" spans="2:4">
      <c r="B13" s="233" t="s">
        <v>268</v>
      </c>
      <c r="C13" s="155" t="s">
        <v>269</v>
      </c>
      <c r="D13" s="156">
        <v>5000000</v>
      </c>
    </row>
    <row r="14" spans="2:4">
      <c r="B14" s="233"/>
      <c r="C14" s="157" t="s">
        <v>251</v>
      </c>
      <c r="D14" s="158">
        <f>+SUM(D13)</f>
        <v>5000000</v>
      </c>
    </row>
    <row r="15" spans="2:4">
      <c r="B15" s="233" t="s">
        <v>272</v>
      </c>
      <c r="C15" s="155" t="s">
        <v>270</v>
      </c>
      <c r="D15" s="156">
        <v>15000000</v>
      </c>
    </row>
    <row r="16" spans="2:4">
      <c r="B16" s="233"/>
      <c r="C16" s="155" t="s">
        <v>271</v>
      </c>
      <c r="D16" s="156">
        <v>4000000</v>
      </c>
    </row>
    <row r="17" spans="2:4">
      <c r="B17" s="233"/>
      <c r="C17" s="157" t="s">
        <v>251</v>
      </c>
      <c r="D17" s="158">
        <f>+SUM(D15:D16)</f>
        <v>19000000</v>
      </c>
    </row>
    <row r="18" spans="2:4">
      <c r="B18" s="232" t="s">
        <v>281</v>
      </c>
      <c r="C18" s="232"/>
      <c r="D18" s="159">
        <f>+D6+D10+D12+D14+D17</f>
        <v>68000000</v>
      </c>
    </row>
  </sheetData>
  <mergeCells count="6">
    <mergeCell ref="B18:C18"/>
    <mergeCell ref="B13:B14"/>
    <mergeCell ref="B11:B12"/>
    <mergeCell ref="B3:B6"/>
    <mergeCell ref="B7:B10"/>
    <mergeCell ref="B15:B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CD2A1-3317-468F-BDF4-E2AA324E3AED}">
  <dimension ref="A2:Q22"/>
  <sheetViews>
    <sheetView showGridLines="0" topLeftCell="C1" workbookViewId="0">
      <selection activeCell="L22" sqref="L22"/>
    </sheetView>
  </sheetViews>
  <sheetFormatPr baseColWidth="10" defaultRowHeight="12.75"/>
  <cols>
    <col min="1" max="3" width="20.5703125" style="204" customWidth="1"/>
    <col min="4" max="4" width="13.7109375" style="204" customWidth="1"/>
    <col min="5" max="12" width="15.7109375" style="204" customWidth="1"/>
    <col min="13" max="13" width="12.28515625" style="204" bestFit="1" customWidth="1"/>
    <col min="14" max="17" width="15.7109375" style="204" customWidth="1"/>
    <col min="18" max="16384" width="11.42578125" style="204"/>
  </cols>
  <sheetData>
    <row r="2" spans="1:17" ht="13.5" thickBot="1"/>
    <row r="3" spans="1:17" ht="13.5" thickBot="1">
      <c r="C3" s="224" t="s">
        <v>174</v>
      </c>
      <c r="D3" s="225"/>
      <c r="E3" s="225"/>
      <c r="F3" s="225"/>
      <c r="G3" s="225"/>
      <c r="H3" s="225"/>
      <c r="I3" s="225"/>
      <c r="J3" s="225"/>
      <c r="K3" s="225"/>
      <c r="L3" s="226"/>
    </row>
    <row r="5" spans="1:17" ht="13.5" thickBot="1">
      <c r="G5" s="205">
        <v>0.16522000000000001</v>
      </c>
      <c r="J5" s="205">
        <v>0.12</v>
      </c>
      <c r="K5" s="205"/>
      <c r="P5" s="205">
        <v>0.12</v>
      </c>
      <c r="Q5" s="205"/>
    </row>
    <row r="6" spans="1:17" ht="13.5" thickBot="1">
      <c r="A6" s="161" t="s">
        <v>307</v>
      </c>
      <c r="B6" s="180" t="s">
        <v>181</v>
      </c>
      <c r="C6" s="180" t="s">
        <v>164</v>
      </c>
      <c r="D6" s="180" t="s">
        <v>173</v>
      </c>
      <c r="E6" s="180" t="s">
        <v>175</v>
      </c>
      <c r="F6" s="180" t="s">
        <v>175</v>
      </c>
      <c r="G6" s="180" t="s">
        <v>176</v>
      </c>
      <c r="H6" s="180" t="s">
        <v>177</v>
      </c>
      <c r="I6" s="180" t="s">
        <v>308</v>
      </c>
      <c r="J6" s="180" t="s">
        <v>309</v>
      </c>
      <c r="K6" s="180" t="s">
        <v>180</v>
      </c>
      <c r="L6" s="162" t="s">
        <v>167</v>
      </c>
      <c r="N6" s="180" t="s">
        <v>177</v>
      </c>
      <c r="O6" s="180" t="s">
        <v>308</v>
      </c>
      <c r="P6" s="180" t="s">
        <v>309</v>
      </c>
      <c r="Q6" s="180" t="s">
        <v>180</v>
      </c>
    </row>
    <row r="7" spans="1:17">
      <c r="A7" s="184" t="s">
        <v>214</v>
      </c>
      <c r="B7" s="206" t="s">
        <v>179</v>
      </c>
      <c r="C7" s="185" t="s">
        <v>197</v>
      </c>
      <c r="D7" s="185">
        <v>2</v>
      </c>
      <c r="E7" s="182">
        <v>2500000</v>
      </c>
      <c r="F7" s="182">
        <f>D7*E7</f>
        <v>5000000</v>
      </c>
      <c r="G7" s="182">
        <f>+$G$5*F7</f>
        <v>826100</v>
      </c>
      <c r="H7" s="182">
        <f t="shared" ref="H7:K15" si="0">+$N7/12</f>
        <v>416666.66666666669</v>
      </c>
      <c r="I7" s="182">
        <f t="shared" si="0"/>
        <v>416666.66666666669</v>
      </c>
      <c r="J7" s="182">
        <f t="shared" si="0"/>
        <v>416666.66666666669</v>
      </c>
      <c r="K7" s="182">
        <f t="shared" si="0"/>
        <v>416666.66666666669</v>
      </c>
      <c r="L7" s="183">
        <f>+SUM(F7:K7)</f>
        <v>7492766.6666666679</v>
      </c>
      <c r="M7" s="215"/>
      <c r="N7" s="156">
        <f>+$F7</f>
        <v>5000000</v>
      </c>
      <c r="O7" s="156">
        <f t="shared" ref="O7:O15" si="1">+$F7</f>
        <v>5000000</v>
      </c>
      <c r="P7" s="156">
        <f t="shared" ref="P7:P8" si="2">+$J$5*O7</f>
        <v>600000</v>
      </c>
      <c r="Q7" s="156">
        <f>+$F7/2</f>
        <v>2500000</v>
      </c>
    </row>
    <row r="8" spans="1:17">
      <c r="A8" s="188" t="s">
        <v>214</v>
      </c>
      <c r="B8" s="207" t="s">
        <v>179</v>
      </c>
      <c r="C8" s="155" t="s">
        <v>198</v>
      </c>
      <c r="D8" s="155">
        <v>2</v>
      </c>
      <c r="E8" s="156">
        <v>2500000</v>
      </c>
      <c r="F8" s="156">
        <f t="shared" ref="F8:F15" si="3">D8*E8</f>
        <v>5000000</v>
      </c>
      <c r="G8" s="156">
        <f>+$G$5*F8</f>
        <v>826100</v>
      </c>
      <c r="H8" s="156">
        <f t="shared" si="0"/>
        <v>416666.66666666669</v>
      </c>
      <c r="I8" s="156">
        <f t="shared" si="0"/>
        <v>416666.66666666669</v>
      </c>
      <c r="J8" s="156">
        <f t="shared" si="0"/>
        <v>416666.66666666669</v>
      </c>
      <c r="K8" s="156">
        <f t="shared" si="0"/>
        <v>416666.66666666669</v>
      </c>
      <c r="L8" s="187">
        <f t="shared" ref="L8:L13" si="4">+SUM(F8:K8)</f>
        <v>7492766.6666666679</v>
      </c>
      <c r="M8" s="215"/>
      <c r="N8" s="156">
        <f t="shared" ref="N8:N15" si="5">+$F8</f>
        <v>5000000</v>
      </c>
      <c r="O8" s="156">
        <f t="shared" si="1"/>
        <v>5000000</v>
      </c>
      <c r="P8" s="156">
        <f t="shared" si="2"/>
        <v>600000</v>
      </c>
      <c r="Q8" s="156">
        <f t="shared" ref="Q8:Q15" si="6">+$F8/2</f>
        <v>2500000</v>
      </c>
    </row>
    <row r="9" spans="1:17">
      <c r="A9" s="188" t="s">
        <v>214</v>
      </c>
      <c r="B9" s="207" t="s">
        <v>179</v>
      </c>
      <c r="C9" s="155" t="s">
        <v>172</v>
      </c>
      <c r="D9" s="155">
        <v>1</v>
      </c>
      <c r="E9" s="156">
        <v>2500000</v>
      </c>
      <c r="F9" s="156">
        <f t="shared" si="3"/>
        <v>2500000</v>
      </c>
      <c r="G9" s="156">
        <f t="shared" ref="G9:G13" si="7">+$G$5*E9</f>
        <v>413050</v>
      </c>
      <c r="H9" s="156">
        <f t="shared" si="0"/>
        <v>208333.33333333334</v>
      </c>
      <c r="I9" s="156">
        <f t="shared" si="0"/>
        <v>208333.33333333334</v>
      </c>
      <c r="J9" s="156">
        <f t="shared" si="0"/>
        <v>208333.33333333334</v>
      </c>
      <c r="K9" s="156">
        <f t="shared" si="0"/>
        <v>208333.33333333334</v>
      </c>
      <c r="L9" s="187">
        <f t="shared" si="4"/>
        <v>3746383.333333334</v>
      </c>
      <c r="M9" s="215"/>
      <c r="N9" s="156">
        <f t="shared" si="5"/>
        <v>2500000</v>
      </c>
      <c r="O9" s="156">
        <f t="shared" si="1"/>
        <v>2500000</v>
      </c>
      <c r="P9" s="156">
        <f t="shared" ref="P9:P13" si="8">+$J$5*O9</f>
        <v>300000</v>
      </c>
      <c r="Q9" s="156">
        <f t="shared" si="6"/>
        <v>1250000</v>
      </c>
    </row>
    <row r="10" spans="1:17">
      <c r="A10" s="188" t="s">
        <v>214</v>
      </c>
      <c r="B10" s="207" t="s">
        <v>179</v>
      </c>
      <c r="C10" s="155" t="s">
        <v>161</v>
      </c>
      <c r="D10" s="155">
        <v>1</v>
      </c>
      <c r="E10" s="156">
        <v>2500000</v>
      </c>
      <c r="F10" s="156">
        <f>D10*E10</f>
        <v>2500000</v>
      </c>
      <c r="G10" s="156">
        <f t="shared" ref="G10" si="9">+$G$5*E10</f>
        <v>413050</v>
      </c>
      <c r="H10" s="156">
        <f t="shared" si="0"/>
        <v>208333.33333333334</v>
      </c>
      <c r="I10" s="156">
        <f t="shared" si="0"/>
        <v>208333.33333333334</v>
      </c>
      <c r="J10" s="156">
        <f t="shared" si="0"/>
        <v>208333.33333333334</v>
      </c>
      <c r="K10" s="156">
        <f t="shared" si="0"/>
        <v>208333.33333333334</v>
      </c>
      <c r="L10" s="187">
        <f>+SUM(F10:K10)</f>
        <v>3746383.333333334</v>
      </c>
      <c r="N10" s="156">
        <f>+$F10</f>
        <v>2500000</v>
      </c>
      <c r="O10" s="156">
        <f>+$F10</f>
        <v>2500000</v>
      </c>
      <c r="P10" s="156">
        <f t="shared" ref="P10" si="10">+$J$5*O10</f>
        <v>300000</v>
      </c>
      <c r="Q10" s="156">
        <f>+$F10/2</f>
        <v>1250000</v>
      </c>
    </row>
    <row r="11" spans="1:17">
      <c r="A11" s="188" t="s">
        <v>214</v>
      </c>
      <c r="B11" s="207" t="s">
        <v>178</v>
      </c>
      <c r="C11" s="155" t="s">
        <v>161</v>
      </c>
      <c r="D11" s="155">
        <v>1</v>
      </c>
      <c r="E11" s="156">
        <v>1800000</v>
      </c>
      <c r="F11" s="156">
        <f>D11*E11</f>
        <v>1800000</v>
      </c>
      <c r="G11" s="156">
        <v>0</v>
      </c>
      <c r="H11" s="156">
        <f t="shared" si="0"/>
        <v>0</v>
      </c>
      <c r="I11" s="156">
        <f t="shared" si="0"/>
        <v>0</v>
      </c>
      <c r="J11" s="156">
        <f t="shared" si="0"/>
        <v>0</v>
      </c>
      <c r="K11" s="156">
        <f t="shared" si="0"/>
        <v>0</v>
      </c>
      <c r="L11" s="187">
        <f>+SUM(F11:K11)</f>
        <v>1800000</v>
      </c>
      <c r="N11" s="156">
        <v>0</v>
      </c>
      <c r="O11" s="156">
        <v>0</v>
      </c>
      <c r="P11" s="156">
        <v>0</v>
      </c>
      <c r="Q11" s="156">
        <v>0</v>
      </c>
    </row>
    <row r="12" spans="1:17">
      <c r="A12" s="188" t="s">
        <v>214</v>
      </c>
      <c r="B12" s="207" t="s">
        <v>179</v>
      </c>
      <c r="C12" s="155" t="s">
        <v>215</v>
      </c>
      <c r="D12" s="155">
        <v>1</v>
      </c>
      <c r="E12" s="156">
        <v>1600000</v>
      </c>
      <c r="F12" s="156">
        <f>D12*E12</f>
        <v>1600000</v>
      </c>
      <c r="G12" s="156">
        <f t="shared" ref="G12" si="11">+$G$5*E12</f>
        <v>264352</v>
      </c>
      <c r="H12" s="156">
        <f t="shared" si="0"/>
        <v>133333.33333333334</v>
      </c>
      <c r="I12" s="156">
        <f t="shared" si="0"/>
        <v>133333.33333333334</v>
      </c>
      <c r="J12" s="156">
        <f t="shared" si="0"/>
        <v>133333.33333333334</v>
      </c>
      <c r="K12" s="156">
        <f t="shared" si="0"/>
        <v>133333.33333333334</v>
      </c>
      <c r="L12" s="187">
        <f>+SUM(F12:K12)</f>
        <v>2397685.3333333335</v>
      </c>
      <c r="N12" s="156">
        <f>+$F12</f>
        <v>1600000</v>
      </c>
      <c r="O12" s="156">
        <f>+$F12</f>
        <v>1600000</v>
      </c>
      <c r="P12" s="156">
        <f t="shared" ref="P12" si="12">+$J$5*O12</f>
        <v>192000</v>
      </c>
      <c r="Q12" s="156">
        <f>+$F12/2</f>
        <v>800000</v>
      </c>
    </row>
    <row r="13" spans="1:17">
      <c r="A13" s="188" t="s">
        <v>216</v>
      </c>
      <c r="B13" s="207" t="s">
        <v>179</v>
      </c>
      <c r="C13" s="155" t="s">
        <v>169</v>
      </c>
      <c r="D13" s="155">
        <v>1</v>
      </c>
      <c r="E13" s="156">
        <v>2000000</v>
      </c>
      <c r="F13" s="156">
        <f t="shared" si="3"/>
        <v>2000000</v>
      </c>
      <c r="G13" s="156">
        <f t="shared" si="7"/>
        <v>330440</v>
      </c>
      <c r="H13" s="156">
        <f t="shared" si="0"/>
        <v>166666.66666666666</v>
      </c>
      <c r="I13" s="156">
        <f t="shared" si="0"/>
        <v>166666.66666666666</v>
      </c>
      <c r="J13" s="156">
        <f t="shared" si="0"/>
        <v>166666.66666666666</v>
      </c>
      <c r="K13" s="156">
        <f t="shared" si="0"/>
        <v>166666.66666666666</v>
      </c>
      <c r="L13" s="187">
        <f t="shared" si="4"/>
        <v>2997106.666666666</v>
      </c>
      <c r="N13" s="156">
        <f t="shared" si="5"/>
        <v>2000000</v>
      </c>
      <c r="O13" s="156">
        <f t="shared" si="1"/>
        <v>2000000</v>
      </c>
      <c r="P13" s="156">
        <f t="shared" si="8"/>
        <v>240000</v>
      </c>
      <c r="Q13" s="156">
        <f t="shared" si="6"/>
        <v>1000000</v>
      </c>
    </row>
    <row r="14" spans="1:17">
      <c r="A14" s="188" t="s">
        <v>216</v>
      </c>
      <c r="B14" s="207" t="s">
        <v>178</v>
      </c>
      <c r="C14" s="155" t="s">
        <v>168</v>
      </c>
      <c r="D14" s="155">
        <v>1</v>
      </c>
      <c r="E14" s="156">
        <v>1600000</v>
      </c>
      <c r="F14" s="156">
        <f t="shared" ref="F14" si="13">D14*E14</f>
        <v>1600000</v>
      </c>
      <c r="G14" s="156">
        <v>0</v>
      </c>
      <c r="H14" s="156">
        <f t="shared" si="0"/>
        <v>0</v>
      </c>
      <c r="I14" s="156">
        <f t="shared" si="0"/>
        <v>0</v>
      </c>
      <c r="J14" s="156">
        <f t="shared" si="0"/>
        <v>0</v>
      </c>
      <c r="K14" s="156">
        <f t="shared" si="0"/>
        <v>0</v>
      </c>
      <c r="L14" s="187">
        <f t="shared" ref="L14:L15" si="14">+SUM(F14:K14)</f>
        <v>1600000</v>
      </c>
      <c r="N14" s="156">
        <v>0</v>
      </c>
      <c r="O14" s="156">
        <v>0</v>
      </c>
      <c r="P14" s="156">
        <v>0</v>
      </c>
      <c r="Q14" s="156">
        <v>0</v>
      </c>
    </row>
    <row r="15" spans="1:17" ht="13.5" thickBot="1">
      <c r="A15" s="190" t="s">
        <v>217</v>
      </c>
      <c r="B15" s="208" t="s">
        <v>179</v>
      </c>
      <c r="C15" s="209" t="s">
        <v>218</v>
      </c>
      <c r="D15" s="209">
        <v>1</v>
      </c>
      <c r="E15" s="195">
        <v>1300000</v>
      </c>
      <c r="F15" s="195">
        <f t="shared" si="3"/>
        <v>1300000</v>
      </c>
      <c r="G15" s="156">
        <f t="shared" ref="G15" si="15">+$G$5*E15</f>
        <v>214786</v>
      </c>
      <c r="H15" s="156">
        <f t="shared" si="0"/>
        <v>108333.33333333333</v>
      </c>
      <c r="I15" s="156">
        <f t="shared" si="0"/>
        <v>108333.33333333333</v>
      </c>
      <c r="J15" s="156">
        <f t="shared" si="0"/>
        <v>108333.33333333333</v>
      </c>
      <c r="K15" s="156">
        <f t="shared" si="0"/>
        <v>108333.33333333333</v>
      </c>
      <c r="L15" s="187">
        <f t="shared" si="14"/>
        <v>1948119.333333333</v>
      </c>
      <c r="N15" s="156">
        <f t="shared" si="5"/>
        <v>1300000</v>
      </c>
      <c r="O15" s="156">
        <f t="shared" si="1"/>
        <v>1300000</v>
      </c>
      <c r="P15" s="156">
        <f t="shared" ref="P15" si="16">+$J$5*O15</f>
        <v>156000</v>
      </c>
      <c r="Q15" s="156">
        <f t="shared" si="6"/>
        <v>650000</v>
      </c>
    </row>
    <row r="16" spans="1:17" ht="13.5" thickBot="1">
      <c r="A16" s="166"/>
      <c r="B16" s="166"/>
      <c r="C16" s="166"/>
      <c r="D16" s="210" t="s">
        <v>182</v>
      </c>
      <c r="E16" s="211">
        <f t="shared" ref="E16:L16" si="17">+SUM(E7:E15)</f>
        <v>18300000</v>
      </c>
      <c r="F16" s="211">
        <f t="shared" si="17"/>
        <v>23300000</v>
      </c>
      <c r="G16" s="211">
        <f t="shared" si="17"/>
        <v>3287878</v>
      </c>
      <c r="H16" s="211">
        <f t="shared" si="17"/>
        <v>1658333.3333333333</v>
      </c>
      <c r="I16" s="211">
        <f t="shared" si="17"/>
        <v>1658333.3333333333</v>
      </c>
      <c r="J16" s="211">
        <f t="shared" si="17"/>
        <v>1658333.3333333333</v>
      </c>
      <c r="K16" s="211">
        <f t="shared" si="17"/>
        <v>1658333.3333333333</v>
      </c>
      <c r="L16" s="212">
        <f t="shared" si="17"/>
        <v>33221211.33333334</v>
      </c>
      <c r="N16" s="213">
        <f>+SUM(N7:N15)</f>
        <v>19900000</v>
      </c>
      <c r="O16" s="213">
        <f>+SUM(O7:O15)</f>
        <v>19900000</v>
      </c>
      <c r="P16" s="213">
        <f>+SUM(P7:P15)</f>
        <v>2388000</v>
      </c>
      <c r="Q16" s="213">
        <f>+SUM(Q7:Q15)</f>
        <v>9950000</v>
      </c>
    </row>
    <row r="17" spans="4:13">
      <c r="F17" s="214"/>
    </row>
    <row r="19" spans="4:13">
      <c r="K19" s="204" t="s">
        <v>321</v>
      </c>
      <c r="L19" s="215">
        <f>L16*12</f>
        <v>398654536.00000006</v>
      </c>
    </row>
    <row r="21" spans="4:13">
      <c r="D21" s="215"/>
      <c r="E21" s="215"/>
      <c r="K21" s="215"/>
      <c r="L21" s="215"/>
      <c r="M21" s="215"/>
    </row>
    <row r="22" spans="4:13">
      <c r="L22" s="215">
        <f>L15*12</f>
        <v>23377431.999999996</v>
      </c>
    </row>
  </sheetData>
  <mergeCells count="1">
    <mergeCell ref="C3:L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AB22-FBAE-484C-9783-D765827D77E3}">
  <dimension ref="B2:G33"/>
  <sheetViews>
    <sheetView showGridLines="0" topLeftCell="A13" zoomScaleNormal="100" workbookViewId="0">
      <selection activeCell="G33" sqref="G33"/>
    </sheetView>
  </sheetViews>
  <sheetFormatPr baseColWidth="10" defaultRowHeight="12.75"/>
  <cols>
    <col min="1" max="1" width="11.42578125" style="204"/>
    <col min="2" max="3" width="15.7109375" style="204" customWidth="1"/>
    <col min="4" max="4" width="63.85546875" style="204" bestFit="1" customWidth="1"/>
    <col min="5" max="7" width="15.5703125" style="204" customWidth="1"/>
    <col min="8" max="16384" width="11.42578125" style="204"/>
  </cols>
  <sheetData>
    <row r="2" spans="2:7">
      <c r="B2" s="153" t="s">
        <v>219</v>
      </c>
      <c r="C2" s="153" t="s">
        <v>220</v>
      </c>
      <c r="D2" s="153" t="s">
        <v>221</v>
      </c>
      <c r="E2" s="153" t="s">
        <v>222</v>
      </c>
      <c r="F2" s="153" t="s">
        <v>223</v>
      </c>
      <c r="G2" s="153" t="s">
        <v>167</v>
      </c>
    </row>
    <row r="3" spans="2:7">
      <c r="B3" s="235" t="s">
        <v>224</v>
      </c>
      <c r="C3" s="233" t="s">
        <v>225</v>
      </c>
      <c r="D3" s="155" t="s">
        <v>226</v>
      </c>
      <c r="E3" s="156">
        <v>3500000</v>
      </c>
      <c r="F3" s="155">
        <v>3</v>
      </c>
      <c r="G3" s="156">
        <f>E3*F3</f>
        <v>10500000</v>
      </c>
    </row>
    <row r="4" spans="2:7">
      <c r="B4" s="236"/>
      <c r="C4" s="233"/>
      <c r="D4" s="155" t="s">
        <v>227</v>
      </c>
      <c r="E4" s="156">
        <v>2500000</v>
      </c>
      <c r="F4" s="155">
        <v>3</v>
      </c>
      <c r="G4" s="156">
        <f t="shared" ref="G4:G12" si="0">E4*F4</f>
        <v>7500000</v>
      </c>
    </row>
    <row r="5" spans="2:7">
      <c r="B5" s="236"/>
      <c r="C5" s="233"/>
      <c r="D5" s="155" t="s">
        <v>228</v>
      </c>
      <c r="E5" s="156">
        <v>3000000</v>
      </c>
      <c r="F5" s="155">
        <v>3</v>
      </c>
      <c r="G5" s="156">
        <f t="shared" si="0"/>
        <v>9000000</v>
      </c>
    </row>
    <row r="6" spans="2:7">
      <c r="B6" s="236"/>
      <c r="C6" s="233"/>
      <c r="D6" s="155" t="s">
        <v>229</v>
      </c>
      <c r="E6" s="156">
        <v>1000000</v>
      </c>
      <c r="F6" s="155">
        <v>5</v>
      </c>
      <c r="G6" s="156">
        <f t="shared" si="0"/>
        <v>5000000</v>
      </c>
    </row>
    <row r="7" spans="2:7">
      <c r="B7" s="236"/>
      <c r="C7" s="233"/>
      <c r="D7" s="155" t="s">
        <v>230</v>
      </c>
      <c r="E7" s="156">
        <v>8000000</v>
      </c>
      <c r="F7" s="155">
        <v>2</v>
      </c>
      <c r="G7" s="156">
        <f t="shared" si="0"/>
        <v>16000000</v>
      </c>
    </row>
    <row r="8" spans="2:7">
      <c r="B8" s="236"/>
      <c r="C8" s="233"/>
      <c r="D8" s="155" t="s">
        <v>231</v>
      </c>
      <c r="E8" s="156">
        <v>150000</v>
      </c>
      <c r="F8" s="155">
        <v>10</v>
      </c>
      <c r="G8" s="156">
        <f t="shared" si="0"/>
        <v>1500000</v>
      </c>
    </row>
    <row r="9" spans="2:7">
      <c r="B9" s="236"/>
      <c r="C9" s="233"/>
      <c r="D9" s="155" t="s">
        <v>232</v>
      </c>
      <c r="E9" s="156">
        <v>120000</v>
      </c>
      <c r="F9" s="155">
        <v>10</v>
      </c>
      <c r="G9" s="156">
        <f t="shared" si="0"/>
        <v>1200000</v>
      </c>
    </row>
    <row r="10" spans="2:7">
      <c r="B10" s="236"/>
      <c r="C10" s="233"/>
      <c r="D10" s="155" t="s">
        <v>233</v>
      </c>
      <c r="E10" s="156">
        <v>30000</v>
      </c>
      <c r="F10" s="155">
        <v>10</v>
      </c>
      <c r="G10" s="156">
        <f t="shared" si="0"/>
        <v>300000</v>
      </c>
    </row>
    <row r="11" spans="2:7">
      <c r="B11" s="236"/>
      <c r="C11" s="233"/>
      <c r="D11" s="155" t="s">
        <v>234</v>
      </c>
      <c r="E11" s="156">
        <v>100000</v>
      </c>
      <c r="F11" s="155">
        <v>10</v>
      </c>
      <c r="G11" s="156">
        <f t="shared" si="0"/>
        <v>1000000</v>
      </c>
    </row>
    <row r="12" spans="2:7">
      <c r="B12" s="236"/>
      <c r="C12" s="233"/>
      <c r="D12" s="155" t="s">
        <v>235</v>
      </c>
      <c r="E12" s="156">
        <v>50000</v>
      </c>
      <c r="F12" s="155">
        <v>10</v>
      </c>
      <c r="G12" s="156">
        <f t="shared" si="0"/>
        <v>500000</v>
      </c>
    </row>
    <row r="13" spans="2:7">
      <c r="B13" s="236"/>
      <c r="C13" s="233"/>
      <c r="D13" s="234" t="s">
        <v>236</v>
      </c>
      <c r="E13" s="234"/>
      <c r="F13" s="234"/>
      <c r="G13" s="158">
        <f>SUM(G3:G12)</f>
        <v>52500000</v>
      </c>
    </row>
    <row r="14" spans="2:7">
      <c r="B14" s="236"/>
      <c r="C14" s="233" t="s">
        <v>237</v>
      </c>
      <c r="D14" s="155" t="s">
        <v>238</v>
      </c>
      <c r="E14" s="156">
        <v>500000</v>
      </c>
      <c r="F14" s="155">
        <v>1</v>
      </c>
      <c r="G14" s="156">
        <f>E14*F14</f>
        <v>500000</v>
      </c>
    </row>
    <row r="15" spans="2:7">
      <c r="B15" s="236"/>
      <c r="C15" s="233"/>
      <c r="D15" s="155" t="s">
        <v>239</v>
      </c>
      <c r="E15" s="156">
        <v>150000</v>
      </c>
      <c r="F15" s="155">
        <v>2</v>
      </c>
      <c r="G15" s="156">
        <f t="shared" ref="G15:G18" si="1">E15*F15</f>
        <v>300000</v>
      </c>
    </row>
    <row r="16" spans="2:7">
      <c r="B16" s="236"/>
      <c r="C16" s="233"/>
      <c r="D16" s="155" t="s">
        <v>240</v>
      </c>
      <c r="E16" s="156">
        <v>30000</v>
      </c>
      <c r="F16" s="155">
        <v>4</v>
      </c>
      <c r="G16" s="156">
        <f t="shared" si="1"/>
        <v>120000</v>
      </c>
    </row>
    <row r="17" spans="2:7">
      <c r="B17" s="236"/>
      <c r="C17" s="233"/>
      <c r="D17" s="155" t="s">
        <v>241</v>
      </c>
      <c r="E17" s="156">
        <v>300000</v>
      </c>
      <c r="F17" s="155">
        <v>2</v>
      </c>
      <c r="G17" s="156">
        <f t="shared" si="1"/>
        <v>600000</v>
      </c>
    </row>
    <row r="18" spans="2:7">
      <c r="B18" s="236"/>
      <c r="C18" s="233"/>
      <c r="D18" s="155" t="s">
        <v>242</v>
      </c>
      <c r="E18" s="156">
        <v>200000</v>
      </c>
      <c r="F18" s="155">
        <v>1</v>
      </c>
      <c r="G18" s="156">
        <f t="shared" si="1"/>
        <v>200000</v>
      </c>
    </row>
    <row r="19" spans="2:7">
      <c r="B19" s="236"/>
      <c r="C19" s="233"/>
      <c r="D19" s="234" t="s">
        <v>243</v>
      </c>
      <c r="E19" s="234"/>
      <c r="F19" s="234"/>
      <c r="G19" s="158">
        <f>SUM(G14:G18)</f>
        <v>1720000</v>
      </c>
    </row>
    <row r="20" spans="2:7">
      <c r="B20" s="236"/>
      <c r="C20" s="233" t="s">
        <v>244</v>
      </c>
      <c r="D20" s="155" t="s">
        <v>245</v>
      </c>
      <c r="E20" s="156">
        <v>400000</v>
      </c>
      <c r="F20" s="155">
        <v>1</v>
      </c>
      <c r="G20" s="156">
        <f>E20*F20</f>
        <v>400000</v>
      </c>
    </row>
    <row r="21" spans="2:7">
      <c r="B21" s="236"/>
      <c r="C21" s="233"/>
      <c r="D21" s="155" t="s">
        <v>246</v>
      </c>
      <c r="E21" s="156">
        <v>80000</v>
      </c>
      <c r="F21" s="155">
        <v>1</v>
      </c>
      <c r="G21" s="156">
        <f t="shared" ref="G21:G25" si="2">E21*F21</f>
        <v>80000</v>
      </c>
    </row>
    <row r="22" spans="2:7">
      <c r="B22" s="236"/>
      <c r="C22" s="233"/>
      <c r="D22" s="155" t="s">
        <v>247</v>
      </c>
      <c r="E22" s="156">
        <v>250000</v>
      </c>
      <c r="F22" s="155">
        <v>3</v>
      </c>
      <c r="G22" s="156">
        <f t="shared" si="2"/>
        <v>750000</v>
      </c>
    </row>
    <row r="23" spans="2:7">
      <c r="B23" s="236"/>
      <c r="C23" s="233"/>
      <c r="D23" s="155" t="s">
        <v>248</v>
      </c>
      <c r="E23" s="156">
        <v>500000</v>
      </c>
      <c r="F23" s="155">
        <v>1</v>
      </c>
      <c r="G23" s="156">
        <f t="shared" si="2"/>
        <v>500000</v>
      </c>
    </row>
    <row r="24" spans="2:7">
      <c r="B24" s="236"/>
      <c r="C24" s="233"/>
      <c r="D24" s="155" t="s">
        <v>249</v>
      </c>
      <c r="E24" s="156">
        <v>2700000</v>
      </c>
      <c r="F24" s="155">
        <v>3</v>
      </c>
      <c r="G24" s="156">
        <f t="shared" si="2"/>
        <v>8100000</v>
      </c>
    </row>
    <row r="25" spans="2:7">
      <c r="B25" s="236"/>
      <c r="C25" s="233"/>
      <c r="D25" s="155" t="s">
        <v>250</v>
      </c>
      <c r="E25" s="156">
        <v>1000000</v>
      </c>
      <c r="F25" s="155">
        <v>3</v>
      </c>
      <c r="G25" s="156">
        <f t="shared" si="2"/>
        <v>3000000</v>
      </c>
    </row>
    <row r="26" spans="2:7">
      <c r="B26" s="236"/>
      <c r="C26" s="233"/>
      <c r="D26" s="234" t="s">
        <v>251</v>
      </c>
      <c r="E26" s="234"/>
      <c r="F26" s="234"/>
      <c r="G26" s="158">
        <f>SUM(G20:G25)</f>
        <v>12830000</v>
      </c>
    </row>
    <row r="27" spans="2:7">
      <c r="B27" s="237"/>
      <c r="C27" s="232" t="s">
        <v>256</v>
      </c>
      <c r="D27" s="232"/>
      <c r="E27" s="232"/>
      <c r="F27" s="232"/>
      <c r="G27" s="159">
        <f>+G13+G19+G26</f>
        <v>67050000</v>
      </c>
    </row>
    <row r="28" spans="2:7">
      <c r="B28" s="238" t="s">
        <v>252</v>
      </c>
      <c r="C28" s="235" t="s">
        <v>253</v>
      </c>
      <c r="D28" s="155" t="s">
        <v>319</v>
      </c>
      <c r="E28" s="156">
        <v>2500000</v>
      </c>
      <c r="F28" s="155">
        <v>12</v>
      </c>
      <c r="G28" s="156">
        <f t="shared" ref="G28:G29" si="3">E28*F28</f>
        <v>30000000</v>
      </c>
    </row>
    <row r="29" spans="2:7">
      <c r="B29" s="238"/>
      <c r="C29" s="237"/>
      <c r="D29" s="155" t="s">
        <v>320</v>
      </c>
      <c r="E29" s="156">
        <v>15000000</v>
      </c>
      <c r="F29" s="155">
        <v>1</v>
      </c>
      <c r="G29" s="156">
        <f t="shared" si="3"/>
        <v>15000000</v>
      </c>
    </row>
    <row r="30" spans="2:7">
      <c r="B30" s="238"/>
      <c r="C30" s="232" t="s">
        <v>254</v>
      </c>
      <c r="D30" s="232"/>
      <c r="E30" s="232"/>
      <c r="F30" s="232"/>
      <c r="G30" s="159">
        <f>G28+G29</f>
        <v>45000000</v>
      </c>
    </row>
    <row r="31" spans="2:7">
      <c r="B31" s="232" t="s">
        <v>255</v>
      </c>
      <c r="C31" s="232"/>
      <c r="D31" s="232"/>
      <c r="E31" s="232"/>
      <c r="F31" s="232"/>
      <c r="G31" s="159">
        <f>+G27+G30</f>
        <v>112050000</v>
      </c>
    </row>
    <row r="33" spans="7:7">
      <c r="G33" s="215"/>
    </row>
  </sheetData>
  <mergeCells count="12">
    <mergeCell ref="B31:F31"/>
    <mergeCell ref="C30:F30"/>
    <mergeCell ref="C27:F27"/>
    <mergeCell ref="D26:F26"/>
    <mergeCell ref="D19:F19"/>
    <mergeCell ref="B3:B27"/>
    <mergeCell ref="C3:C13"/>
    <mergeCell ref="C14:C19"/>
    <mergeCell ref="C20:C26"/>
    <mergeCell ref="B28:B30"/>
    <mergeCell ref="D13:F13"/>
    <mergeCell ref="C28:C2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26" activePane="bottomLeft" state="frozenSplit"/>
      <selection activeCell="B40" sqref="B40"/>
      <selection pane="bottomLeft" activeCell="F24" sqref="F24"/>
    </sheetView>
  </sheetViews>
  <sheetFormatPr baseColWidth="10"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c r="B1" s="239" t="s">
        <v>133</v>
      </c>
      <c r="C1" s="239"/>
      <c r="D1" s="239"/>
      <c r="E1" s="239"/>
      <c r="F1" s="239"/>
      <c r="G1" s="239"/>
      <c r="H1" s="239"/>
    </row>
    <row r="2" spans="2:8" ht="3.75" customHeight="1">
      <c r="B2" s="239"/>
      <c r="C2" s="239"/>
      <c r="D2" s="239"/>
      <c r="E2" s="239"/>
      <c r="F2" s="239"/>
      <c r="G2" s="239"/>
      <c r="H2" s="239"/>
    </row>
    <row r="3" spans="2:8">
      <c r="C3" s="21" t="s">
        <v>51</v>
      </c>
      <c r="F3" s="74" t="s">
        <v>92</v>
      </c>
      <c r="G3" s="74"/>
    </row>
    <row r="4" spans="2:8">
      <c r="B4" s="48" t="s">
        <v>43</v>
      </c>
      <c r="C4" s="14">
        <v>0</v>
      </c>
      <c r="F4" s="74"/>
      <c r="G4" s="74"/>
    </row>
    <row r="5" spans="2:8">
      <c r="B5" s="48" t="s">
        <v>46</v>
      </c>
      <c r="C5" s="14">
        <f>+'Equipos e infraestructura'!G13+'Equipos e infraestructura'!G19</f>
        <v>54220000</v>
      </c>
      <c r="F5" s="74">
        <v>10</v>
      </c>
      <c r="G5" s="75">
        <f t="shared" ref="G5:G11" si="0">C5/F5</f>
        <v>5422000</v>
      </c>
    </row>
    <row r="6" spans="2:8">
      <c r="B6" s="48" t="s">
        <v>44</v>
      </c>
      <c r="C6" s="14">
        <v>0</v>
      </c>
      <c r="F6" s="74">
        <v>5</v>
      </c>
      <c r="G6" s="75">
        <f t="shared" si="0"/>
        <v>0</v>
      </c>
    </row>
    <row r="7" spans="2:8">
      <c r="B7" s="48" t="s">
        <v>45</v>
      </c>
      <c r="C7" s="14">
        <f>+'Equipos e infraestructura'!G26</f>
        <v>12830000</v>
      </c>
      <c r="F7" s="74">
        <v>5</v>
      </c>
      <c r="G7" s="75">
        <f t="shared" si="0"/>
        <v>2566000</v>
      </c>
    </row>
    <row r="8" spans="2:8">
      <c r="B8" s="48" t="s">
        <v>47</v>
      </c>
      <c r="C8" s="14">
        <v>0</v>
      </c>
      <c r="F8" s="74">
        <v>5</v>
      </c>
      <c r="G8" s="75">
        <f t="shared" si="0"/>
        <v>0</v>
      </c>
    </row>
    <row r="9" spans="2:8">
      <c r="B9" s="48" t="s">
        <v>48</v>
      </c>
      <c r="C9" s="14">
        <v>0</v>
      </c>
      <c r="F9" s="74">
        <v>5</v>
      </c>
      <c r="G9" s="75">
        <f t="shared" si="0"/>
        <v>0</v>
      </c>
    </row>
    <row r="10" spans="2:8">
      <c r="B10" s="120" t="s">
        <v>142</v>
      </c>
      <c r="C10" s="14">
        <v>0</v>
      </c>
      <c r="F10" s="74">
        <v>5</v>
      </c>
      <c r="G10" s="75">
        <f t="shared" si="0"/>
        <v>0</v>
      </c>
    </row>
    <row r="11" spans="2:8">
      <c r="B11" s="48" t="s">
        <v>49</v>
      </c>
      <c r="C11" s="14">
        <f>+'Equipos e infraestructura'!G29</f>
        <v>15000000</v>
      </c>
      <c r="F11" s="74">
        <v>5</v>
      </c>
      <c r="G11" s="75">
        <f t="shared" si="0"/>
        <v>3000000</v>
      </c>
    </row>
    <row r="12" spans="2:8" ht="16.5" thickBot="1">
      <c r="B12" s="76" t="s">
        <v>50</v>
      </c>
      <c r="C12" s="77">
        <f>SUM(C4:C11)</f>
        <v>82050000</v>
      </c>
      <c r="F12" s="74"/>
      <c r="G12" s="75">
        <f>SUM(G5:G11)</f>
        <v>10988000</v>
      </c>
    </row>
    <row r="13" spans="2:8">
      <c r="B13" s="240" t="s">
        <v>42</v>
      </c>
      <c r="C13" s="241"/>
      <c r="D13" s="241"/>
      <c r="E13" s="241"/>
      <c r="F13" s="241"/>
      <c r="G13" s="241"/>
      <c r="H13" s="242"/>
    </row>
    <row r="14" spans="2:8" ht="15.75" thickBot="1">
      <c r="B14" s="243"/>
      <c r="C14" s="244"/>
      <c r="D14" s="244"/>
      <c r="E14" s="244"/>
      <c r="F14" s="244"/>
      <c r="G14" s="244"/>
      <c r="H14" s="245"/>
    </row>
    <row r="15" spans="2:8">
      <c r="B15" s="78"/>
      <c r="C15" s="78"/>
      <c r="D15" s="78"/>
      <c r="E15" s="78"/>
      <c r="F15" s="78"/>
      <c r="G15" s="78"/>
      <c r="H15" s="78"/>
    </row>
    <row r="16" spans="2:8">
      <c r="B16" s="76" t="s">
        <v>28</v>
      </c>
      <c r="E16" s="76" t="s">
        <v>34</v>
      </c>
      <c r="F16" s="38"/>
    </row>
    <row r="17" spans="2:6">
      <c r="C17" s="76" t="s">
        <v>30</v>
      </c>
      <c r="F17" s="76" t="str">
        <f>C17</f>
        <v>VALOR AÑO 1</v>
      </c>
    </row>
    <row r="18" spans="2:6">
      <c r="B18" s="79" t="s">
        <v>29</v>
      </c>
      <c r="C18" s="14">
        <f>+SUM(Personal!L13:L15)*12</f>
        <v>78542711.999999985</v>
      </c>
      <c r="E18" s="117" t="s">
        <v>139</v>
      </c>
      <c r="F18" s="14">
        <f>+'Equipos e infraestructura'!G28</f>
        <v>30000000</v>
      </c>
    </row>
    <row r="19" spans="2:6">
      <c r="C19" s="81"/>
      <c r="E19" s="80" t="s">
        <v>35</v>
      </c>
      <c r="F19" s="14">
        <f>400000*12</f>
        <v>4800000</v>
      </c>
    </row>
    <row r="20" spans="2:6">
      <c r="B20" s="79" t="s">
        <v>32</v>
      </c>
      <c r="C20" s="14">
        <v>0</v>
      </c>
      <c r="E20" s="80" t="s">
        <v>36</v>
      </c>
      <c r="F20" s="14">
        <v>0</v>
      </c>
    </row>
    <row r="21" spans="2:6">
      <c r="C21" s="81"/>
      <c r="E21" s="80" t="s">
        <v>37</v>
      </c>
      <c r="F21" s="14">
        <f>150000*12</f>
        <v>1800000</v>
      </c>
    </row>
    <row r="22" spans="2:6">
      <c r="B22" s="116" t="s">
        <v>138</v>
      </c>
      <c r="C22" s="14">
        <f>SUM(Personal!L7:L12)*12</f>
        <v>320111824.00000006</v>
      </c>
      <c r="E22" s="80" t="s">
        <v>38</v>
      </c>
      <c r="F22" s="14">
        <f>120000*12</f>
        <v>1440000</v>
      </c>
    </row>
    <row r="23" spans="2:6" ht="15.75">
      <c r="B23" s="8" t="s">
        <v>56</v>
      </c>
      <c r="C23" s="77">
        <f>C18+C20+C22</f>
        <v>398654536.00000006</v>
      </c>
      <c r="E23" s="80" t="s">
        <v>39</v>
      </c>
      <c r="F23" s="14">
        <v>0</v>
      </c>
    </row>
    <row r="24" spans="2:6">
      <c r="E24" s="80" t="s">
        <v>40</v>
      </c>
      <c r="F24" s="14">
        <f>120000*12</f>
        <v>1440000</v>
      </c>
    </row>
    <row r="25" spans="2:6" ht="24.75">
      <c r="B25" s="80" t="s">
        <v>143</v>
      </c>
      <c r="C25" s="14">
        <f>+Mercadeo!D18</f>
        <v>68000000</v>
      </c>
      <c r="E25" s="119" t="s">
        <v>140</v>
      </c>
      <c r="F25" s="14">
        <v>2000000</v>
      </c>
    </row>
    <row r="26" spans="2:6">
      <c r="E26" s="119" t="s">
        <v>141</v>
      </c>
      <c r="F26" s="14">
        <v>0</v>
      </c>
    </row>
    <row r="27" spans="2:6">
      <c r="B27" s="99" t="s">
        <v>144</v>
      </c>
      <c r="C27" s="99"/>
      <c r="E27" s="101"/>
      <c r="F27" s="14">
        <v>0</v>
      </c>
    </row>
    <row r="28" spans="2:6">
      <c r="B28" s="118">
        <f>'1'!G2</f>
        <v>2025</v>
      </c>
      <c r="C28" s="14">
        <f>+$C$25*(1+'1'!Z$4)</f>
        <v>74310400</v>
      </c>
      <c r="E28" s="101"/>
      <c r="F28" s="14">
        <v>0</v>
      </c>
    </row>
    <row r="29" spans="2:6">
      <c r="B29" s="118">
        <f>'1'!H2</f>
        <v>2026</v>
      </c>
      <c r="C29" s="14">
        <f>+C28*(1+'1'!AA$4)</f>
        <v>81577957.11999999</v>
      </c>
      <c r="E29" s="101"/>
      <c r="F29" s="14">
        <v>0</v>
      </c>
    </row>
    <row r="30" spans="2:6">
      <c r="B30" s="118">
        <f>'1'!I2</f>
        <v>2027</v>
      </c>
      <c r="C30" s="14">
        <f>+C29*(1+'1'!AB$4)</f>
        <v>89964171.111935988</v>
      </c>
      <c r="E30" s="101"/>
      <c r="F30" s="14">
        <v>0</v>
      </c>
    </row>
    <row r="31" spans="2:6" ht="15.75">
      <c r="B31" s="118">
        <f>'1'!J2</f>
        <v>2028</v>
      </c>
      <c r="C31" s="14">
        <f>+C30*(1+'1'!AC$4)</f>
        <v>99662308.757802695</v>
      </c>
      <c r="E31" s="80" t="s">
        <v>41</v>
      </c>
      <c r="F31" s="77">
        <f>SUM(F18:F30)</f>
        <v>41480000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1" workbookViewId="0">
      <selection activeCell="D14" sqref="D14"/>
    </sheetView>
  </sheetViews>
  <sheetFormatPr baseColWidth="10" defaultRowHeight="15"/>
  <cols>
    <col min="1" max="1" width="11.42578125" style="8"/>
    <col min="2" max="2" width="39" style="8" bestFit="1" customWidth="1"/>
    <col min="3" max="3" width="18.5703125" style="8" bestFit="1" customWidth="1"/>
    <col min="4" max="4" width="25.5703125" style="8" bestFit="1" customWidth="1"/>
    <col min="5" max="5" width="12.85546875" style="8" customWidth="1"/>
    <col min="6" max="7" width="16.85546875" style="8" bestFit="1" customWidth="1"/>
    <col min="8" max="8" width="16.7109375" style="8" customWidth="1"/>
    <col min="9" max="9" width="17" style="8" bestFit="1" customWidth="1"/>
    <col min="10" max="10" width="16.85546875" style="8" bestFit="1" customWidth="1"/>
    <col min="11" max="16384" width="11.42578125" style="8"/>
  </cols>
  <sheetData>
    <row r="2" spans="2:12" ht="29.25" customHeight="1">
      <c r="B2" s="222" t="s">
        <v>115</v>
      </c>
      <c r="C2" s="222"/>
      <c r="D2" s="222"/>
      <c r="E2" s="222"/>
      <c r="F2" s="222"/>
      <c r="G2" s="222"/>
      <c r="H2" s="222"/>
      <c r="I2" s="222"/>
      <c r="J2" s="222"/>
    </row>
    <row r="3" spans="2:12">
      <c r="F3" s="246" t="s">
        <v>62</v>
      </c>
      <c r="G3" s="246"/>
    </row>
    <row r="4" spans="2:12" ht="15.75">
      <c r="B4" s="16" t="s">
        <v>50</v>
      </c>
      <c r="C4" s="77">
        <f>'2'!C12</f>
        <v>82050000</v>
      </c>
      <c r="F4" s="247">
        <f>+Credito!D9</f>
        <v>0.32146358685888698</v>
      </c>
      <c r="G4" s="247"/>
      <c r="I4" s="8" t="s">
        <v>150</v>
      </c>
      <c r="J4" s="135">
        <v>4</v>
      </c>
      <c r="L4" s="74">
        <v>1</v>
      </c>
    </row>
    <row r="5" spans="2:12">
      <c r="L5" s="74">
        <v>2</v>
      </c>
    </row>
    <row r="6" spans="2:12" ht="15.75" thickBot="1">
      <c r="B6" s="16" t="s">
        <v>52</v>
      </c>
      <c r="F6" s="221" t="s">
        <v>116</v>
      </c>
      <c r="G6" s="221"/>
      <c r="H6" s="221"/>
      <c r="I6" s="221"/>
      <c r="J6" s="221"/>
      <c r="L6" s="74">
        <v>3</v>
      </c>
    </row>
    <row r="7" spans="2:12">
      <c r="C7" s="82" t="s">
        <v>54</v>
      </c>
      <c r="D7" s="82" t="s">
        <v>55</v>
      </c>
      <c r="E7" s="124"/>
      <c r="F7" s="125" t="s">
        <v>145</v>
      </c>
      <c r="G7" s="125" t="s">
        <v>146</v>
      </c>
      <c r="H7" s="125" t="s">
        <v>147</v>
      </c>
      <c r="I7" s="125" t="s">
        <v>148</v>
      </c>
      <c r="J7" s="126" t="s">
        <v>149</v>
      </c>
      <c r="L7" s="74">
        <v>4</v>
      </c>
    </row>
    <row r="8" spans="2:12">
      <c r="B8" s="48" t="s">
        <v>53</v>
      </c>
      <c r="C8" s="57">
        <v>5</v>
      </c>
      <c r="D8" s="25">
        <f>('1'!B33/12)*C8</f>
        <v>167267830.00000003</v>
      </c>
      <c r="E8" s="127" t="s">
        <v>84</v>
      </c>
      <c r="F8" s="128"/>
      <c r="G8" s="128"/>
      <c r="H8" s="128"/>
      <c r="I8" s="128"/>
      <c r="J8" s="129">
        <f>D16</f>
        <v>361040553.33333337</v>
      </c>
      <c r="L8" s="74">
        <v>5</v>
      </c>
    </row>
    <row r="9" spans="2:12">
      <c r="B9" s="48" t="s">
        <v>57</v>
      </c>
      <c r="C9" s="57">
        <v>5</v>
      </c>
      <c r="D9" s="25">
        <f>('2'!C23/12)*C9</f>
        <v>166106056.66666669</v>
      </c>
      <c r="E9" s="127">
        <f>'1'!B31</f>
        <v>2024</v>
      </c>
      <c r="F9" s="131">
        <f t="shared" ref="F9:F13" si="0">IF(J8&gt;0,J8,0)</f>
        <v>361040553.33333337</v>
      </c>
      <c r="G9" s="131">
        <f>F9*$F$4</f>
        <v>116061391.27605063</v>
      </c>
      <c r="H9" s="131">
        <f>IF(J8&lt;1,0,(I9-G9))</f>
        <v>56630645.010853857</v>
      </c>
      <c r="I9" s="131">
        <f>PMT(F4,J4,J8)*-1</f>
        <v>172692036.28690448</v>
      </c>
      <c r="J9" s="132">
        <f>F9-H9</f>
        <v>304409908.32247949</v>
      </c>
    </row>
    <row r="10" spans="2:12">
      <c r="B10" s="48" t="s">
        <v>58</v>
      </c>
      <c r="C10" s="57">
        <v>5</v>
      </c>
      <c r="D10" s="25">
        <f>('2'!C25/12)*C10</f>
        <v>28333333.333333336</v>
      </c>
      <c r="E10" s="127">
        <f>'1'!C31</f>
        <v>2025</v>
      </c>
      <c r="F10" s="131">
        <f t="shared" si="0"/>
        <v>304409908.32247949</v>
      </c>
      <c r="G10" s="131">
        <f t="shared" ref="G10:G13" si="1">F10*$F$4</f>
        <v>97856701.004729211</v>
      </c>
      <c r="H10" s="131">
        <f t="shared" ref="H10:H13" si="2">IF(J9&lt;1,0,(I10-G10))</f>
        <v>74835335.282175273</v>
      </c>
      <c r="I10" s="131">
        <f>IF(J9&lt;1,0,(I9*(1+$K$7)))</f>
        <v>172692036.28690448</v>
      </c>
      <c r="J10" s="132">
        <f t="shared" ref="J10:J13" si="3">F10-H10</f>
        <v>229574573.04030421</v>
      </c>
    </row>
    <row r="11" spans="2:12">
      <c r="B11" s="48" t="s">
        <v>33</v>
      </c>
      <c r="C11" s="57">
        <v>5</v>
      </c>
      <c r="D11" s="25">
        <f>('2'!F31/12)*C11</f>
        <v>17283333.333333332</v>
      </c>
      <c r="E11" s="127">
        <f>'1'!D31</f>
        <v>2026</v>
      </c>
      <c r="F11" s="131">
        <f t="shared" si="0"/>
        <v>229574573.04030421</v>
      </c>
      <c r="G11" s="131">
        <f t="shared" si="1"/>
        <v>73799865.701133728</v>
      </c>
      <c r="H11" s="131">
        <f t="shared" si="2"/>
        <v>98892170.585770756</v>
      </c>
      <c r="I11" s="131">
        <f t="shared" ref="I11:I13" si="4">IF(J10&lt;1,0,(I10*(1+$K$7)))</f>
        <v>172692036.28690448</v>
      </c>
      <c r="J11" s="132">
        <f t="shared" si="3"/>
        <v>130682402.45453346</v>
      </c>
    </row>
    <row r="12" spans="2:12" ht="15.75">
      <c r="B12" s="83" t="s">
        <v>8</v>
      </c>
      <c r="C12" s="61"/>
      <c r="D12" s="84">
        <f>SUM(D8:D11)</f>
        <v>378990553.33333337</v>
      </c>
      <c r="E12" s="127">
        <f>'1'!E31</f>
        <v>2027</v>
      </c>
      <c r="F12" s="131">
        <f t="shared" si="0"/>
        <v>130682402.45453346</v>
      </c>
      <c r="G12" s="131">
        <f t="shared" si="1"/>
        <v>42009633.832370944</v>
      </c>
      <c r="H12" s="131">
        <f t="shared" si="2"/>
        <v>130682402.45453355</v>
      </c>
      <c r="I12" s="131">
        <f t="shared" si="4"/>
        <v>172692036.28690448</v>
      </c>
      <c r="J12" s="132">
        <f t="shared" si="3"/>
        <v>0</v>
      </c>
    </row>
    <row r="13" spans="2:12" ht="15.75" thickBot="1">
      <c r="E13" s="130">
        <f>'1'!F31</f>
        <v>2028</v>
      </c>
      <c r="F13" s="133">
        <f t="shared" si="0"/>
        <v>0</v>
      </c>
      <c r="G13" s="133">
        <f t="shared" si="1"/>
        <v>0</v>
      </c>
      <c r="H13" s="133">
        <f t="shared" si="2"/>
        <v>0</v>
      </c>
      <c r="I13" s="133">
        <f t="shared" si="4"/>
        <v>0</v>
      </c>
      <c r="J13" s="134">
        <f t="shared" si="3"/>
        <v>0</v>
      </c>
    </row>
    <row r="14" spans="2:12" ht="15.75">
      <c r="B14" s="48" t="s">
        <v>59</v>
      </c>
      <c r="D14" s="77">
        <f>C4+D12</f>
        <v>461040553.33333337</v>
      </c>
    </row>
    <row r="15" spans="2:12">
      <c r="B15" s="48" t="s">
        <v>60</v>
      </c>
      <c r="D15" s="58">
        <f>25000000*4</f>
        <v>100000000</v>
      </c>
    </row>
    <row r="16" spans="2:12" ht="15.75">
      <c r="B16" s="48" t="s">
        <v>61</v>
      </c>
      <c r="D16" s="85">
        <f>D14-D15</f>
        <v>361040553.33333337</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Menú</vt:lpstr>
      <vt:lpstr>1</vt:lpstr>
      <vt:lpstr>Potencial Mercado</vt:lpstr>
      <vt:lpstr>Servicios</vt:lpstr>
      <vt:lpstr>Mercadeo</vt:lpstr>
      <vt:lpstr>Personal</vt:lpstr>
      <vt:lpstr>Equipos e infraestructura</vt:lpstr>
      <vt:lpstr>2</vt:lpstr>
      <vt:lpstr>3</vt:lpstr>
      <vt:lpstr>4</vt:lpstr>
      <vt:lpstr>5</vt:lpstr>
      <vt:lpstr>Indicadores</vt:lpstr>
      <vt:lpstr>Proyecciones</vt:lpstr>
      <vt:lpstr>Credito</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Monica</cp:lastModifiedBy>
  <dcterms:created xsi:type="dcterms:W3CDTF">2013-07-30T17:19:59Z</dcterms:created>
  <dcterms:modified xsi:type="dcterms:W3CDTF">2024-09-16T01:41:34Z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