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9fc204b1f69bdf/Documentos/MBA - EAN/3er Semestre/Trabajo de Grado/"/>
    </mc:Choice>
  </mc:AlternateContent>
  <xr:revisionPtr revIDLastSave="39" documentId="8_{244A3D26-9A0B-45AF-AC70-DE36AADD43DC}" xr6:coauthVersionLast="47" xr6:coauthVersionMax="47" xr10:uidLastSave="{F3F563EC-6A0D-4B97-9139-CC07675DB9B2}"/>
  <bookViews>
    <workbookView minimized="1" xWindow="21465" yWindow="315" windowWidth="15375" windowHeight="7785" activeTab="2" xr2:uid="{67909D4B-C7ED-4C3D-B3C3-186E1D1A1D52}"/>
  </bookViews>
  <sheets>
    <sheet name="Resultados Encuesta" sheetId="2" r:id="rId1"/>
    <sheet name="Valor $ por UU" sheetId="3" r:id="rId2"/>
    <sheet name="Modelo WTP rentaHL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5" l="1" a="1"/>
  <c r="D72" i="5" s="1"/>
  <c r="E29" i="5" a="1"/>
  <c r="E29" i="5" s="1"/>
  <c r="E28" i="5" a="1"/>
  <c r="E28" i="5"/>
  <c r="E27" i="5" a="1"/>
  <c r="E27" i="5" s="1"/>
  <c r="C14" i="3"/>
  <c r="C73" i="5"/>
  <c r="C84" i="5" s="1"/>
  <c r="H30" i="5" a="1"/>
  <c r="H30" i="5" s="1"/>
  <c r="G72" i="5" a="1"/>
  <c r="G72" i="5" s="1"/>
  <c r="D73" i="5" a="1"/>
  <c r="D73" i="5" s="1"/>
  <c r="E73" i="5" a="1"/>
  <c r="E73" i="5" s="1"/>
  <c r="F73" i="5" a="1"/>
  <c r="F73" i="5" s="1"/>
  <c r="G73" i="5" a="1"/>
  <c r="G73" i="5" s="1"/>
  <c r="H73" i="5" a="1"/>
  <c r="H73" i="5" s="1"/>
  <c r="E72" i="5" a="1"/>
  <c r="E72" i="5" s="1"/>
  <c r="F72" i="5" a="1"/>
  <c r="F72" i="5" s="1"/>
  <c r="H72" i="5" a="1"/>
  <c r="H72" i="5" s="1"/>
  <c r="D39" i="5"/>
  <c r="D25" i="5" a="1"/>
  <c r="D25" i="5" s="1"/>
  <c r="E25" i="5" a="1"/>
  <c r="E25" i="5" s="1"/>
  <c r="F25" i="5" a="1"/>
  <c r="F25" i="5" s="1"/>
  <c r="G25" i="5" a="1"/>
  <c r="G25" i="5" s="1"/>
  <c r="H25" i="5" a="1"/>
  <c r="H25" i="5" s="1"/>
  <c r="D26" i="5" a="1"/>
  <c r="D26" i="5" s="1"/>
  <c r="E26" i="5" a="1"/>
  <c r="E26" i="5" s="1"/>
  <c r="F26" i="5" a="1"/>
  <c r="F26" i="5" s="1"/>
  <c r="G26" i="5" a="1"/>
  <c r="G26" i="5" s="1"/>
  <c r="H26" i="5" a="1"/>
  <c r="H26" i="5" s="1"/>
  <c r="D27" i="5" a="1"/>
  <c r="D27" i="5" s="1"/>
  <c r="F27" i="5" a="1"/>
  <c r="F27" i="5" s="1"/>
  <c r="G27" i="5" a="1"/>
  <c r="G27" i="5" s="1"/>
  <c r="H27" i="5" a="1"/>
  <c r="H27" i="5" s="1"/>
  <c r="D28" i="5" a="1"/>
  <c r="D28" i="5" s="1"/>
  <c r="F28" i="5" a="1"/>
  <c r="F28" i="5" s="1"/>
  <c r="G28" i="5" a="1"/>
  <c r="G28" i="5" s="1"/>
  <c r="H28" i="5" a="1"/>
  <c r="H28" i="5" s="1"/>
  <c r="D29" i="5" a="1"/>
  <c r="D29" i="5" s="1"/>
  <c r="F29" i="5" a="1"/>
  <c r="F29" i="5" s="1"/>
  <c r="G29" i="5" a="1"/>
  <c r="G29" i="5" s="1"/>
  <c r="H29" i="5" a="1"/>
  <c r="H29" i="5" s="1"/>
  <c r="D30" i="5" a="1"/>
  <c r="D30" i="5" s="1"/>
  <c r="E30" i="5" a="1"/>
  <c r="E30" i="5" s="1"/>
  <c r="F30" i="5" a="1"/>
  <c r="F30" i="5" s="1"/>
  <c r="G30" i="5" a="1"/>
  <c r="G30" i="5" s="1"/>
  <c r="D31" i="5" a="1"/>
  <c r="D31" i="5" s="1"/>
  <c r="E31" i="5" a="1"/>
  <c r="E31" i="5" s="1"/>
  <c r="F31" i="5" a="1"/>
  <c r="F31" i="5" s="1"/>
  <c r="G31" i="5" a="1"/>
  <c r="G31" i="5" s="1"/>
  <c r="H31" i="5" a="1"/>
  <c r="H31" i="5" s="1"/>
  <c r="D32" i="5" a="1"/>
  <c r="D32" i="5" s="1"/>
  <c r="E32" i="5" a="1"/>
  <c r="E32" i="5" s="1"/>
  <c r="F32" i="5" a="1"/>
  <c r="F32" i="5" s="1"/>
  <c r="G32" i="5" a="1"/>
  <c r="G32" i="5" s="1"/>
  <c r="H32" i="5" a="1"/>
  <c r="H32" i="5" s="1"/>
  <c r="D33" i="5" a="1"/>
  <c r="D33" i="5" s="1"/>
  <c r="E33" i="5" a="1"/>
  <c r="E33" i="5" s="1"/>
  <c r="F33" i="5" a="1"/>
  <c r="F33" i="5" s="1"/>
  <c r="G33" i="5" a="1"/>
  <c r="G33" i="5" s="1"/>
  <c r="H33" i="5" a="1"/>
  <c r="H33" i="5" s="1"/>
  <c r="E24" i="5" a="1"/>
  <c r="E24" i="5" s="1"/>
  <c r="F24" i="5" a="1"/>
  <c r="F24" i="5" s="1"/>
  <c r="G24" i="5" a="1"/>
  <c r="G24" i="5" s="1"/>
  <c r="H24" i="5" a="1"/>
  <c r="H24" i="5" s="1"/>
  <c r="D24" i="5" a="1"/>
  <c r="D24" i="5" s="1"/>
  <c r="E71" i="5"/>
  <c r="F71" i="5"/>
  <c r="G71" i="5"/>
  <c r="H71" i="5"/>
  <c r="D71" i="5"/>
  <c r="E66" i="5"/>
  <c r="F66" i="5"/>
  <c r="G66" i="5"/>
  <c r="H66" i="5"/>
  <c r="D66" i="5"/>
  <c r="E23" i="5"/>
  <c r="F23" i="5"/>
  <c r="G23" i="5"/>
  <c r="H23" i="5"/>
  <c r="D23" i="5"/>
  <c r="G5" i="5"/>
  <c r="H5" i="5"/>
  <c r="F5" i="5"/>
  <c r="E5" i="5"/>
  <c r="D5" i="5"/>
  <c r="C8" i="3"/>
  <c r="D83" i="5"/>
  <c r="E83" i="5" s="1"/>
  <c r="F83" i="5" s="1"/>
  <c r="G83" i="5" s="1"/>
  <c r="D84" i="5"/>
  <c r="E84" i="5" s="1"/>
  <c r="F84" i="5" s="1"/>
  <c r="G84" i="5" s="1"/>
  <c r="C72" i="5"/>
  <c r="C83" i="5" s="1"/>
  <c r="D48" i="5"/>
  <c r="D49" i="5"/>
  <c r="D50" i="5"/>
  <c r="D51" i="5"/>
  <c r="D52" i="5"/>
  <c r="D53" i="5"/>
  <c r="D54" i="5"/>
  <c r="D55" i="5"/>
  <c r="D56" i="5"/>
  <c r="D57" i="5"/>
  <c r="C24" i="5"/>
  <c r="C48" i="5" s="1"/>
  <c r="C25" i="5"/>
  <c r="C49" i="5" s="1"/>
  <c r="C26" i="5"/>
  <c r="C50" i="5" s="1"/>
  <c r="C27" i="5"/>
  <c r="C51" i="5" s="1"/>
  <c r="C28" i="5"/>
  <c r="C52" i="5" s="1"/>
  <c r="C29" i="5"/>
  <c r="C53" i="5" s="1"/>
  <c r="C30" i="5"/>
  <c r="C54" i="5" s="1"/>
  <c r="C31" i="5"/>
  <c r="C55" i="5" s="1"/>
  <c r="C32" i="5"/>
  <c r="C56" i="5" s="1"/>
  <c r="C33" i="5"/>
  <c r="C57" i="5" s="1"/>
  <c r="I17" i="5"/>
  <c r="I18" i="5"/>
  <c r="F43" i="5" s="1"/>
  <c r="I31" i="5" l="1"/>
  <c r="E55" i="5" s="1"/>
  <c r="F55" i="5" s="1"/>
  <c r="I30" i="5"/>
  <c r="E54" i="5" s="1"/>
  <c r="F54" i="5" s="1"/>
  <c r="F42" i="5"/>
  <c r="I26" i="5"/>
  <c r="E50" i="5" s="1"/>
  <c r="F50" i="5" s="1"/>
  <c r="I29" i="5"/>
  <c r="E53" i="5" s="1"/>
  <c r="F53" i="5" s="1"/>
  <c r="I32" i="5"/>
  <c r="E56" i="5" s="1"/>
  <c r="F56" i="5" s="1"/>
  <c r="I33" i="5"/>
  <c r="E57" i="5" s="1"/>
  <c r="F57" i="5" s="1"/>
  <c r="I27" i="5"/>
  <c r="E51" i="5" s="1"/>
  <c r="F51" i="5" s="1"/>
  <c r="F60" i="5" s="1"/>
  <c r="I28" i="5"/>
  <c r="E52" i="5" s="1"/>
  <c r="F52" i="5" s="1"/>
  <c r="I25" i="5"/>
  <c r="E49" i="5" s="1"/>
  <c r="F49" i="5" s="1"/>
  <c r="I24" i="5"/>
  <c r="E48" i="5" s="1"/>
  <c r="F48" i="5" s="1"/>
  <c r="I72" i="5"/>
  <c r="J72" i="5" s="1"/>
  <c r="I73" i="5"/>
  <c r="J73" i="5" s="1"/>
  <c r="L66" i="5"/>
  <c r="G43" i="5" l="1"/>
  <c r="M66" i="5" s="1"/>
  <c r="F59" i="5"/>
  <c r="G42" i="5" s="1"/>
  <c r="L65" i="5"/>
  <c r="J29" i="5"/>
  <c r="J33" i="5"/>
  <c r="J30" i="5"/>
  <c r="J31" i="5"/>
  <c r="J24" i="5"/>
  <c r="J32" i="5"/>
  <c r="J25" i="5"/>
  <c r="J26" i="5"/>
  <c r="J27" i="5"/>
  <c r="J28" i="5"/>
  <c r="G57" i="5" l="1"/>
  <c r="H57" i="5" s="1"/>
  <c r="M65" i="5"/>
  <c r="K72" i="5" s="1"/>
  <c r="L72" i="5" s="1"/>
  <c r="G51" i="5"/>
  <c r="H51" i="5" s="1"/>
  <c r="G54" i="5"/>
  <c r="H54" i="5" s="1"/>
  <c r="G49" i="5"/>
  <c r="H49" i="5" s="1"/>
  <c r="G53" i="5"/>
  <c r="H53" i="5" s="1"/>
  <c r="G55" i="5"/>
  <c r="H55" i="5" s="1"/>
  <c r="G48" i="5"/>
  <c r="H48" i="5" s="1"/>
  <c r="G50" i="5"/>
  <c r="H50" i="5" s="1"/>
  <c r="G56" i="5"/>
  <c r="H56" i="5" s="1"/>
  <c r="G52" i="5"/>
  <c r="H52" i="5" s="1"/>
  <c r="K73" i="5" l="1"/>
  <c r="L7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CARLOS RENTERIA GARCIA</author>
  </authors>
  <commentList>
    <comment ref="H46" authorId="0" shapeId="0" xr:uid="{C9CEC1F0-81D2-446F-84E9-A040A4075D9C}">
      <text>
        <r>
          <rPr>
            <sz val="9"/>
            <color indexed="81"/>
            <rFont val="Tahoma"/>
            <family val="2"/>
          </rPr>
          <t xml:space="preserve">Resta "WTP ajustada" menos "Precio Real" </t>
        </r>
      </text>
    </comment>
    <comment ref="F47" authorId="0" shapeId="0" xr:uid="{46BC9192-DD7E-40ED-8C25-805CC097E74E}">
      <text>
        <r>
          <rPr>
            <sz val="9"/>
            <color indexed="81"/>
            <rFont val="Tahoma"/>
            <family val="2"/>
          </rPr>
          <t>Multiplica el Total de UU de cada producto por el valor monetario por unidad-útil (celda D39)</t>
        </r>
      </text>
    </comment>
    <comment ref="L70" authorId="0" shapeId="0" xr:uid="{CFA89559-77C5-4639-93A9-0D5B6CE245ED}">
      <text>
        <r>
          <rPr>
            <sz val="9"/>
            <color indexed="81"/>
            <rFont val="Tahoma"/>
            <family val="2"/>
          </rPr>
          <t xml:space="preserve">Resta "WTP ajustada" menos "Precio Propuesto"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<sst xmlns="http://schemas.openxmlformats.org/spreadsheetml/2006/main" count="171" uniqueCount="81">
  <si>
    <t>Tabla Nro. 1 - Resultados Encuesta - CBCA - Choice Based Conjoint Analysis</t>
  </si>
  <si>
    <t>Atributo/Nivel</t>
  </si>
  <si>
    <t>Unidades-Utiles</t>
  </si>
  <si>
    <t>Confiabilidad</t>
  </si>
  <si>
    <t>Baja</t>
  </si>
  <si>
    <t>Media</t>
  </si>
  <si>
    <t>Alta</t>
  </si>
  <si>
    <t>Cálculo del Valor Monetario por Unidad-Útil (UU)</t>
  </si>
  <si>
    <t>Precio Máximo</t>
  </si>
  <si>
    <t>Precio Mínimo</t>
  </si>
  <si>
    <t>UU asociadas al Precio Máximo</t>
  </si>
  <si>
    <t>UU asociadas al Precio Mínimo</t>
  </si>
  <si>
    <t>Valor Monetario por Unidad Útil</t>
  </si>
  <si>
    <t>Tabla Nro. 2 - Atributos y Niveles de Productos Reales</t>
  </si>
  <si>
    <t>Nro.</t>
  </si>
  <si>
    <t>Descripción</t>
  </si>
  <si>
    <t>Atributos y Niveles por Producto</t>
  </si>
  <si>
    <t>Precio Real</t>
  </si>
  <si>
    <t>Fuente de los Datos</t>
  </si>
  <si>
    <t>Precio Real Máximo</t>
  </si>
  <si>
    <t>Precio Real Mínimo</t>
  </si>
  <si>
    <t>Tabla Nro. 3 - Unidades Útiles por Producto</t>
  </si>
  <si>
    <t>Unidades Útiles segíun Atributos y Niveles</t>
  </si>
  <si>
    <t>Total UU</t>
  </si>
  <si>
    <t>Tabla Nro. 4 - Cálculo Disposición a Pagar WTP</t>
  </si>
  <si>
    <t>WPT sin ajustar</t>
  </si>
  <si>
    <t>Máximo</t>
  </si>
  <si>
    <t>Mínimo</t>
  </si>
  <si>
    <t>WTP</t>
  </si>
  <si>
    <t>Diferencia
(WTP'-PR)</t>
  </si>
  <si>
    <t>Sin ajustar</t>
  </si>
  <si>
    <t>Ajustada</t>
  </si>
  <si>
    <t>WTP Máxima</t>
  </si>
  <si>
    <t>WTP Minima</t>
  </si>
  <si>
    <t>Tabla Nro. 5 - Cálculo Precio - Productos Nuevos con Base en WTP</t>
  </si>
  <si>
    <t>Precio</t>
  </si>
  <si>
    <t>Atributos y Niveles del Producto Nuevo</t>
  </si>
  <si>
    <t>Precio Propuesto (PP)</t>
  </si>
  <si>
    <t>Diferencia
(WTP'-PP)</t>
  </si>
  <si>
    <t>Tabla Nro. 6 - Cálculo del Costo Meta</t>
  </si>
  <si>
    <t>Margen de Intermediación</t>
  </si>
  <si>
    <t>sobre precio de venta público, sin IVA.</t>
  </si>
  <si>
    <t>sobre precio de venta al minorista, sin IVA.</t>
  </si>
  <si>
    <t>Precio Propuesto</t>
  </si>
  <si>
    <t>PP sin IVA</t>
  </si>
  <si>
    <t>Precio al Minorista</t>
  </si>
  <si>
    <t>Costo Meta</t>
  </si>
  <si>
    <t>Gama/Marca del Equipo</t>
  </si>
  <si>
    <t>Gama baja</t>
  </si>
  <si>
    <t>Gama Media</t>
  </si>
  <si>
    <t>Gama Alta</t>
  </si>
  <si>
    <t>Soporte y continuidad</t>
  </si>
  <si>
    <t>72 h</t>
  </si>
  <si>
    <t>48 h</t>
  </si>
  <si>
    <t>24 h</t>
  </si>
  <si>
    <t>$ 30,000,000</t>
  </si>
  <si>
    <t>$ 23,000,000</t>
  </si>
  <si>
    <t>$ 16,000,000</t>
  </si>
  <si>
    <t>Plazo de Cumplimiento (días)</t>
  </si>
  <si>
    <t>15 días hábiles</t>
  </si>
  <si>
    <t>10 días hábiles</t>
  </si>
  <si>
    <t>5 días hábiles</t>
  </si>
  <si>
    <t>Movilización y logística de entrega</t>
  </si>
  <si>
    <t>No incluye movilización</t>
  </si>
  <si>
    <t>Incluye movilización</t>
  </si>
  <si>
    <t>HL Ingenieros - Manliflt JLG 60ft 4x2</t>
  </si>
  <si>
    <t>HL Ingenieros - Manliflt JLG 60ft 4x4</t>
  </si>
  <si>
    <t>HL Ingenieros - Manliflt Genie 60ft 4x4</t>
  </si>
  <si>
    <t>AloLift - Manliflt JLG 60ft 4x2</t>
  </si>
  <si>
    <t>AeroRental - Manliflt Zoomlion 60ft 4x4</t>
  </si>
  <si>
    <t>AeroRental - Manliflt JLG 60ft 4x4</t>
  </si>
  <si>
    <t>ProIng - Manliflt JLG 60ft 4x4</t>
  </si>
  <si>
    <t>ProIng - Manliflt Zoomlion 60ft 4x4</t>
  </si>
  <si>
    <t>ProIng - Manliflt Genie 60ft 4x4</t>
  </si>
  <si>
    <t>Producto Nuevo 1 - Manliflt Genie 60ft 4x4</t>
  </si>
  <si>
    <t>Producto Nuevo 2 - Manliflt Zoomlion 60ft 4x4</t>
  </si>
  <si>
    <t>Margen del Arrendador</t>
  </si>
  <si>
    <t>AloLift. (2025). Cotización de alquiler de Man Lift [Documento no publicado].</t>
  </si>
  <si>
    <t>AeroRental. (2025). Cotización de alquiler de Man Lift [Documento no publicado].</t>
  </si>
  <si>
    <t>ProIng. (2025). Cotización de alquiler de Man Lift [Documento no publicado].</t>
  </si>
  <si>
    <t>HL Ingenieros S.A, s.f, ERP Libra, Menu Documental [Documento no publicado].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</si>
</sst>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164" formatCode="_-* #,##0.00\ &quot;€&quot;_-;\-* #,##0.00\ &quot;€&quot;_-;_-* &quot;-&quot;??\ &quot;€&quot;_-;_-@_-"/>
    <numFmt numFmtId="165" formatCode="_-&quot;$&quot;\ * #,##0_-;\-&quot;$&quot;\ * #,##0_-;_-&quot;$&quot;\ * &quot;-&quot;??_-;_-@_-"/>
    <numFmt numFmtId="166" formatCode="0.0%"/>
  </numFmts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8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6" fontId="0" fillId="7" borderId="0" xfId="0" applyNumberFormat="1" applyFill="1"/>
    <xf numFmtId="8" fontId="2" fillId="7" borderId="0" xfId="0" applyNumberFormat="1" applyFont="1" applyFill="1"/>
    <xf numFmtId="0" fontId="1" fillId="4" borderId="1" xfId="3" applyFont="1" applyBorder="1" applyAlignment="1">
      <alignment horizontal="center" vertical="center" wrapText="1"/>
    </xf>
    <xf numFmtId="0" fontId="1" fillId="5" borderId="1" xfId="4" applyFont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2" fontId="0" fillId="8" borderId="1" xfId="0" applyNumberFormat="1" applyFill="1" applyBorder="1" applyAlignment="1">
      <alignment horizontal="center"/>
    </xf>
    <xf numFmtId="6" fontId="0" fillId="8" borderId="1" xfId="0" applyNumberFormat="1" applyFill="1" applyBorder="1"/>
    <xf numFmtId="6" fontId="2" fillId="8" borderId="1" xfId="0" applyNumberFormat="1" applyFont="1" applyFill="1" applyBorder="1"/>
    <xf numFmtId="8" fontId="2" fillId="8" borderId="0" xfId="0" applyNumberFormat="1" applyFont="1" applyFill="1"/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6" fontId="2" fillId="8" borderId="1" xfId="0" applyNumberFormat="1" applyFont="1" applyFill="1" applyBorder="1" applyAlignment="1">
      <alignment horizontal="right" vertical="center" wrapText="1"/>
    </xf>
    <xf numFmtId="2" fontId="2" fillId="8" borderId="1" xfId="0" applyNumberFormat="1" applyFont="1" applyFill="1" applyBorder="1" applyAlignment="1">
      <alignment horizontal="center"/>
    </xf>
    <xf numFmtId="2" fontId="0" fillId="8" borderId="1" xfId="0" applyNumberFormat="1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6" fontId="2" fillId="8" borderId="1" xfId="0" applyNumberFormat="1" applyFont="1" applyFill="1" applyBorder="1" applyAlignment="1">
      <alignment horizontal="center" vertical="center" wrapText="1"/>
    </xf>
    <xf numFmtId="2" fontId="0" fillId="8" borderId="1" xfId="0" applyNumberFormat="1" applyFill="1" applyBorder="1" applyAlignment="1">
      <alignment horizontal="center" vertical="center"/>
    </xf>
    <xf numFmtId="6" fontId="0" fillId="8" borderId="1" xfId="0" applyNumberFormat="1" applyFill="1" applyBorder="1" applyAlignment="1">
      <alignment vertical="center"/>
    </xf>
    <xf numFmtId="2" fontId="0" fillId="0" borderId="0" xfId="0" applyNumberFormat="1" applyAlignment="1">
      <alignment horizontal="left"/>
    </xf>
    <xf numFmtId="0" fontId="1" fillId="6" borderId="1" xfId="5" applyFont="1" applyBorder="1" applyAlignment="1">
      <alignment horizontal="center" vertical="center"/>
    </xf>
    <xf numFmtId="0" fontId="1" fillId="2" borderId="1" xfId="1" applyFont="1" applyBorder="1" applyAlignment="1">
      <alignment horizontal="center" vertical="center" wrapText="1"/>
    </xf>
    <xf numFmtId="6" fontId="0" fillId="0" borderId="0" xfId="0" applyNumberFormat="1" applyAlignment="1">
      <alignment horizontal="left" indent="2"/>
    </xf>
    <xf numFmtId="2" fontId="0" fillId="7" borderId="0" xfId="0" applyNumberFormat="1" applyFill="1" applyProtection="1">
      <protection locked="0"/>
    </xf>
    <xf numFmtId="2" fontId="0" fillId="0" borderId="0" xfId="0" applyNumberFormat="1" applyProtection="1">
      <protection locked="0"/>
    </xf>
    <xf numFmtId="6" fontId="0" fillId="8" borderId="1" xfId="0" applyNumberFormat="1" applyFill="1" applyBorder="1" applyAlignment="1" applyProtection="1">
      <alignment horizontal="right" vertical="center"/>
      <protection locked="0"/>
    </xf>
    <xf numFmtId="9" fontId="0" fillId="8" borderId="1" xfId="0" applyNumberFormat="1" applyFill="1" applyBorder="1" applyAlignment="1">
      <alignment horizontal="center"/>
    </xf>
    <xf numFmtId="9" fontId="0" fillId="0" borderId="0" xfId="7" applyFont="1"/>
    <xf numFmtId="6" fontId="2" fillId="8" borderId="1" xfId="0" applyNumberFormat="1" applyFont="1" applyFill="1" applyBorder="1" applyAlignment="1" applyProtection="1">
      <alignment horizontal="right" vertical="center"/>
      <protection locked="0"/>
    </xf>
    <xf numFmtId="165" fontId="0" fillId="8" borderId="1" xfId="8" applyNumberFormat="1" applyFont="1" applyFill="1" applyBorder="1"/>
    <xf numFmtId="165" fontId="2" fillId="8" borderId="1" xfId="8" applyNumberFormat="1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0" fillId="0" borderId="0" xfId="0" quotePrefix="1"/>
    <xf numFmtId="165" fontId="2" fillId="8" borderId="1" xfId="0" applyNumberFormat="1" applyFont="1" applyFill="1" applyBorder="1" applyAlignment="1">
      <alignment horizontal="right" vertical="center" wrapText="1"/>
    </xf>
    <xf numFmtId="166" fontId="0" fillId="8" borderId="1" xfId="0" applyNumberFormat="1" applyFill="1" applyBorder="1" applyAlignment="1">
      <alignment horizontal="center"/>
    </xf>
    <xf numFmtId="6" fontId="0" fillId="0" borderId="0" xfId="0" applyNumberFormat="1" applyAlignment="1">
      <alignment vertical="center"/>
    </xf>
    <xf numFmtId="0" fontId="0" fillId="9" borderId="0" xfId="0" applyFill="1"/>
    <xf numFmtId="0" fontId="2" fillId="9" borderId="0" xfId="0" applyFont="1" applyFill="1" applyAlignment="1">
      <alignment horizontal="right"/>
    </xf>
    <xf numFmtId="0" fontId="0" fillId="9" borderId="0" xfId="0" applyFill="1" applyAlignment="1">
      <alignment horizontal="right"/>
    </xf>
    <xf numFmtId="6" fontId="0" fillId="9" borderId="1" xfId="0" applyNumberFormat="1" applyFill="1" applyBorder="1"/>
    <xf numFmtId="0" fontId="0" fillId="9" borderId="0" xfId="0" applyFill="1" applyAlignment="1">
      <alignment vertical="center"/>
    </xf>
    <xf numFmtId="0" fontId="1" fillId="5" borderId="1" xfId="4" applyFont="1" applyBorder="1" applyAlignment="1">
      <alignment horizontal="center"/>
    </xf>
    <xf numFmtId="0" fontId="1" fillId="5" borderId="1" xfId="4" applyFont="1" applyBorder="1" applyAlignment="1">
      <alignment horizontal="center" vertical="center" wrapText="1"/>
    </xf>
    <xf numFmtId="0" fontId="1" fillId="6" borderId="1" xfId="5" applyFont="1" applyBorder="1" applyAlignment="1">
      <alignment horizontal="center" vertical="center"/>
    </xf>
    <xf numFmtId="0" fontId="1" fillId="4" borderId="1" xfId="3" applyFont="1" applyBorder="1" applyAlignment="1">
      <alignment horizontal="center"/>
    </xf>
    <xf numFmtId="0" fontId="1" fillId="2" borderId="1" xfId="1" applyFont="1" applyBorder="1" applyAlignment="1">
      <alignment horizontal="center" vertical="center" wrapText="1"/>
    </xf>
    <xf numFmtId="0" fontId="1" fillId="3" borderId="1" xfId="2" applyFont="1" applyBorder="1" applyAlignment="1">
      <alignment horizontal="center" vertical="center"/>
    </xf>
    <xf numFmtId="6" fontId="7" fillId="0" borderId="2" xfId="6" applyNumberFormat="1" applyBorder="1" applyAlignment="1">
      <alignment vertical="center"/>
    </xf>
    <xf numFmtId="6" fontId="7" fillId="0" borderId="0" xfId="6" applyNumberFormat="1" applyAlignment="1">
      <alignment vertical="center"/>
    </xf>
    <xf numFmtId="0" fontId="1" fillId="2" borderId="1" xfId="1" applyFont="1" applyBorder="1" applyAlignment="1">
      <alignment horizontal="center" vertical="center"/>
    </xf>
    <xf numFmtId="0" fontId="1" fillId="2" borderId="3" xfId="1" applyFont="1" applyBorder="1" applyAlignment="1">
      <alignment horizontal="center" vertical="center" wrapText="1"/>
    </xf>
    <xf numFmtId="0" fontId="1" fillId="2" borderId="4" xfId="1" applyFont="1" applyBorder="1" applyAlignment="1">
      <alignment horizontal="center" vertical="center" wrapText="1"/>
    </xf>
    <xf numFmtId="0" fontId="1" fillId="2" borderId="5" xfId="1" applyFont="1" applyBorder="1" applyAlignment="1">
      <alignment horizontal="center" vertical="center" wrapText="1"/>
    </xf>
    <xf numFmtId="0" fontId="1" fillId="2" borderId="6" xfId="1" applyFont="1" applyBorder="1" applyAlignment="1">
      <alignment horizontal="center" vertical="center" wrapText="1"/>
    </xf>
    <xf numFmtId="0" fontId="1" fillId="2" borderId="7" xfId="1" applyFont="1" applyBorder="1" applyAlignment="1">
      <alignment horizontal="center" vertical="center" wrapText="1"/>
    </xf>
    <xf numFmtId="0" fontId="1" fillId="2" borderId="8" xfId="1" applyFont="1" applyBorder="1" applyAlignment="1">
      <alignment horizontal="center" vertical="center" wrapText="1"/>
    </xf>
    <xf numFmtId="6" fontId="7" fillId="0" borderId="3" xfId="6" applyNumberFormat="1" applyBorder="1" applyAlignment="1">
      <alignment vertical="center"/>
    </xf>
    <xf numFmtId="6" fontId="7" fillId="0" borderId="4" xfId="6" applyNumberFormat="1" applyBorder="1" applyAlignment="1">
      <alignment vertical="center"/>
    </xf>
  </cellXfs>
  <cellStyles count="9">
    <cellStyle name="Énfasis1" xfId="1" builtinId="29"/>
    <cellStyle name="Énfasis2" xfId="2" builtinId="33"/>
    <cellStyle name="Énfasis4" xfId="3" builtinId="41"/>
    <cellStyle name="Énfasis5" xfId="4" builtinId="45"/>
    <cellStyle name="Énfasis6" xfId="5" builtinId="49"/>
    <cellStyle name="Hipervínculo" xfId="6" builtinId="8"/>
    <cellStyle name="Moneda" xfId="8" builtinId="4"/>
    <cellStyle name="Normal" xfId="0" builtinId="0"/>
    <cellStyle name="Porcentaje" xfId="7" builtinId="5"/>
  </cellStyles>
  <dxfs count="2">
    <dxf>
      <numFmt numFmtId="2" formatCode="0.00"/>
      <protection locked="0" hidden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9</xdr:row>
      <xdr:rowOff>133358</xdr:rowOff>
    </xdr:from>
    <xdr:to>
      <xdr:col>3</xdr:col>
      <xdr:colOff>314326</xdr:colOff>
      <xdr:row>11</xdr:row>
      <xdr:rowOff>129321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5">
              <a:extLst>
                <a:ext uri="{FF2B5EF4-FFF2-40B4-BE49-F238E27FC236}">
                  <a16:creationId xmlns:a16="http://schemas.microsoft.com/office/drawing/2014/main" id="{A158FC58-E32F-4F8B-A736-91190B1FF269}"/>
                </a:ext>
              </a:extLst>
            </xdr:cNvPr>
            <xdr:cNvSpPr txBox="1"/>
          </xdr:nvSpPr>
          <xdr:spPr>
            <a:xfrm>
              <a:off x="295276" y="1924058"/>
              <a:ext cx="3295650" cy="376963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200" b="0" i="1">
                        <a:latin typeface="Cambria Math" panose="02040503050406030204" pitchFamily="18" charset="0"/>
                      </a:rPr>
                      <m:t>𝑉𝑎𝑙𝑜𝑟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 $ 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𝑝𝑜𝑟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𝑈𝑛𝑖𝑑𝑎𝑑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𝑈𝑡𝑖𝑙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s-CO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</m:e>
                          <m:sub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𝑀𝑖𝑛</m:t>
                            </m:r>
                          </m:sub>
                        </m:sSub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s-CO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</m:e>
                          <m:sub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𝑀𝑎𝑥</m:t>
                            </m:r>
                          </m:sub>
                        </m:sSub>
                      </m:num>
                      <m:den>
                        <m:r>
                          <a:rPr lang="es-CO" sz="1200" i="1">
                            <a:latin typeface="Cambria Math" panose="02040503050406030204" pitchFamily="18" charset="0"/>
                          </a:rPr>
                          <m:t>𝑈𝑈</m:t>
                        </m:r>
                        <m:r>
                          <a:rPr lang="es-CO" sz="1200" i="1">
                            <a:latin typeface="Cambria Math" panose="02040503050406030204" pitchFamily="18" charset="0"/>
                          </a:rPr>
                          <m:t> </m:t>
                        </m:r>
                        <m:sSub>
                          <m:sSub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20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</m:e>
                          <m:sub>
                            <m:r>
                              <a:rPr lang="es-CO" sz="1200" i="1">
                                <a:latin typeface="Cambria Math" panose="02040503050406030204" pitchFamily="18" charset="0"/>
                              </a:rPr>
                              <m:t>𝑀𝑎𝑥</m:t>
                            </m:r>
                          </m:sub>
                        </m:sSub>
                        <m:r>
                          <a:rPr lang="es-CO" sz="120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CO" sz="1200" i="1">
                            <a:latin typeface="Cambria Math" panose="02040503050406030204" pitchFamily="18" charset="0"/>
                          </a:rPr>
                          <m:t>𝑈𝑈</m:t>
                        </m:r>
                        <m:sSub>
                          <m:sSub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20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CO" sz="120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</m:e>
                          <m:sub>
                            <m:r>
                              <a:rPr lang="es-CO" sz="1200" i="1">
                                <a:latin typeface="Cambria Math" panose="02040503050406030204" pitchFamily="18" charset="0"/>
                              </a:rPr>
                              <m:t>𝑀𝑖𝑛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s-419" sz="1200"/>
            </a:p>
          </xdr:txBody>
        </xdr:sp>
      </mc:Choice>
      <mc:Fallback xmlns="">
        <xdr:sp macro="" textlink="">
          <xdr:nvSpPr>
            <xdr:cNvPr id="2" name="CuadroTexto 5">
              <a:extLst>
                <a:ext uri="{FF2B5EF4-FFF2-40B4-BE49-F238E27FC236}">
                  <a16:creationId xmlns:a16="http://schemas.microsoft.com/office/drawing/2014/main" id="{A158FC58-E32F-4F8B-A736-91190B1FF269}"/>
                </a:ext>
              </a:extLst>
            </xdr:cNvPr>
            <xdr:cNvSpPr txBox="1"/>
          </xdr:nvSpPr>
          <xdr:spPr>
            <a:xfrm>
              <a:off x="295276" y="1924058"/>
              <a:ext cx="3295650" cy="376963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O" sz="1200" b="0" i="0">
                  <a:latin typeface="Cambria Math" panose="02040503050406030204" pitchFamily="18" charset="0"/>
                </a:rPr>
                <a:t>𝑉𝑎𝑙𝑜𝑟 $ 𝑝𝑜𝑟 𝑈𝑛𝑖𝑑𝑎𝑑 𝑈𝑡𝑖𝑙=(𝑃_𝑀𝑖𝑛−𝑃_𝑀𝑎𝑥)/(</a:t>
              </a:r>
              <a:r>
                <a:rPr lang="es-CO" sz="1200" i="0">
                  <a:latin typeface="Cambria Math" panose="02040503050406030204" pitchFamily="18" charset="0"/>
                </a:rPr>
                <a:t>𝑈𝑈 𝑃_𝑀𝑎𝑥−𝑈𝑈〖 𝑃〗_𝑀𝑖𝑛 </a:t>
              </a:r>
              <a:r>
                <a:rPr lang="es-CO" sz="1200" b="0" i="0">
                  <a:latin typeface="Cambria Math" panose="02040503050406030204" pitchFamily="18" charset="0"/>
                </a:rPr>
                <a:t>)</a:t>
              </a:r>
              <a:endParaRPr lang="es-419" sz="1200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41</xdr:row>
      <xdr:rowOff>9526</xdr:rowOff>
    </xdr:from>
    <xdr:to>
      <xdr:col>3</xdr:col>
      <xdr:colOff>1066800</xdr:colOff>
      <xdr:row>43</xdr:row>
      <xdr:rowOff>66676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40">
              <a:extLst>
                <a:ext uri="{FF2B5EF4-FFF2-40B4-BE49-F238E27FC236}">
                  <a16:creationId xmlns:a16="http://schemas.microsoft.com/office/drawing/2014/main" id="{1D49844B-DBA6-4742-A5D9-3074F1F699A7}"/>
                </a:ext>
              </a:extLst>
            </xdr:cNvPr>
            <xdr:cNvSpPr txBox="1"/>
          </xdr:nvSpPr>
          <xdr:spPr>
            <a:xfrm>
              <a:off x="466725" y="9953626"/>
              <a:ext cx="4143375" cy="43815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>
                        <a:latin typeface="Cambria Math" panose="02040503050406030204" pitchFamily="18" charset="0"/>
                      </a:rPr>
                      <m:t>𝑊𝑇𝑃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𝑎𝑗𝑢𝑠𝑡𝑎𝑑𝑎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ES" sz="105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𝑃𝑅</m:t>
                        </m:r>
                      </m:e>
                      <m:sub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𝑀𝑖𝑛</m:t>
                        </m:r>
                      </m:sub>
                    </m:sSub>
                    <m:r>
                      <a:rPr lang="es-ES" sz="1050" b="0" i="1">
                        <a:latin typeface="Cambria Math" panose="02040503050406030204" pitchFamily="18" charset="0"/>
                      </a:rPr>
                      <m:t>+</m:t>
                    </m:r>
                    <m:d>
                      <m:dPr>
                        <m:begChr m:val="["/>
                        <m:endChr m:val="]"/>
                        <m:ctrlPr>
                          <a:rPr lang="es-ES" sz="105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d>
                          <m:dPr>
                            <m:ctrlPr>
                              <a:rPr lang="es-ES" sz="105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ES" sz="1050" i="1">
                                    <a:latin typeface="Cambria Math" panose="02040503050406030204" pitchFamily="18" charset="0"/>
                                  </a:rPr>
                                  <m:t>𝑃𝑅</m:t>
                                </m:r>
                              </m:e>
                              <m:sub>
                                <m:r>
                                  <a:rPr lang="es-ES" sz="1050" i="1">
                                    <a:latin typeface="Cambria Math" panose="02040503050406030204" pitchFamily="18" charset="0"/>
                                  </a:rPr>
                                  <m:t>𝑀𝑎𝑥</m:t>
                                </m:r>
                              </m:sub>
                            </m:sSub>
                            <m:r>
                              <a:rPr lang="es-ES" sz="105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ES" sz="1050" i="1">
                                    <a:latin typeface="Cambria Math" panose="02040503050406030204" pitchFamily="18" charset="0"/>
                                  </a:rPr>
                                  <m:t>𝑃𝑅</m:t>
                                </m:r>
                              </m:e>
                              <m:sub>
                                <m:r>
                                  <a:rPr lang="es-ES" sz="1050" i="1">
                                    <a:latin typeface="Cambria Math" panose="02040503050406030204" pitchFamily="18" charset="0"/>
                                  </a:rPr>
                                  <m:t>𝑀𝑖𝑛</m:t>
                                </m:r>
                              </m:sub>
                            </m:sSub>
                          </m:e>
                        </m:d>
                        <m:r>
                          <a:rPr lang="es-ES" sz="1050" i="1">
                            <a:latin typeface="Cambria Math" panose="02040503050406030204" pitchFamily="18" charset="0"/>
                          </a:rPr>
                          <m:t>∗</m:t>
                        </m:r>
                        <m:f>
                          <m:fPr>
                            <m:ctrlPr>
                              <a:rPr lang="es-ES" sz="105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1050" i="1">
                                <a:latin typeface="Cambria Math" panose="02040503050406030204" pitchFamily="18" charset="0"/>
                              </a:rPr>
                              <m:t>𝑊𝑇𝑃</m:t>
                            </m:r>
                            <m:r>
                              <a:rPr lang="es-ES" sz="105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ES" sz="1050" i="1">
                                    <a:latin typeface="Cambria Math" panose="02040503050406030204" pitchFamily="18" charset="0"/>
                                  </a:rPr>
                                  <m:t>𝑊𝑇𝑃</m:t>
                                </m:r>
                              </m:e>
                              <m:sub>
                                <m:r>
                                  <a:rPr lang="es-ES" sz="1050" i="1">
                                    <a:latin typeface="Cambria Math" panose="02040503050406030204" pitchFamily="18" charset="0"/>
                                  </a:rPr>
                                  <m:t>𝑀𝑖𝑛</m:t>
                                </m:r>
                              </m:sub>
                            </m:sSub>
                          </m:num>
                          <m:den>
                            <m:d>
                              <m:d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  <m:t>𝑊𝑇𝑃</m:t>
                                    </m:r>
                                  </m:e>
                                  <m:sub>
                                    <m: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  <m:t>𝑀𝑎𝑥</m:t>
                                    </m:r>
                                  </m:sub>
                                </m:sSub>
                                <m:r>
                                  <a:rPr lang="es-ES" sz="1050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sSub>
                                  <m:sSubPr>
                                    <m:ctrlP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  <m:t>𝑊𝑇𝑃</m:t>
                                    </m:r>
                                  </m:e>
                                  <m:sub>
                                    <m: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  <m:t>𝑀𝑖𝑛</m:t>
                                    </m:r>
                                  </m:sub>
                                </m:sSub>
                              </m:e>
                            </m:d>
                          </m:den>
                        </m:f>
                      </m:e>
                    </m:d>
                  </m:oMath>
                </m:oMathPara>
              </a14:m>
              <a:endParaRPr lang="es-CO" sz="1050"/>
            </a:p>
          </xdr:txBody>
        </xdr:sp>
      </mc:Choice>
      <mc:Fallback xmlns="">
        <xdr:sp macro="" textlink="">
          <xdr:nvSpPr>
            <xdr:cNvPr id="2" name="CuadroTexto 40">
              <a:extLst>
                <a:ext uri="{FF2B5EF4-FFF2-40B4-BE49-F238E27FC236}">
                  <a16:creationId xmlns:a16="http://schemas.microsoft.com/office/drawing/2014/main" id="{1D49844B-DBA6-4742-A5D9-3074F1F699A7}"/>
                </a:ext>
              </a:extLst>
            </xdr:cNvPr>
            <xdr:cNvSpPr txBox="1"/>
          </xdr:nvSpPr>
          <xdr:spPr>
            <a:xfrm>
              <a:off x="466725" y="9953626"/>
              <a:ext cx="4143375" cy="43815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ES" sz="1050" b="0" i="0">
                  <a:latin typeface="Cambria Math" panose="02040503050406030204" pitchFamily="18" charset="0"/>
                </a:rPr>
                <a:t>𝑊𝑇𝑃 𝑎𝑗𝑢𝑠𝑡𝑎𝑑𝑎=〖𝑃𝑅〗_𝑀𝑖𝑛+[(〖</a:t>
              </a:r>
              <a:r>
                <a:rPr lang="es-ES" sz="1050" i="0">
                  <a:latin typeface="Cambria Math" panose="02040503050406030204" pitchFamily="18" charset="0"/>
                </a:rPr>
                <a:t>𝑃𝑅〗_𝑀𝑎𝑥−〖𝑃𝑅〗_𝑀𝑖𝑛 )∗(𝑊𝑇𝑃−〖𝑊𝑇𝑃〗_𝑀𝑖𝑛)/((〖𝑊𝑇𝑃〗_𝑀𝑎𝑥−〖𝑊𝑇𝑃〗_𝑀𝑖𝑛 ) )]</a:t>
              </a:r>
              <a:endParaRPr lang="es-CO" sz="1050"/>
            </a:p>
          </xdr:txBody>
        </xdr:sp>
      </mc:Fallback>
    </mc:AlternateContent>
    <xdr:clientData/>
  </xdr:twoCellAnchor>
  <xdr:twoCellAnchor>
    <xdr:from>
      <xdr:col>4</xdr:col>
      <xdr:colOff>573882</xdr:colOff>
      <xdr:row>37</xdr:row>
      <xdr:rowOff>89297</xdr:rowOff>
    </xdr:from>
    <xdr:to>
      <xdr:col>7</xdr:col>
      <xdr:colOff>858441</xdr:colOff>
      <xdr:row>38</xdr:row>
      <xdr:rowOff>107156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40">
              <a:extLst>
                <a:ext uri="{FF2B5EF4-FFF2-40B4-BE49-F238E27FC236}">
                  <a16:creationId xmlns:a16="http://schemas.microsoft.com/office/drawing/2014/main" id="{B38FF45B-EDF9-4D75-8A0D-33BCB935CE54}"/>
                </a:ext>
              </a:extLst>
            </xdr:cNvPr>
            <xdr:cNvSpPr txBox="1"/>
          </xdr:nvSpPr>
          <xdr:spPr>
            <a:xfrm>
              <a:off x="5401866" y="9691688"/>
              <a:ext cx="4142184" cy="208359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𝑊𝑇𝑃</m:t>
                    </m:r>
                    <m:r>
                      <a:rPr lang="es-ES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𝑇𝑜𝑡𝑎𝑙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𝑈𝑈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𝑉𝑎𝑙𝑜𝑟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$ 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𝑝𝑜𝑟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𝑈𝑛𝑖𝑑𝑎𝑑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s-CO" sz="1050" b="0" i="1" kern="1200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𝑈𝑡𝑖𝑙</m:t>
                    </m:r>
                  </m:oMath>
                </m:oMathPara>
              </a14:m>
              <a:endParaRPr lang="es-CO" sz="1050" b="0" i="1" kern="1200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3" name="CuadroTexto 40">
              <a:extLst>
                <a:ext uri="{FF2B5EF4-FFF2-40B4-BE49-F238E27FC236}">
                  <a16:creationId xmlns:a16="http://schemas.microsoft.com/office/drawing/2014/main" id="{B38FF45B-EDF9-4D75-8A0D-33BCB935CE54}"/>
                </a:ext>
              </a:extLst>
            </xdr:cNvPr>
            <xdr:cNvSpPr txBox="1"/>
          </xdr:nvSpPr>
          <xdr:spPr>
            <a:xfrm>
              <a:off x="5401866" y="9691688"/>
              <a:ext cx="4142184" cy="208359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ES" sz="1050" b="0" i="0" kern="120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𝑊𝑇𝑃 =</a:t>
              </a:r>
              <a:r>
                <a:rPr lang="es-CO" sz="1050" b="0" i="0" kern="120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𝑇𝑜𝑡𝑎𝑙 𝑈𝑈∗𝑉𝑎𝑙𝑜𝑟 $ 𝑝𝑜𝑟 𝑈𝑛𝑖𝑑𝑎𝑑 𝑈𝑡𝑖𝑙</a:t>
              </a:r>
              <a:endParaRPr lang="es-CO" sz="1050" b="0" i="1" kern="1200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7F2B49-A06E-4C8E-9195-20D03433664B}" name="Utilities" displayName="Utilities" ref="B4:C27" totalsRowShown="0">
  <autoFilter ref="B4:C27" xr:uid="{C07F2B49-A06E-4C8E-9195-20D03433664B}"/>
  <tableColumns count="2">
    <tableColumn id="43" xr3:uid="{6A138549-187C-480E-A835-559DCF0EBB1A}" name="Atributo/Nivel" dataDxfId="1"/>
    <tableColumn id="85" xr3:uid="{0602E5B8-3BF1-4EC3-886C-CD2DE811D537}" name="Unidades-Util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CE4D-F14C-4B0A-B7F5-F631EA526314}">
  <dimension ref="B2:C29"/>
  <sheetViews>
    <sheetView showGridLines="0" zoomScaleNormal="100" workbookViewId="0">
      <selection activeCell="J24" sqref="J24"/>
    </sheetView>
  </sheetViews>
  <sheetFormatPr baseColWidth="10" defaultColWidth="11.42578125" defaultRowHeight="15" x14ac:dyDescent="0.25"/>
  <cols>
    <col min="1" max="1" width="3.42578125" customWidth="1"/>
    <col min="2" max="2" width="33.42578125" customWidth="1"/>
    <col min="3" max="3" width="23.28515625" bestFit="1" customWidth="1"/>
    <col min="4" max="9" width="12" bestFit="1" customWidth="1"/>
    <col min="10" max="44" width="12.42578125" bestFit="1" customWidth="1"/>
  </cols>
  <sheetData>
    <row r="2" spans="2:3" ht="21" x14ac:dyDescent="0.35">
      <c r="B2" s="4" t="s">
        <v>0</v>
      </c>
    </row>
    <row r="4" spans="2:3" x14ac:dyDescent="0.25">
      <c r="B4" t="s">
        <v>1</v>
      </c>
      <c r="C4" s="3" t="s">
        <v>2</v>
      </c>
    </row>
    <row r="5" spans="2:3" x14ac:dyDescent="0.25">
      <c r="B5" s="41" t="s">
        <v>3</v>
      </c>
      <c r="C5" s="34"/>
    </row>
    <row r="6" spans="2:3" x14ac:dyDescent="0.25">
      <c r="B6" s="42" t="s">
        <v>4</v>
      </c>
      <c r="C6" s="34">
        <v>0</v>
      </c>
    </row>
    <row r="7" spans="2:3" x14ac:dyDescent="0.25">
      <c r="B7" s="42" t="s">
        <v>5</v>
      </c>
      <c r="C7" s="34">
        <v>12.29629242</v>
      </c>
    </row>
    <row r="8" spans="2:3" x14ac:dyDescent="0.25">
      <c r="B8" s="42" t="s">
        <v>6</v>
      </c>
      <c r="C8" s="34">
        <v>22.84150039</v>
      </c>
    </row>
    <row r="9" spans="2:3" x14ac:dyDescent="0.25">
      <c r="B9" s="41" t="s">
        <v>47</v>
      </c>
      <c r="C9" s="34"/>
    </row>
    <row r="10" spans="2:3" x14ac:dyDescent="0.25">
      <c r="B10" s="42" t="s">
        <v>48</v>
      </c>
      <c r="C10" s="34">
        <v>0</v>
      </c>
    </row>
    <row r="11" spans="2:3" x14ac:dyDescent="0.25">
      <c r="B11" s="42" t="s">
        <v>49</v>
      </c>
      <c r="C11" s="34">
        <v>10.660174570000001</v>
      </c>
    </row>
    <row r="12" spans="2:3" x14ac:dyDescent="0.25">
      <c r="B12" s="42" t="s">
        <v>50</v>
      </c>
      <c r="C12" s="34">
        <v>19.40107433</v>
      </c>
    </row>
    <row r="13" spans="2:3" x14ac:dyDescent="0.25">
      <c r="B13" s="41" t="s">
        <v>51</v>
      </c>
      <c r="C13" s="34"/>
    </row>
    <row r="14" spans="2:3" x14ac:dyDescent="0.25">
      <c r="B14" s="42" t="s">
        <v>52</v>
      </c>
      <c r="C14" s="34">
        <v>0</v>
      </c>
    </row>
    <row r="15" spans="2:3" x14ac:dyDescent="0.25">
      <c r="B15" s="42" t="s">
        <v>53</v>
      </c>
      <c r="C15" s="34">
        <v>7.9835065639999998</v>
      </c>
    </row>
    <row r="16" spans="2:3" x14ac:dyDescent="0.25">
      <c r="B16" s="42" t="s">
        <v>54</v>
      </c>
      <c r="C16" s="34">
        <v>16.734100389999998</v>
      </c>
    </row>
    <row r="17" spans="2:3" x14ac:dyDescent="0.25">
      <c r="B17" s="41" t="s">
        <v>35</v>
      </c>
      <c r="C17" s="34"/>
    </row>
    <row r="18" spans="2:3" x14ac:dyDescent="0.25">
      <c r="B18" s="42" t="s">
        <v>55</v>
      </c>
      <c r="C18" s="34">
        <v>0</v>
      </c>
    </row>
    <row r="19" spans="2:3" x14ac:dyDescent="0.25">
      <c r="B19" s="42" t="s">
        <v>56</v>
      </c>
      <c r="C19" s="34">
        <v>8.3853054520000008</v>
      </c>
    </row>
    <row r="20" spans="2:3" x14ac:dyDescent="0.25">
      <c r="B20" s="42" t="s">
        <v>57</v>
      </c>
      <c r="C20" s="34">
        <v>15.45224054</v>
      </c>
    </row>
    <row r="21" spans="2:3" x14ac:dyDescent="0.25">
      <c r="B21" s="41" t="s">
        <v>58</v>
      </c>
      <c r="C21" s="34"/>
    </row>
    <row r="22" spans="2:3" x14ac:dyDescent="0.25">
      <c r="B22" s="42" t="s">
        <v>59</v>
      </c>
      <c r="C22" s="34">
        <v>0</v>
      </c>
    </row>
    <row r="23" spans="2:3" x14ac:dyDescent="0.25">
      <c r="B23" s="42" t="s">
        <v>60</v>
      </c>
      <c r="C23" s="34">
        <v>7.6227792519999999</v>
      </c>
    </row>
    <row r="24" spans="2:3" x14ac:dyDescent="0.25">
      <c r="B24" s="42" t="s">
        <v>61</v>
      </c>
      <c r="C24" s="34">
        <v>14.68322055</v>
      </c>
    </row>
    <row r="25" spans="2:3" x14ac:dyDescent="0.25">
      <c r="B25" s="41" t="s">
        <v>62</v>
      </c>
      <c r="C25" s="34"/>
    </row>
    <row r="26" spans="2:3" x14ac:dyDescent="0.25">
      <c r="B26" s="42" t="s">
        <v>63</v>
      </c>
      <c r="C26" s="34">
        <v>0</v>
      </c>
    </row>
    <row r="27" spans="2:3" x14ac:dyDescent="0.25">
      <c r="B27" s="42" t="s">
        <v>64</v>
      </c>
      <c r="C27" s="34">
        <v>10.887863810000001</v>
      </c>
    </row>
    <row r="28" spans="2:3" x14ac:dyDescent="0.25">
      <c r="B28" s="32"/>
      <c r="C28" s="34"/>
    </row>
    <row r="29" spans="2:3" x14ac:dyDescent="0.25">
      <c r="B29" s="32"/>
      <c r="C29" s="3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149F-802B-413F-9424-528126C9786F}">
  <dimension ref="B2:C14"/>
  <sheetViews>
    <sheetView showGridLines="0" zoomScale="130" zoomScaleNormal="130" workbookViewId="0">
      <selection activeCell="C15" sqref="C15"/>
    </sheetView>
  </sheetViews>
  <sheetFormatPr baseColWidth="10" defaultColWidth="11.42578125" defaultRowHeight="15" x14ac:dyDescent="0.25"/>
  <cols>
    <col min="1" max="1" width="5.140625" customWidth="1"/>
    <col min="2" max="2" width="31.7109375" customWidth="1"/>
    <col min="3" max="3" width="12.28515625" customWidth="1"/>
  </cols>
  <sheetData>
    <row r="2" spans="2:3" ht="21" x14ac:dyDescent="0.35">
      <c r="B2" s="4" t="s">
        <v>7</v>
      </c>
    </row>
    <row r="4" spans="2:3" x14ac:dyDescent="0.25">
      <c r="B4" t="s">
        <v>8</v>
      </c>
      <c r="C4" s="9">
        <v>30000000</v>
      </c>
    </row>
    <row r="5" spans="2:3" x14ac:dyDescent="0.25">
      <c r="B5" t="s">
        <v>9</v>
      </c>
      <c r="C5" s="9">
        <v>16000000</v>
      </c>
    </row>
    <row r="7" spans="2:3" x14ac:dyDescent="0.25">
      <c r="B7" t="s">
        <v>10</v>
      </c>
      <c r="C7" s="33">
        <v>0</v>
      </c>
    </row>
    <row r="8" spans="2:3" x14ac:dyDescent="0.25">
      <c r="B8" t="s">
        <v>11</v>
      </c>
      <c r="C8" s="33">
        <f>+'Resultados Encuesta'!C20</f>
        <v>15.45224054</v>
      </c>
    </row>
    <row r="14" spans="2:3" x14ac:dyDescent="0.25">
      <c r="B14" t="s">
        <v>12</v>
      </c>
      <c r="C14" s="10">
        <f>(C5-C4)/(C7-C8)</f>
        <v>906017.47777348536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C481-540A-491A-A16E-C862ABA01225}">
  <dimension ref="B2:O84"/>
  <sheetViews>
    <sheetView showGridLines="0" tabSelected="1" topLeftCell="A56" zoomScale="120" zoomScaleNormal="120" workbookViewId="0">
      <selection activeCell="J68" sqref="J68"/>
    </sheetView>
  </sheetViews>
  <sheetFormatPr baseColWidth="10" defaultColWidth="11.42578125" defaultRowHeight="15" x14ac:dyDescent="0.25"/>
  <cols>
    <col min="1" max="1" width="4.28515625" customWidth="1"/>
    <col min="2" max="2" width="6.42578125" customWidth="1"/>
    <col min="3" max="3" width="42.42578125" customWidth="1"/>
    <col min="4" max="9" width="19.28515625" customWidth="1"/>
    <col min="10" max="10" width="14.28515625" customWidth="1"/>
    <col min="11" max="11" width="13.7109375" bestFit="1" customWidth="1"/>
    <col min="12" max="12" width="17.140625" customWidth="1"/>
    <col min="13" max="13" width="16" customWidth="1"/>
  </cols>
  <sheetData>
    <row r="2" spans="2:15" ht="21" x14ac:dyDescent="0.35">
      <c r="B2" s="4" t="s">
        <v>13</v>
      </c>
    </row>
    <row r="4" spans="2:15" x14ac:dyDescent="0.25">
      <c r="B4" s="54" t="s">
        <v>14</v>
      </c>
      <c r="C4" s="54" t="s">
        <v>15</v>
      </c>
      <c r="D4" s="55" t="s">
        <v>16</v>
      </c>
      <c r="E4" s="55"/>
      <c r="F4" s="55"/>
      <c r="G4" s="55"/>
      <c r="H4" s="55"/>
      <c r="I4" s="60" t="s">
        <v>17</v>
      </c>
      <c r="J4" s="61" t="s">
        <v>18</v>
      </c>
      <c r="K4" s="62"/>
      <c r="L4" s="62"/>
      <c r="M4" s="62"/>
      <c r="N4" s="62"/>
      <c r="O4" s="63"/>
    </row>
    <row r="5" spans="2:15" ht="33" customHeight="1" x14ac:dyDescent="0.25">
      <c r="B5" s="54"/>
      <c r="C5" s="54"/>
      <c r="D5" s="11" t="str">
        <f>+Utilities[[#This Row],[Atributo/Nivel]]</f>
        <v>Confiabilidad</v>
      </c>
      <c r="E5" s="11" t="str">
        <f>+'Resultados Encuesta'!B9</f>
        <v>Gama/Marca del Equipo</v>
      </c>
      <c r="F5" s="11" t="str">
        <f>+'Resultados Encuesta'!B13</f>
        <v>Soporte y continuidad</v>
      </c>
      <c r="G5" s="11" t="str">
        <f>+'Resultados Encuesta'!B21</f>
        <v>Plazo de Cumplimiento (días)</v>
      </c>
      <c r="H5" s="11" t="str">
        <f>+'Resultados Encuesta'!B25</f>
        <v>Movilización y logística de entrega</v>
      </c>
      <c r="I5" s="60"/>
      <c r="J5" s="64"/>
      <c r="K5" s="65"/>
      <c r="L5" s="65"/>
      <c r="M5" s="65"/>
      <c r="N5" s="65"/>
      <c r="O5" s="66"/>
    </row>
    <row r="6" spans="2:15" s="7" customFormat="1" ht="30" customHeight="1" x14ac:dyDescent="0.25">
      <c r="B6" s="19">
        <v>1</v>
      </c>
      <c r="C6" s="20" t="s">
        <v>67</v>
      </c>
      <c r="D6" s="19" t="s">
        <v>5</v>
      </c>
      <c r="E6" s="19" t="s">
        <v>49</v>
      </c>
      <c r="F6" s="19" t="s">
        <v>53</v>
      </c>
      <c r="G6" s="19" t="s">
        <v>60</v>
      </c>
      <c r="H6" s="19" t="s">
        <v>64</v>
      </c>
      <c r="I6" s="21">
        <v>25000000</v>
      </c>
      <c r="J6" s="67" t="s">
        <v>80</v>
      </c>
      <c r="K6" s="68"/>
      <c r="L6" s="68"/>
      <c r="M6" s="68"/>
      <c r="N6" s="68"/>
      <c r="O6" s="68"/>
    </row>
    <row r="7" spans="2:15" s="7" customFormat="1" ht="30" customHeight="1" x14ac:dyDescent="0.25">
      <c r="B7" s="19">
        <v>2</v>
      </c>
      <c r="C7" s="20" t="s">
        <v>65</v>
      </c>
      <c r="D7" s="19" t="s">
        <v>5</v>
      </c>
      <c r="E7" s="19" t="s">
        <v>50</v>
      </c>
      <c r="F7" s="19" t="s">
        <v>54</v>
      </c>
      <c r="G7" s="19" t="s">
        <v>61</v>
      </c>
      <c r="H7" s="19" t="s">
        <v>63</v>
      </c>
      <c r="I7" s="21">
        <v>19800000</v>
      </c>
      <c r="J7" s="67" t="s">
        <v>80</v>
      </c>
      <c r="K7" s="68"/>
      <c r="L7" s="68"/>
      <c r="M7" s="68"/>
      <c r="N7" s="68"/>
      <c r="O7" s="68"/>
    </row>
    <row r="8" spans="2:15" s="7" customFormat="1" ht="30" customHeight="1" x14ac:dyDescent="0.25">
      <c r="B8" s="19">
        <v>3</v>
      </c>
      <c r="C8" s="20" t="s">
        <v>66</v>
      </c>
      <c r="D8" s="19" t="s">
        <v>6</v>
      </c>
      <c r="E8" s="19" t="s">
        <v>50</v>
      </c>
      <c r="F8" s="19" t="s">
        <v>54</v>
      </c>
      <c r="G8" s="19" t="s">
        <v>61</v>
      </c>
      <c r="H8" s="19" t="s">
        <v>63</v>
      </c>
      <c r="I8" s="21">
        <v>20800000</v>
      </c>
      <c r="J8" s="67" t="s">
        <v>80</v>
      </c>
      <c r="K8" s="68"/>
      <c r="L8" s="68"/>
      <c r="M8" s="68"/>
      <c r="N8" s="68"/>
      <c r="O8" s="68"/>
    </row>
    <row r="9" spans="2:15" s="7" customFormat="1" ht="30" customHeight="1" x14ac:dyDescent="0.25">
      <c r="B9" s="19">
        <v>4</v>
      </c>
      <c r="C9" s="20" t="s">
        <v>66</v>
      </c>
      <c r="D9" s="19" t="s">
        <v>6</v>
      </c>
      <c r="E9" s="19" t="s">
        <v>50</v>
      </c>
      <c r="F9" s="19" t="s">
        <v>54</v>
      </c>
      <c r="G9" s="19" t="s">
        <v>61</v>
      </c>
      <c r="H9" s="19" t="s">
        <v>64</v>
      </c>
      <c r="I9" s="21">
        <v>26800000</v>
      </c>
      <c r="J9" s="67" t="s">
        <v>80</v>
      </c>
      <c r="K9" s="68"/>
      <c r="L9" s="68"/>
      <c r="M9" s="68"/>
      <c r="N9" s="68"/>
      <c r="O9" s="68"/>
    </row>
    <row r="10" spans="2:15" s="7" customFormat="1" ht="30" customHeight="1" x14ac:dyDescent="0.25">
      <c r="B10" s="19">
        <v>5</v>
      </c>
      <c r="C10" s="20" t="s">
        <v>68</v>
      </c>
      <c r="D10" s="19" t="s">
        <v>5</v>
      </c>
      <c r="E10" s="19" t="s">
        <v>50</v>
      </c>
      <c r="F10" s="19" t="s">
        <v>53</v>
      </c>
      <c r="G10" s="19" t="s">
        <v>60</v>
      </c>
      <c r="H10" s="19" t="s">
        <v>64</v>
      </c>
      <c r="I10" s="21">
        <v>30000000</v>
      </c>
      <c r="J10" s="58" t="s">
        <v>77</v>
      </c>
      <c r="K10" s="59"/>
      <c r="L10" s="59"/>
      <c r="M10" s="59"/>
      <c r="N10" s="59"/>
      <c r="O10" s="59"/>
    </row>
    <row r="11" spans="2:15" s="7" customFormat="1" ht="30" customHeight="1" x14ac:dyDescent="0.25">
      <c r="B11" s="19">
        <v>6</v>
      </c>
      <c r="C11" s="20" t="s">
        <v>69</v>
      </c>
      <c r="D11" s="19" t="s">
        <v>5</v>
      </c>
      <c r="E11" s="19" t="s">
        <v>48</v>
      </c>
      <c r="F11" s="19" t="s">
        <v>53</v>
      </c>
      <c r="G11" s="19" t="s">
        <v>59</v>
      </c>
      <c r="H11" s="19" t="s">
        <v>64</v>
      </c>
      <c r="I11" s="21">
        <v>28000000</v>
      </c>
      <c r="J11" s="58" t="s">
        <v>78</v>
      </c>
      <c r="K11" s="59"/>
      <c r="L11" s="59"/>
      <c r="M11" s="59"/>
      <c r="N11" s="59"/>
      <c r="O11" s="59"/>
    </row>
    <row r="12" spans="2:15" s="7" customFormat="1" ht="30" customHeight="1" x14ac:dyDescent="0.25">
      <c r="B12" s="19">
        <v>7</v>
      </c>
      <c r="C12" s="20" t="s">
        <v>70</v>
      </c>
      <c r="D12" s="19" t="s">
        <v>6</v>
      </c>
      <c r="E12" s="19" t="s">
        <v>50</v>
      </c>
      <c r="F12" s="19" t="s">
        <v>53</v>
      </c>
      <c r="G12" s="19" t="s">
        <v>60</v>
      </c>
      <c r="H12" s="19" t="s">
        <v>63</v>
      </c>
      <c r="I12" s="21">
        <v>22500000</v>
      </c>
      <c r="J12" s="58" t="s">
        <v>78</v>
      </c>
      <c r="K12" s="59"/>
      <c r="L12" s="59"/>
      <c r="M12" s="59"/>
      <c r="N12" s="59"/>
      <c r="O12" s="59"/>
    </row>
    <row r="13" spans="2:15" s="7" customFormat="1" ht="30" customHeight="1" x14ac:dyDescent="0.25">
      <c r="B13" s="19">
        <v>8</v>
      </c>
      <c r="C13" s="20" t="s">
        <v>71</v>
      </c>
      <c r="D13" s="19" t="s">
        <v>6</v>
      </c>
      <c r="E13" s="19" t="s">
        <v>50</v>
      </c>
      <c r="F13" s="19" t="s">
        <v>53</v>
      </c>
      <c r="G13" s="19" t="s">
        <v>60</v>
      </c>
      <c r="H13" s="19" t="s">
        <v>64</v>
      </c>
      <c r="I13" s="21">
        <v>31000000</v>
      </c>
      <c r="J13" s="58" t="s">
        <v>79</v>
      </c>
      <c r="K13" s="59"/>
      <c r="L13" s="59"/>
      <c r="M13" s="59"/>
      <c r="N13" s="59"/>
      <c r="O13" s="59"/>
    </row>
    <row r="14" spans="2:15" s="7" customFormat="1" ht="30" customHeight="1" x14ac:dyDescent="0.25">
      <c r="B14" s="19">
        <v>9</v>
      </c>
      <c r="C14" s="20" t="s">
        <v>72</v>
      </c>
      <c r="D14" s="19" t="s">
        <v>5</v>
      </c>
      <c r="E14" s="19" t="s">
        <v>48</v>
      </c>
      <c r="F14" s="19" t="s">
        <v>53</v>
      </c>
      <c r="G14" s="19" t="s">
        <v>61</v>
      </c>
      <c r="H14" s="19" t="s">
        <v>64</v>
      </c>
      <c r="I14" s="21">
        <v>26500000</v>
      </c>
      <c r="J14" s="58" t="s">
        <v>79</v>
      </c>
      <c r="K14" s="59"/>
      <c r="L14" s="59"/>
      <c r="M14" s="59"/>
      <c r="N14" s="59"/>
      <c r="O14" s="59"/>
    </row>
    <row r="15" spans="2:15" s="7" customFormat="1" ht="30" customHeight="1" x14ac:dyDescent="0.25">
      <c r="B15" s="19">
        <v>10</v>
      </c>
      <c r="C15" s="20" t="s">
        <v>73</v>
      </c>
      <c r="D15" s="19" t="s">
        <v>5</v>
      </c>
      <c r="E15" s="19" t="s">
        <v>49</v>
      </c>
      <c r="F15" s="19" t="s">
        <v>53</v>
      </c>
      <c r="G15" s="19" t="s">
        <v>60</v>
      </c>
      <c r="H15" s="19" t="s">
        <v>64</v>
      </c>
      <c r="I15" s="21">
        <v>28000000</v>
      </c>
      <c r="J15" s="58" t="s">
        <v>79</v>
      </c>
      <c r="K15" s="59"/>
      <c r="L15" s="59"/>
      <c r="M15" s="59"/>
      <c r="N15" s="59"/>
      <c r="O15" s="59"/>
    </row>
    <row r="17" spans="2:10" x14ac:dyDescent="0.25">
      <c r="H17" s="26" t="s">
        <v>19</v>
      </c>
      <c r="I17" s="21">
        <f>MAX(I6:I15)</f>
        <v>31000000</v>
      </c>
    </row>
    <row r="18" spans="2:10" x14ac:dyDescent="0.25">
      <c r="H18" s="26" t="s">
        <v>20</v>
      </c>
      <c r="I18" s="21">
        <f>+MIN(I6:I15)</f>
        <v>19800000</v>
      </c>
    </row>
    <row r="20" spans="2:10" ht="21" x14ac:dyDescent="0.35">
      <c r="B20" s="4" t="s">
        <v>21</v>
      </c>
    </row>
    <row r="22" spans="2:10" x14ac:dyDescent="0.25">
      <c r="B22" s="54" t="s">
        <v>14</v>
      </c>
      <c r="C22" s="54" t="s">
        <v>15</v>
      </c>
      <c r="D22" s="55" t="s">
        <v>22</v>
      </c>
      <c r="E22" s="55"/>
      <c r="F22" s="55"/>
      <c r="G22" s="55"/>
      <c r="H22" s="55"/>
      <c r="I22" s="57" t="s">
        <v>23</v>
      </c>
      <c r="J22" s="6"/>
    </row>
    <row r="23" spans="2:10" ht="30.6" customHeight="1" x14ac:dyDescent="0.25">
      <c r="B23" s="54"/>
      <c r="C23" s="54"/>
      <c r="D23" s="11" t="str">
        <f>+D5</f>
        <v>Confiabilidad</v>
      </c>
      <c r="E23" s="11" t="str">
        <f t="shared" ref="E23:H23" si="0">+E5</f>
        <v>Gama/Marca del Equipo</v>
      </c>
      <c r="F23" s="11" t="str">
        <f t="shared" si="0"/>
        <v>Soporte y continuidad</v>
      </c>
      <c r="G23" s="11" t="str">
        <f t="shared" si="0"/>
        <v>Plazo de Cumplimiento (días)</v>
      </c>
      <c r="H23" s="11" t="str">
        <f t="shared" si="0"/>
        <v>Movilización y logística de entrega</v>
      </c>
      <c r="I23" s="57"/>
      <c r="J23" s="6"/>
    </row>
    <row r="24" spans="2:10" x14ac:dyDescent="0.25">
      <c r="B24" s="13">
        <v>1</v>
      </c>
      <c r="C24" s="14" t="str">
        <f t="shared" ref="C24:C33" si="1">+C6</f>
        <v>HL Ingenieros - Manliflt Genie 60ft 4x4</v>
      </c>
      <c r="D24" s="15" cm="1">
        <f t="array" ref="D24">+_xlfn.XLOOKUP(D6,Utilities[[Atributo/Nivel]:[Atributo/Nivel]],Utilities[[Unidades-Utiles]:[Unidades-Utiles]],"",0)</f>
        <v>12.29629242</v>
      </c>
      <c r="E24" s="15" cm="1">
        <f t="array" ref="E24">+_xlfn.XLOOKUP(E6,Utilities[[Atributo/Nivel]:[Atributo/Nivel]],Utilities[[Unidades-Utiles]:[Unidades-Utiles]],"",0)</f>
        <v>10.660174570000001</v>
      </c>
      <c r="F24" s="15" cm="1">
        <f t="array" ref="F24">+_xlfn.XLOOKUP(F6,Utilities[[Atributo/Nivel]:[Atributo/Nivel]],Utilities[[Unidades-Utiles]:[Unidades-Utiles]],"",0)</f>
        <v>7.9835065639999998</v>
      </c>
      <c r="G24" s="15" cm="1">
        <f t="array" ref="G24">+_xlfn.XLOOKUP(G6,Utilities[[Atributo/Nivel]:[Atributo/Nivel]],Utilities[[Unidades-Utiles]:[Unidades-Utiles]],"",0)</f>
        <v>7.6227792519999999</v>
      </c>
      <c r="H24" s="15" cm="1">
        <f t="array" ref="H24">+_xlfn.XLOOKUP(H6,Utilities[[Atributo/Nivel]:[Atributo/Nivel]],Utilities[[Unidades-Utiles]:[Unidades-Utiles]],"",0)</f>
        <v>10.887863810000001</v>
      </c>
      <c r="I24" s="22">
        <f t="shared" ref="I24:I33" si="2">+SUM(D24:H24)</f>
        <v>49.450616615999998</v>
      </c>
      <c r="J24" s="29" t="str">
        <f t="shared" ref="J24:J33" si="3">IF(I24=MAX($I$24:$I$33),"* Mejor producto por atributos (unidades útiles)",IF(I24=MIN($I$24:$I$33),"* Peor producto por atributos (unidades útiles)",""))</f>
        <v/>
      </c>
    </row>
    <row r="25" spans="2:10" x14ac:dyDescent="0.25">
      <c r="B25" s="13">
        <v>2</v>
      </c>
      <c r="C25" s="14" t="str">
        <f t="shared" si="1"/>
        <v>HL Ingenieros - Manliflt JLG 60ft 4x2</v>
      </c>
      <c r="D25" s="15" cm="1">
        <f t="array" ref="D25">+_xlfn.XLOOKUP(D7,Utilities[[Atributo/Nivel]:[Atributo/Nivel]],Utilities[[Unidades-Utiles]:[Unidades-Utiles]],"",0)</f>
        <v>12.29629242</v>
      </c>
      <c r="E25" s="15" cm="1">
        <f t="array" ref="E25">+_xlfn.XLOOKUP(E7,Utilities[[Atributo/Nivel]:[Atributo/Nivel]],Utilities[[Unidades-Utiles]:[Unidades-Utiles]],"",0)</f>
        <v>19.40107433</v>
      </c>
      <c r="F25" s="15" cm="1">
        <f t="array" ref="F25">+_xlfn.XLOOKUP(F7,Utilities[[Atributo/Nivel]:[Atributo/Nivel]],Utilities[[Unidades-Utiles]:[Unidades-Utiles]],"",0)</f>
        <v>16.734100389999998</v>
      </c>
      <c r="G25" s="15" cm="1">
        <f t="array" ref="G25">+_xlfn.XLOOKUP(G7,Utilities[[Atributo/Nivel]:[Atributo/Nivel]],Utilities[[Unidades-Utiles]:[Unidades-Utiles]],"",0)</f>
        <v>14.68322055</v>
      </c>
      <c r="H25" s="15" cm="1">
        <f t="array" ref="H25">+_xlfn.XLOOKUP(H7,Utilities[[Atributo/Nivel]:[Atributo/Nivel]],Utilities[[Unidades-Utiles]:[Unidades-Utiles]],"",0)</f>
        <v>0</v>
      </c>
      <c r="I25" s="22">
        <f t="shared" si="2"/>
        <v>63.114687689999997</v>
      </c>
      <c r="J25" s="29" t="str">
        <f t="shared" si="3"/>
        <v/>
      </c>
    </row>
    <row r="26" spans="2:10" x14ac:dyDescent="0.25">
      <c r="B26" s="13">
        <v>3</v>
      </c>
      <c r="C26" s="14" t="str">
        <f t="shared" si="1"/>
        <v>HL Ingenieros - Manliflt JLG 60ft 4x4</v>
      </c>
      <c r="D26" s="15" cm="1">
        <f t="array" ref="D26">+_xlfn.XLOOKUP(D8,Utilities[[Atributo/Nivel]:[Atributo/Nivel]],Utilities[[Unidades-Utiles]:[Unidades-Utiles]],"",0)</f>
        <v>22.84150039</v>
      </c>
      <c r="E26" s="15" cm="1">
        <f t="array" ref="E26">+_xlfn.XLOOKUP(E8,Utilities[[Atributo/Nivel]:[Atributo/Nivel]],Utilities[[Unidades-Utiles]:[Unidades-Utiles]],"",0)</f>
        <v>19.40107433</v>
      </c>
      <c r="F26" s="15" cm="1">
        <f t="array" ref="F26">+_xlfn.XLOOKUP(F8,Utilities[[Atributo/Nivel]:[Atributo/Nivel]],Utilities[[Unidades-Utiles]:[Unidades-Utiles]],"",0)</f>
        <v>16.734100389999998</v>
      </c>
      <c r="G26" s="15" cm="1">
        <f t="array" ref="G26">+_xlfn.XLOOKUP(G8,Utilities[[Atributo/Nivel]:[Atributo/Nivel]],Utilities[[Unidades-Utiles]:[Unidades-Utiles]],"",0)</f>
        <v>14.68322055</v>
      </c>
      <c r="H26" s="15" cm="1">
        <f t="array" ref="H26">+_xlfn.XLOOKUP(H8,Utilities[[Atributo/Nivel]:[Atributo/Nivel]],Utilities[[Unidades-Utiles]:[Unidades-Utiles]],"",0)</f>
        <v>0</v>
      </c>
      <c r="I26" s="22">
        <f t="shared" si="2"/>
        <v>73.659895660000004</v>
      </c>
      <c r="J26" s="29" t="str">
        <f t="shared" si="3"/>
        <v/>
      </c>
    </row>
    <row r="27" spans="2:10" x14ac:dyDescent="0.25">
      <c r="B27" s="13">
        <v>4</v>
      </c>
      <c r="C27" s="14" t="str">
        <f t="shared" si="1"/>
        <v>HL Ingenieros - Manliflt JLG 60ft 4x4</v>
      </c>
      <c r="D27" s="15" cm="1">
        <f t="array" ref="D27">+_xlfn.XLOOKUP(D9,Utilities[[Atributo/Nivel]:[Atributo/Nivel]],Utilities[[Unidades-Utiles]:[Unidades-Utiles]],"",0)</f>
        <v>22.84150039</v>
      </c>
      <c r="E27" s="15" cm="1">
        <f t="array" ref="E27">+_xlfn.XLOOKUP(E9,Utilities[[Atributo/Nivel]:[Atributo/Nivel]],Utilities[[Unidades-Utiles]:[Unidades-Utiles]],"",0)</f>
        <v>19.40107433</v>
      </c>
      <c r="F27" s="15" cm="1">
        <f t="array" ref="F27">+_xlfn.XLOOKUP(F9,Utilities[[Atributo/Nivel]:[Atributo/Nivel]],Utilities[[Unidades-Utiles]:[Unidades-Utiles]],"",0)</f>
        <v>16.734100389999998</v>
      </c>
      <c r="G27" s="15" cm="1">
        <f t="array" ref="G27">+_xlfn.XLOOKUP(G9,Utilities[[Atributo/Nivel]:[Atributo/Nivel]],Utilities[[Unidades-Utiles]:[Unidades-Utiles]],"",0)</f>
        <v>14.68322055</v>
      </c>
      <c r="H27" s="15" cm="1">
        <f t="array" ref="H27">+_xlfn.XLOOKUP(H9,Utilities[[Atributo/Nivel]:[Atributo/Nivel]],Utilities[[Unidades-Utiles]:[Unidades-Utiles]],"",0)</f>
        <v>10.887863810000001</v>
      </c>
      <c r="I27" s="22">
        <f t="shared" si="2"/>
        <v>84.547759470000003</v>
      </c>
      <c r="J27" s="29" t="str">
        <f t="shared" si="3"/>
        <v>* Mejor producto por atributos (unidades útiles)</v>
      </c>
    </row>
    <row r="28" spans="2:10" x14ac:dyDescent="0.25">
      <c r="B28" s="13">
        <v>5</v>
      </c>
      <c r="C28" s="14" t="str">
        <f t="shared" si="1"/>
        <v>AloLift - Manliflt JLG 60ft 4x2</v>
      </c>
      <c r="D28" s="15" cm="1">
        <f t="array" ref="D28">+_xlfn.XLOOKUP(D10,Utilities[[Atributo/Nivel]:[Atributo/Nivel]],Utilities[[Unidades-Utiles]:[Unidades-Utiles]],"",0)</f>
        <v>12.29629242</v>
      </c>
      <c r="E28" s="15" cm="1">
        <f t="array" ref="E28">+_xlfn.XLOOKUP(E10,Utilities[[Atributo/Nivel]:[Atributo/Nivel]],Utilities[[Unidades-Utiles]:[Unidades-Utiles]],"",0)</f>
        <v>19.40107433</v>
      </c>
      <c r="F28" s="15" cm="1">
        <f t="array" ref="F28">+_xlfn.XLOOKUP(F10,Utilities[[Atributo/Nivel]:[Atributo/Nivel]],Utilities[[Unidades-Utiles]:[Unidades-Utiles]],"",0)</f>
        <v>7.9835065639999998</v>
      </c>
      <c r="G28" s="15" cm="1">
        <f t="array" ref="G28">+_xlfn.XLOOKUP(G10,Utilities[[Atributo/Nivel]:[Atributo/Nivel]],Utilities[[Unidades-Utiles]:[Unidades-Utiles]],"",0)</f>
        <v>7.6227792519999999</v>
      </c>
      <c r="H28" s="15" cm="1">
        <f t="array" ref="H28">+_xlfn.XLOOKUP(H10,Utilities[[Atributo/Nivel]:[Atributo/Nivel]],Utilities[[Unidades-Utiles]:[Unidades-Utiles]],"",0)</f>
        <v>10.887863810000001</v>
      </c>
      <c r="I28" s="22">
        <f t="shared" si="2"/>
        <v>58.191516376000003</v>
      </c>
      <c r="J28" s="29" t="str">
        <f t="shared" si="3"/>
        <v/>
      </c>
    </row>
    <row r="29" spans="2:10" x14ac:dyDescent="0.25">
      <c r="B29" s="13">
        <v>6</v>
      </c>
      <c r="C29" s="14" t="str">
        <f t="shared" si="1"/>
        <v>AeroRental - Manliflt Zoomlion 60ft 4x4</v>
      </c>
      <c r="D29" s="15" cm="1">
        <f t="array" ref="D29">+_xlfn.XLOOKUP(D11,Utilities[[Atributo/Nivel]:[Atributo/Nivel]],Utilities[[Unidades-Utiles]:[Unidades-Utiles]],"",0)</f>
        <v>12.29629242</v>
      </c>
      <c r="E29" s="15" cm="1">
        <f t="array" ref="E29">+_xlfn.XLOOKUP(E11,Utilities[[Atributo/Nivel]:[Atributo/Nivel]],Utilities[[Unidades-Utiles]:[Unidades-Utiles]],"",0)</f>
        <v>0</v>
      </c>
      <c r="F29" s="15" cm="1">
        <f t="array" ref="F29">+_xlfn.XLOOKUP(F11,Utilities[[Atributo/Nivel]:[Atributo/Nivel]],Utilities[[Unidades-Utiles]:[Unidades-Utiles]],"",0)</f>
        <v>7.9835065639999998</v>
      </c>
      <c r="G29" s="15" cm="1">
        <f t="array" ref="G29">+_xlfn.XLOOKUP(G11,Utilities[[Atributo/Nivel]:[Atributo/Nivel]],Utilities[[Unidades-Utiles]:[Unidades-Utiles]],"",0)</f>
        <v>0</v>
      </c>
      <c r="H29" s="15" cm="1">
        <f t="array" ref="H29">+_xlfn.XLOOKUP(H11,Utilities[[Atributo/Nivel]:[Atributo/Nivel]],Utilities[[Unidades-Utiles]:[Unidades-Utiles]],"",0)</f>
        <v>10.887863810000001</v>
      </c>
      <c r="I29" s="22">
        <f t="shared" si="2"/>
        <v>31.167662794000002</v>
      </c>
      <c r="J29" s="29" t="str">
        <f t="shared" si="3"/>
        <v>* Peor producto por atributos (unidades útiles)</v>
      </c>
    </row>
    <row r="30" spans="2:10" x14ac:dyDescent="0.25">
      <c r="B30" s="13">
        <v>7</v>
      </c>
      <c r="C30" s="14" t="str">
        <f t="shared" si="1"/>
        <v>AeroRental - Manliflt JLG 60ft 4x4</v>
      </c>
      <c r="D30" s="15" cm="1">
        <f t="array" ref="D30">+_xlfn.XLOOKUP(D12,Utilities[[Atributo/Nivel]:[Atributo/Nivel]],Utilities[[Unidades-Utiles]:[Unidades-Utiles]],"",0)</f>
        <v>22.84150039</v>
      </c>
      <c r="E30" s="15" cm="1">
        <f t="array" ref="E30">+_xlfn.XLOOKUP(E12,Utilities[[Atributo/Nivel]:[Atributo/Nivel]],Utilities[[Unidades-Utiles]:[Unidades-Utiles]],"",0)</f>
        <v>19.40107433</v>
      </c>
      <c r="F30" s="15" cm="1">
        <f t="array" ref="F30">+_xlfn.XLOOKUP(F12,Utilities[[Atributo/Nivel]:[Atributo/Nivel]],Utilities[[Unidades-Utiles]:[Unidades-Utiles]],"",0)</f>
        <v>7.9835065639999998</v>
      </c>
      <c r="G30" s="15" cm="1">
        <f t="array" ref="G30">+_xlfn.XLOOKUP(G12,Utilities[[Atributo/Nivel]:[Atributo/Nivel]],Utilities[[Unidades-Utiles]:[Unidades-Utiles]],"",0)</f>
        <v>7.6227792519999999</v>
      </c>
      <c r="H30" s="15" cm="1">
        <f t="array" ref="H30">+_xlfn.XLOOKUP(H12,Utilities[[Atributo/Nivel]:[Atributo/Nivel]],Utilities[[Unidades-Utiles]:[Unidades-Utiles]],"",0)</f>
        <v>0</v>
      </c>
      <c r="I30" s="22">
        <f t="shared" si="2"/>
        <v>57.848860536000004</v>
      </c>
      <c r="J30" s="29" t="str">
        <f t="shared" si="3"/>
        <v/>
      </c>
    </row>
    <row r="31" spans="2:10" x14ac:dyDescent="0.25">
      <c r="B31" s="13">
        <v>8</v>
      </c>
      <c r="C31" s="14" t="str">
        <f t="shared" si="1"/>
        <v>ProIng - Manliflt JLG 60ft 4x4</v>
      </c>
      <c r="D31" s="15" cm="1">
        <f t="array" ref="D31">+_xlfn.XLOOKUP(D13,Utilities[[Atributo/Nivel]:[Atributo/Nivel]],Utilities[[Unidades-Utiles]:[Unidades-Utiles]],"",0)</f>
        <v>22.84150039</v>
      </c>
      <c r="E31" s="15" cm="1">
        <f t="array" ref="E31">+_xlfn.XLOOKUP(E13,Utilities[[Atributo/Nivel]:[Atributo/Nivel]],Utilities[[Unidades-Utiles]:[Unidades-Utiles]],"",0)</f>
        <v>19.40107433</v>
      </c>
      <c r="F31" s="15" cm="1">
        <f t="array" ref="F31">+_xlfn.XLOOKUP(F13,Utilities[[Atributo/Nivel]:[Atributo/Nivel]],Utilities[[Unidades-Utiles]:[Unidades-Utiles]],"",0)</f>
        <v>7.9835065639999998</v>
      </c>
      <c r="G31" s="15" cm="1">
        <f t="array" ref="G31">+_xlfn.XLOOKUP(G13,Utilities[[Atributo/Nivel]:[Atributo/Nivel]],Utilities[[Unidades-Utiles]:[Unidades-Utiles]],"",0)</f>
        <v>7.6227792519999999</v>
      </c>
      <c r="H31" s="15" cm="1">
        <f t="array" ref="H31">+_xlfn.XLOOKUP(H13,Utilities[[Atributo/Nivel]:[Atributo/Nivel]],Utilities[[Unidades-Utiles]:[Unidades-Utiles]],"",0)</f>
        <v>10.887863810000001</v>
      </c>
      <c r="I31" s="22">
        <f t="shared" si="2"/>
        <v>68.736724346000003</v>
      </c>
      <c r="J31" s="29" t="str">
        <f t="shared" si="3"/>
        <v/>
      </c>
    </row>
    <row r="32" spans="2:10" x14ac:dyDescent="0.25">
      <c r="B32" s="13">
        <v>9</v>
      </c>
      <c r="C32" s="14" t="str">
        <f t="shared" si="1"/>
        <v>ProIng - Manliflt Zoomlion 60ft 4x4</v>
      </c>
      <c r="D32" s="15" cm="1">
        <f t="array" ref="D32">+_xlfn.XLOOKUP(D14,Utilities[[Atributo/Nivel]:[Atributo/Nivel]],Utilities[[Unidades-Utiles]:[Unidades-Utiles]],"",0)</f>
        <v>12.29629242</v>
      </c>
      <c r="E32" s="15" cm="1">
        <f t="array" ref="E32">+_xlfn.XLOOKUP(E14,Utilities[[Atributo/Nivel]:[Atributo/Nivel]],Utilities[[Unidades-Utiles]:[Unidades-Utiles]],"",0)</f>
        <v>0</v>
      </c>
      <c r="F32" s="15" cm="1">
        <f t="array" ref="F32">+_xlfn.XLOOKUP(F14,Utilities[[Atributo/Nivel]:[Atributo/Nivel]],Utilities[[Unidades-Utiles]:[Unidades-Utiles]],"",0)</f>
        <v>7.9835065639999998</v>
      </c>
      <c r="G32" s="15" cm="1">
        <f t="array" ref="G32">+_xlfn.XLOOKUP(G14,Utilities[[Atributo/Nivel]:[Atributo/Nivel]],Utilities[[Unidades-Utiles]:[Unidades-Utiles]],"",0)</f>
        <v>14.68322055</v>
      </c>
      <c r="H32" s="15" cm="1">
        <f t="array" ref="H32">+_xlfn.XLOOKUP(H14,Utilities[[Atributo/Nivel]:[Atributo/Nivel]],Utilities[[Unidades-Utiles]:[Unidades-Utiles]],"",0)</f>
        <v>10.887863810000001</v>
      </c>
      <c r="I32" s="22">
        <f t="shared" si="2"/>
        <v>45.850883343999996</v>
      </c>
      <c r="J32" s="29" t="str">
        <f t="shared" si="3"/>
        <v/>
      </c>
    </row>
    <row r="33" spans="2:10" x14ac:dyDescent="0.25">
      <c r="B33" s="13">
        <v>10</v>
      </c>
      <c r="C33" s="14" t="str">
        <f t="shared" si="1"/>
        <v>ProIng - Manliflt Genie 60ft 4x4</v>
      </c>
      <c r="D33" s="15" cm="1">
        <f t="array" ref="D33">+_xlfn.XLOOKUP(D15,Utilities[[Atributo/Nivel]:[Atributo/Nivel]],Utilities[[Unidades-Utiles]:[Unidades-Utiles]],"",0)</f>
        <v>12.29629242</v>
      </c>
      <c r="E33" s="15" cm="1">
        <f t="array" ref="E33">+_xlfn.XLOOKUP(E15,Utilities[[Atributo/Nivel]:[Atributo/Nivel]],Utilities[[Unidades-Utiles]:[Unidades-Utiles]],"",0)</f>
        <v>10.660174570000001</v>
      </c>
      <c r="F33" s="15" cm="1">
        <f t="array" ref="F33">+_xlfn.XLOOKUP(F15,Utilities[[Atributo/Nivel]:[Atributo/Nivel]],Utilities[[Unidades-Utiles]:[Unidades-Utiles]],"",0)</f>
        <v>7.9835065639999998</v>
      </c>
      <c r="G33" s="15" cm="1">
        <f t="array" ref="G33">+_xlfn.XLOOKUP(G15,Utilities[[Atributo/Nivel]:[Atributo/Nivel]],Utilities[[Unidades-Utiles]:[Unidades-Utiles]],"",0)</f>
        <v>7.6227792519999999</v>
      </c>
      <c r="H33" s="15" cm="1">
        <f t="array" ref="H33">+_xlfn.XLOOKUP(H15,Utilities[[Atributo/Nivel]:[Atributo/Nivel]],Utilities[[Unidades-Utiles]:[Unidades-Utiles]],"",0)</f>
        <v>10.887863810000001</v>
      </c>
      <c r="I33" s="22">
        <f t="shared" si="2"/>
        <v>49.450616615999998</v>
      </c>
      <c r="J33" s="29" t="str">
        <f t="shared" si="3"/>
        <v/>
      </c>
    </row>
    <row r="37" spans="2:10" ht="21" x14ac:dyDescent="0.35">
      <c r="B37" s="4" t="s">
        <v>24</v>
      </c>
    </row>
    <row r="39" spans="2:10" x14ac:dyDescent="0.25">
      <c r="B39" s="1" t="s">
        <v>12</v>
      </c>
      <c r="D39" s="18">
        <f>+'Valor $ por UU'!C14</f>
        <v>906017.47777348536</v>
      </c>
    </row>
    <row r="40" spans="2:10" x14ac:dyDescent="0.25">
      <c r="F40" s="5"/>
    </row>
    <row r="41" spans="2:10" x14ac:dyDescent="0.25">
      <c r="F41" s="8" t="s">
        <v>17</v>
      </c>
      <c r="G41" s="8" t="s">
        <v>25</v>
      </c>
    </row>
    <row r="42" spans="2:10" x14ac:dyDescent="0.25">
      <c r="E42" s="2" t="s">
        <v>26</v>
      </c>
      <c r="F42" s="16">
        <f>+I17</f>
        <v>31000000</v>
      </c>
      <c r="G42" s="16">
        <f>+F59</f>
        <v>76601747.786408707</v>
      </c>
    </row>
    <row r="43" spans="2:10" x14ac:dyDescent="0.25">
      <c r="E43" s="2" t="s">
        <v>27</v>
      </c>
      <c r="F43" s="16">
        <f>+I18</f>
        <v>19800000</v>
      </c>
      <c r="G43" s="16">
        <f>+F60</f>
        <v>28238447.232714385</v>
      </c>
    </row>
    <row r="46" spans="2:10" x14ac:dyDescent="0.25">
      <c r="B46" s="54" t="s">
        <v>14</v>
      </c>
      <c r="C46" s="54" t="s">
        <v>15</v>
      </c>
      <c r="D46" s="60" t="s">
        <v>17</v>
      </c>
      <c r="E46" s="57" t="s">
        <v>23</v>
      </c>
      <c r="F46" s="52" t="s">
        <v>28</v>
      </c>
      <c r="G46" s="52"/>
      <c r="H46" s="53" t="s">
        <v>29</v>
      </c>
    </row>
    <row r="47" spans="2:10" x14ac:dyDescent="0.25">
      <c r="B47" s="54"/>
      <c r="C47" s="54"/>
      <c r="D47" s="60"/>
      <c r="E47" s="57"/>
      <c r="F47" s="12" t="s">
        <v>30</v>
      </c>
      <c r="G47" s="12" t="s">
        <v>31</v>
      </c>
      <c r="H47" s="53"/>
    </row>
    <row r="48" spans="2:10" x14ac:dyDescent="0.25">
      <c r="B48" s="13">
        <v>1</v>
      </c>
      <c r="C48" s="14" t="str">
        <f t="shared" ref="C48:C57" si="4">+C24</f>
        <v>HL Ingenieros - Manliflt Genie 60ft 4x4</v>
      </c>
      <c r="D48" s="16">
        <f t="shared" ref="D48:D57" si="5">+I6</f>
        <v>25000000</v>
      </c>
      <c r="E48" s="23">
        <f>+I24</f>
        <v>49.450616615999998</v>
      </c>
      <c r="F48" s="39">
        <f>+E48*$D$39</f>
        <v>44803122.940771922</v>
      </c>
      <c r="G48" s="17">
        <f>$F$43+(($F$42-$F$43)*(F48-$G$43)/($G$42-$G$43))</f>
        <v>23636056.799396269</v>
      </c>
      <c r="H48" s="16">
        <f t="shared" ref="H48:H57" si="6">IFERROR(G48-D48,"")</f>
        <v>-1363943.200603731</v>
      </c>
    </row>
    <row r="49" spans="2:13" x14ac:dyDescent="0.25">
      <c r="B49" s="13">
        <v>2</v>
      </c>
      <c r="C49" s="14" t="str">
        <f t="shared" si="4"/>
        <v>HL Ingenieros - Manliflt JLG 60ft 4x2</v>
      </c>
      <c r="D49" s="16">
        <f t="shared" si="5"/>
        <v>19800000</v>
      </c>
      <c r="E49" s="23">
        <f t="shared" ref="E49:E57" si="7">+I25</f>
        <v>63.114687689999997</v>
      </c>
      <c r="F49" s="39">
        <f t="shared" ref="F49:F57" si="8">+E49*$D$39</f>
        <v>57183010.151355043</v>
      </c>
      <c r="G49" s="17">
        <f t="shared" ref="G49:G57" si="9">$F$43+(($F$42-$F$43)*(F49-$G$43)/($G$42-$G$43))</f>
        <v>26502997.954592913</v>
      </c>
      <c r="H49" s="16">
        <f t="shared" si="6"/>
        <v>6702997.9545929134</v>
      </c>
    </row>
    <row r="50" spans="2:13" x14ac:dyDescent="0.25">
      <c r="B50" s="13">
        <v>3</v>
      </c>
      <c r="C50" s="14" t="str">
        <f t="shared" si="4"/>
        <v>HL Ingenieros - Manliflt JLG 60ft 4x4</v>
      </c>
      <c r="D50" s="16">
        <f t="shared" si="5"/>
        <v>20800000</v>
      </c>
      <c r="E50" s="23">
        <f t="shared" si="7"/>
        <v>73.659895660000004</v>
      </c>
      <c r="F50" s="39">
        <f t="shared" si="8"/>
        <v>66737152.878931306</v>
      </c>
      <c r="G50" s="17">
        <f t="shared" si="9"/>
        <v>28715551.633183409</v>
      </c>
      <c r="H50" s="16">
        <f t="shared" si="6"/>
        <v>7915551.6331834085</v>
      </c>
    </row>
    <row r="51" spans="2:13" x14ac:dyDescent="0.25">
      <c r="B51" s="13">
        <v>4</v>
      </c>
      <c r="C51" s="14" t="str">
        <f t="shared" si="4"/>
        <v>HL Ingenieros - Manliflt JLG 60ft 4x4</v>
      </c>
      <c r="D51" s="16">
        <f t="shared" si="5"/>
        <v>26800000</v>
      </c>
      <c r="E51" s="23">
        <f t="shared" si="7"/>
        <v>84.547759470000003</v>
      </c>
      <c r="F51" s="39">
        <f t="shared" si="8"/>
        <v>76601747.786408707</v>
      </c>
      <c r="G51" s="17">
        <f t="shared" si="9"/>
        <v>31000000</v>
      </c>
      <c r="H51" s="16">
        <f t="shared" si="6"/>
        <v>4200000</v>
      </c>
    </row>
    <row r="52" spans="2:13" x14ac:dyDescent="0.25">
      <c r="B52" s="13">
        <v>5</v>
      </c>
      <c r="C52" s="14" t="str">
        <f t="shared" si="4"/>
        <v>AloLift - Manliflt JLG 60ft 4x2</v>
      </c>
      <c r="D52" s="16">
        <f t="shared" si="5"/>
        <v>30000000</v>
      </c>
      <c r="E52" s="23">
        <f t="shared" si="7"/>
        <v>58.191516376000003</v>
      </c>
      <c r="F52" s="39">
        <f t="shared" si="8"/>
        <v>52722530.894797988</v>
      </c>
      <c r="G52" s="17">
        <f t="shared" si="9"/>
        <v>25470037.691304535</v>
      </c>
      <c r="H52" s="16">
        <f t="shared" si="6"/>
        <v>-4529962.3086954653</v>
      </c>
    </row>
    <row r="53" spans="2:13" x14ac:dyDescent="0.25">
      <c r="B53" s="13">
        <v>6</v>
      </c>
      <c r="C53" s="14" t="str">
        <f t="shared" si="4"/>
        <v>AeroRental - Manliflt Zoomlion 60ft 4x4</v>
      </c>
      <c r="D53" s="16">
        <f t="shared" si="5"/>
        <v>28000000</v>
      </c>
      <c r="E53" s="23">
        <f t="shared" si="7"/>
        <v>31.167662794000002</v>
      </c>
      <c r="F53" s="39">
        <f t="shared" si="8"/>
        <v>28238447.232714385</v>
      </c>
      <c r="G53" s="17">
        <f t="shared" si="9"/>
        <v>19800000</v>
      </c>
      <c r="H53" s="16">
        <f t="shared" si="6"/>
        <v>-8200000</v>
      </c>
    </row>
    <row r="54" spans="2:13" x14ac:dyDescent="0.25">
      <c r="B54" s="13">
        <v>7</v>
      </c>
      <c r="C54" s="14" t="str">
        <f t="shared" si="4"/>
        <v>AeroRental - Manliflt JLG 60ft 4x4</v>
      </c>
      <c r="D54" s="16">
        <f t="shared" si="5"/>
        <v>22500000</v>
      </c>
      <c r="E54" s="23">
        <f t="shared" si="7"/>
        <v>57.848860536000004</v>
      </c>
      <c r="F54" s="39">
        <f t="shared" si="8"/>
        <v>52412078.714896835</v>
      </c>
      <c r="G54" s="17">
        <f t="shared" si="9"/>
        <v>25398143.003078438</v>
      </c>
      <c r="H54" s="16">
        <f t="shared" si="6"/>
        <v>2898143.0030784383</v>
      </c>
    </row>
    <row r="55" spans="2:13" x14ac:dyDescent="0.25">
      <c r="B55" s="13">
        <v>8</v>
      </c>
      <c r="C55" s="14" t="str">
        <f t="shared" si="4"/>
        <v>ProIng - Manliflt JLG 60ft 4x4</v>
      </c>
      <c r="D55" s="16">
        <f t="shared" si="5"/>
        <v>31000000</v>
      </c>
      <c r="E55" s="23">
        <f t="shared" si="7"/>
        <v>68.736724346000003</v>
      </c>
      <c r="F55" s="39">
        <f t="shared" si="8"/>
        <v>62276673.622374244</v>
      </c>
      <c r="G55" s="17">
        <f t="shared" si="9"/>
        <v>27682591.36989503</v>
      </c>
      <c r="H55" s="16">
        <f t="shared" si="6"/>
        <v>-3317408.6301049702</v>
      </c>
    </row>
    <row r="56" spans="2:13" x14ac:dyDescent="0.25">
      <c r="B56" s="13">
        <v>9</v>
      </c>
      <c r="C56" s="14" t="str">
        <f t="shared" si="4"/>
        <v>ProIng - Manliflt Zoomlion 60ft 4x4</v>
      </c>
      <c r="D56" s="16">
        <f t="shared" si="5"/>
        <v>26500000</v>
      </c>
      <c r="E56" s="23">
        <f t="shared" si="7"/>
        <v>45.850883343999996</v>
      </c>
      <c r="F56" s="39">
        <f t="shared" si="8"/>
        <v>41541701.681017183</v>
      </c>
      <c r="G56" s="17">
        <f t="shared" si="9"/>
        <v>22880775.052884806</v>
      </c>
      <c r="H56" s="16">
        <f t="shared" si="6"/>
        <v>-3619224.9471151941</v>
      </c>
    </row>
    <row r="57" spans="2:13" x14ac:dyDescent="0.25">
      <c r="B57" s="13">
        <v>10</v>
      </c>
      <c r="C57" s="14" t="str">
        <f t="shared" si="4"/>
        <v>ProIng - Manliflt Genie 60ft 4x4</v>
      </c>
      <c r="D57" s="16">
        <f t="shared" si="5"/>
        <v>28000000</v>
      </c>
      <c r="E57" s="23">
        <f t="shared" si="7"/>
        <v>49.450616615999998</v>
      </c>
      <c r="F57" s="39">
        <f t="shared" si="8"/>
        <v>44803122.940771922</v>
      </c>
      <c r="G57" s="17">
        <f t="shared" si="9"/>
        <v>23636056.799396269</v>
      </c>
      <c r="H57" s="16">
        <f t="shared" si="6"/>
        <v>-4363943.200603731</v>
      </c>
    </row>
    <row r="59" spans="2:13" x14ac:dyDescent="0.25">
      <c r="E59" s="26" t="s">
        <v>32</v>
      </c>
      <c r="F59" s="44">
        <f>MAX(F48:F57)</f>
        <v>76601747.786408707</v>
      </c>
    </row>
    <row r="60" spans="2:13" x14ac:dyDescent="0.25">
      <c r="E60" s="26" t="s">
        <v>33</v>
      </c>
      <c r="F60" s="44">
        <f>MIN(F48:F57)</f>
        <v>28238447.232714385</v>
      </c>
      <c r="G60" s="43"/>
    </row>
    <row r="63" spans="2:13" ht="21" x14ac:dyDescent="0.35">
      <c r="B63" s="4" t="s">
        <v>34</v>
      </c>
    </row>
    <row r="64" spans="2:13" x14ac:dyDescent="0.25">
      <c r="K64" s="47"/>
      <c r="L64" s="48" t="s">
        <v>35</v>
      </c>
      <c r="M64" s="8" t="s">
        <v>25</v>
      </c>
    </row>
    <row r="65" spans="2:14" x14ac:dyDescent="0.25">
      <c r="B65" s="54" t="s">
        <v>14</v>
      </c>
      <c r="C65" s="54" t="s">
        <v>15</v>
      </c>
      <c r="D65" s="55" t="s">
        <v>36</v>
      </c>
      <c r="E65" s="55"/>
      <c r="F65" s="55"/>
      <c r="G65" s="55"/>
      <c r="H65" s="55"/>
      <c r="I65" s="56" t="s">
        <v>37</v>
      </c>
      <c r="K65" s="49" t="s">
        <v>26</v>
      </c>
      <c r="L65" s="50">
        <f>MAX(F42,I67,I68)</f>
        <v>31000000</v>
      </c>
      <c r="M65" s="16">
        <f>MAX(G42,J72,J73)</f>
        <v>76601747.786408707</v>
      </c>
    </row>
    <row r="66" spans="2:14" ht="29.1" customHeight="1" x14ac:dyDescent="0.25">
      <c r="B66" s="54"/>
      <c r="C66" s="54"/>
      <c r="D66" s="11" t="str">
        <f>+D23</f>
        <v>Confiabilidad</v>
      </c>
      <c r="E66" s="11" t="str">
        <f t="shared" ref="E66:H66" si="10">+E23</f>
        <v>Gama/Marca del Equipo</v>
      </c>
      <c r="F66" s="11" t="str">
        <f t="shared" si="10"/>
        <v>Soporte y continuidad</v>
      </c>
      <c r="G66" s="11" t="str">
        <f t="shared" si="10"/>
        <v>Plazo de Cumplimiento (días)</v>
      </c>
      <c r="H66" s="11" t="str">
        <f t="shared" si="10"/>
        <v>Movilización y logística de entrega</v>
      </c>
      <c r="I66" s="56"/>
      <c r="K66" s="49" t="s">
        <v>27</v>
      </c>
      <c r="L66" s="50">
        <f>MIN(F43,I67,I68)</f>
        <v>19800000</v>
      </c>
      <c r="M66" s="16">
        <f>MIN(G43,J72,J73)</f>
        <v>28238447.232714385</v>
      </c>
    </row>
    <row r="67" spans="2:14" s="7" customFormat="1" ht="30" customHeight="1" x14ac:dyDescent="0.25">
      <c r="B67" s="24">
        <v>1</v>
      </c>
      <c r="C67" s="25" t="s">
        <v>74</v>
      </c>
      <c r="D67" s="19" t="s">
        <v>5</v>
      </c>
      <c r="E67" s="19" t="s">
        <v>49</v>
      </c>
      <c r="F67" s="19" t="s">
        <v>54</v>
      </c>
      <c r="G67" s="19" t="s">
        <v>60</v>
      </c>
      <c r="H67" s="19" t="s">
        <v>63</v>
      </c>
      <c r="I67" s="35">
        <v>21500000</v>
      </c>
      <c r="K67" s="51"/>
      <c r="L67" s="51"/>
    </row>
    <row r="68" spans="2:14" s="7" customFormat="1" ht="30" customHeight="1" x14ac:dyDescent="0.25">
      <c r="B68" s="24">
        <v>2</v>
      </c>
      <c r="C68" s="25" t="s">
        <v>75</v>
      </c>
      <c r="D68" s="19" t="s">
        <v>6</v>
      </c>
      <c r="E68" s="19" t="s">
        <v>48</v>
      </c>
      <c r="F68" s="19" t="s">
        <v>54</v>
      </c>
      <c r="G68" s="19" t="s">
        <v>60</v>
      </c>
      <c r="H68" s="19" t="s">
        <v>63</v>
      </c>
      <c r="I68" s="35">
        <v>22500000</v>
      </c>
      <c r="N68" s="46"/>
    </row>
    <row r="70" spans="2:14" ht="15" customHeight="1" x14ac:dyDescent="0.25">
      <c r="B70" s="54" t="s">
        <v>14</v>
      </c>
      <c r="C70" s="54" t="s">
        <v>15</v>
      </c>
      <c r="D70" s="55" t="s">
        <v>22</v>
      </c>
      <c r="E70" s="55"/>
      <c r="F70" s="55"/>
      <c r="G70" s="55"/>
      <c r="H70" s="55"/>
      <c r="I70" s="57" t="s">
        <v>23</v>
      </c>
      <c r="J70" s="52" t="s">
        <v>28</v>
      </c>
      <c r="K70" s="52"/>
      <c r="L70" s="53" t="s">
        <v>38</v>
      </c>
    </row>
    <row r="71" spans="2:14" ht="29.1" customHeight="1" x14ac:dyDescent="0.25">
      <c r="B71" s="54"/>
      <c r="C71" s="54"/>
      <c r="D71" s="11" t="str">
        <f>+D66</f>
        <v>Confiabilidad</v>
      </c>
      <c r="E71" s="11" t="str">
        <f t="shared" ref="E71:H71" si="11">+E66</f>
        <v>Gama/Marca del Equipo</v>
      </c>
      <c r="F71" s="11" t="str">
        <f t="shared" si="11"/>
        <v>Soporte y continuidad</v>
      </c>
      <c r="G71" s="11" t="str">
        <f t="shared" si="11"/>
        <v>Plazo de Cumplimiento (días)</v>
      </c>
      <c r="H71" s="11" t="str">
        <f t="shared" si="11"/>
        <v>Movilización y logística de entrega</v>
      </c>
      <c r="I71" s="57"/>
      <c r="J71" s="12" t="s">
        <v>30</v>
      </c>
      <c r="K71" s="12" t="s">
        <v>31</v>
      </c>
      <c r="L71" s="53"/>
    </row>
    <row r="72" spans="2:14" s="7" customFormat="1" ht="30" customHeight="1" x14ac:dyDescent="0.25">
      <c r="B72" s="24">
        <v>1</v>
      </c>
      <c r="C72" s="25" t="str">
        <f>+C67</f>
        <v>Producto Nuevo 1 - Manliflt Genie 60ft 4x4</v>
      </c>
      <c r="D72" s="27" cm="1">
        <f t="array" ref="D72">+_xlfn.XLOOKUP(D67,Utilities[[Atributo/Nivel]:[Atributo/Nivel]],Utilities[[Unidades-Utiles]:[Unidades-Utiles]],"",0)</f>
        <v>12.29629242</v>
      </c>
      <c r="E72" s="27" cm="1">
        <f t="array" ref="E72">+_xlfn.XLOOKUP(E67,Utilities[[Atributo/Nivel]:[Atributo/Nivel]],Utilities[[Unidades-Utiles]:[Unidades-Utiles]],"",0)</f>
        <v>10.660174570000001</v>
      </c>
      <c r="F72" s="27" cm="1">
        <f t="array" ref="F72">+_xlfn.XLOOKUP(F67,Utilities[[Atributo/Nivel]:[Atributo/Nivel]],Utilities[[Unidades-Utiles]:[Unidades-Utiles]],"",0)</f>
        <v>16.734100389999998</v>
      </c>
      <c r="G72" s="27" cm="1">
        <f t="array" ref="G72">+_xlfn.XLOOKUP(G67,Utilities[[Atributo/Nivel]:[Atributo/Nivel]],Utilities[[Unidades-Utiles]:[Unidades-Utiles]],"",0)</f>
        <v>7.6227792519999999</v>
      </c>
      <c r="H72" s="27" cm="1">
        <f t="array" ref="H72">+_xlfn.XLOOKUP(H67,Utilities[[Atributo/Nivel]:[Atributo/Nivel]],Utilities[[Unidades-Utiles]:[Unidades-Utiles]],"",0)</f>
        <v>0</v>
      </c>
      <c r="I72" s="27">
        <f>+SUM(D72:H72)</f>
        <v>47.313346632000005</v>
      </c>
      <c r="J72" s="28">
        <f>+I72*$D$39</f>
        <v>42866718.980547272</v>
      </c>
      <c r="K72" s="40">
        <f>$L$66+(($L$65-$L$66)*(J72-$M$66)/($M$65-$M$66))</f>
        <v>23187623.294936873</v>
      </c>
      <c r="L72" s="28">
        <f>+K72-I67</f>
        <v>1687623.294936873</v>
      </c>
    </row>
    <row r="73" spans="2:14" s="7" customFormat="1" ht="30" customHeight="1" x14ac:dyDescent="0.25">
      <c r="B73" s="24">
        <v>2</v>
      </c>
      <c r="C73" s="25" t="str">
        <f>+C68</f>
        <v>Producto Nuevo 2 - Manliflt Zoomlion 60ft 4x4</v>
      </c>
      <c r="D73" s="27" cm="1">
        <f t="array" ref="D73">+_xlfn.XLOOKUP(D68,Utilities[[Atributo/Nivel]:[Atributo/Nivel]],Utilities[[Unidades-Utiles]:[Unidades-Utiles]],"",0)</f>
        <v>22.84150039</v>
      </c>
      <c r="E73" s="27" cm="1">
        <f t="array" ref="E73">+_xlfn.XLOOKUP(E68,Utilities[[Atributo/Nivel]:[Atributo/Nivel]],Utilities[[Unidades-Utiles]:[Unidades-Utiles]],"",0)</f>
        <v>0</v>
      </c>
      <c r="F73" s="27" cm="1">
        <f t="array" ref="F73">+_xlfn.XLOOKUP(F68,Utilities[[Atributo/Nivel]:[Atributo/Nivel]],Utilities[[Unidades-Utiles]:[Unidades-Utiles]],"",0)</f>
        <v>16.734100389999998</v>
      </c>
      <c r="G73" s="27" cm="1">
        <f t="array" ref="G73">+_xlfn.XLOOKUP(G68,Utilities[[Atributo/Nivel]:[Atributo/Nivel]],Utilities[[Unidades-Utiles]:[Unidades-Utiles]],"",0)</f>
        <v>7.6227792519999999</v>
      </c>
      <c r="H73" s="27" cm="1">
        <f t="array" ref="H73">+_xlfn.XLOOKUP(H68,Utilities[[Atributo/Nivel]:[Atributo/Nivel]],Utilities[[Unidades-Utiles]:[Unidades-Utiles]],"",0)</f>
        <v>0</v>
      </c>
      <c r="I73" s="27">
        <f>+SUM(D73:H73)</f>
        <v>47.198380032000003</v>
      </c>
      <c r="J73" s="28">
        <f>+I73*$D$39</f>
        <v>42762557.231587075</v>
      </c>
      <c r="K73" s="40">
        <f>$L$66+(($L$65-$L$66)*(J73-$M$66)/($M$65-$M$66))</f>
        <v>23163501.45926813</v>
      </c>
      <c r="L73" s="28">
        <f>+K73-I68</f>
        <v>663501.45926813036</v>
      </c>
    </row>
    <row r="76" spans="2:14" ht="21" x14ac:dyDescent="0.35">
      <c r="B76" s="4" t="s">
        <v>39</v>
      </c>
    </row>
    <row r="78" spans="2:14" x14ac:dyDescent="0.25">
      <c r="C78" s="1" t="s">
        <v>40</v>
      </c>
      <c r="D78" s="45">
        <v>2.5000000000000001E-2</v>
      </c>
      <c r="E78" t="s">
        <v>41</v>
      </c>
    </row>
    <row r="79" spans="2:14" x14ac:dyDescent="0.25">
      <c r="C79" s="1" t="s">
        <v>76</v>
      </c>
      <c r="D79" s="36">
        <v>0.2</v>
      </c>
      <c r="E79" t="s">
        <v>42</v>
      </c>
    </row>
    <row r="82" spans="2:9" x14ac:dyDescent="0.25">
      <c r="B82" s="30" t="s">
        <v>14</v>
      </c>
      <c r="C82" s="30" t="s">
        <v>15</v>
      </c>
      <c r="D82" s="31" t="s">
        <v>43</v>
      </c>
      <c r="E82" s="31" t="s">
        <v>44</v>
      </c>
      <c r="F82" s="31" t="s">
        <v>45</v>
      </c>
      <c r="G82" s="31" t="s">
        <v>46</v>
      </c>
    </row>
    <row r="83" spans="2:9" x14ac:dyDescent="0.25">
      <c r="B83" s="24">
        <v>1</v>
      </c>
      <c r="C83" s="25" t="str">
        <f>+C72</f>
        <v>Producto Nuevo 1 - Manliflt Genie 60ft 4x4</v>
      </c>
      <c r="D83" s="35">
        <f>+I67</f>
        <v>21500000</v>
      </c>
      <c r="E83" s="35">
        <f>+D83/1.19</f>
        <v>18067226.890756302</v>
      </c>
      <c r="F83" s="35">
        <f>+E83*(1+D79+D78)</f>
        <v>22132352.941176467</v>
      </c>
      <c r="G83" s="38">
        <f>+F83-E83</f>
        <v>4065126.0504201651</v>
      </c>
      <c r="I83" s="37"/>
    </row>
    <row r="84" spans="2:9" x14ac:dyDescent="0.25">
      <c r="B84" s="24">
        <v>2</v>
      </c>
      <c r="C84" s="25" t="str">
        <f>+C73</f>
        <v>Producto Nuevo 2 - Manliflt Zoomlion 60ft 4x4</v>
      </c>
      <c r="D84" s="35">
        <f>+I68</f>
        <v>22500000</v>
      </c>
      <c r="E84" s="35">
        <f>+D84/1.19</f>
        <v>18907563.025210086</v>
      </c>
      <c r="F84" s="35">
        <f>+E84*(1+D78+D79)</f>
        <v>23161764.705882352</v>
      </c>
      <c r="G84" s="38">
        <f>+F84-E84</f>
        <v>4254201.6806722656</v>
      </c>
    </row>
  </sheetData>
  <mergeCells count="35">
    <mergeCell ref="J12:O12"/>
    <mergeCell ref="B4:B5"/>
    <mergeCell ref="C4:C5"/>
    <mergeCell ref="D4:H4"/>
    <mergeCell ref="I4:I5"/>
    <mergeCell ref="J4:O5"/>
    <mergeCell ref="J6:O6"/>
    <mergeCell ref="J7:O7"/>
    <mergeCell ref="J8:O8"/>
    <mergeCell ref="J9:O9"/>
    <mergeCell ref="J10:O10"/>
    <mergeCell ref="J11:O11"/>
    <mergeCell ref="H46:H47"/>
    <mergeCell ref="J13:O13"/>
    <mergeCell ref="J14:O14"/>
    <mergeCell ref="J15:O15"/>
    <mergeCell ref="B22:B23"/>
    <mergeCell ref="C22:C23"/>
    <mergeCell ref="D22:H22"/>
    <mergeCell ref="I22:I23"/>
    <mergeCell ref="B46:B47"/>
    <mergeCell ref="C46:C47"/>
    <mergeCell ref="D46:D47"/>
    <mergeCell ref="E46:E47"/>
    <mergeCell ref="F46:G46"/>
    <mergeCell ref="J70:K70"/>
    <mergeCell ref="L70:L71"/>
    <mergeCell ref="B65:B66"/>
    <mergeCell ref="C65:C66"/>
    <mergeCell ref="D65:H65"/>
    <mergeCell ref="I65:I66"/>
    <mergeCell ref="B70:B71"/>
    <mergeCell ref="C70:C71"/>
    <mergeCell ref="D70:H70"/>
    <mergeCell ref="I70:I71"/>
  </mergeCells>
  <phoneticPr fontId="5" type="noConversion"/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E90E4E6B-ABE5-4BC2-A3E7-E1D4F960F6EF}">
          <x14:formula1>
            <xm:f>'Resultados Encuesta'!$B$6:$B$8</xm:f>
          </x14:formula1>
          <xm:sqref>D67:D68 D6:D15</xm:sqref>
        </x14:dataValidation>
        <x14:dataValidation type="list" allowBlank="1" showInputMessage="1" showErrorMessage="1" xr:uid="{8D798CC5-FE26-45C7-9D49-FAF9ACE9A6BD}">
          <x14:formula1>
            <xm:f>'Resultados Encuesta'!$B$10:$B$12</xm:f>
          </x14:formula1>
          <xm:sqref>E67:E68 E6:E15</xm:sqref>
        </x14:dataValidation>
        <x14:dataValidation type="list" allowBlank="1" showInputMessage="1" showErrorMessage="1" xr:uid="{EC0CA420-4B8A-4E1A-A7A7-4A8D0D31D54C}">
          <x14:formula1>
            <xm:f>'Resultados Encuesta'!$B$14:$B$16</xm:f>
          </x14:formula1>
          <xm:sqref>F67:F68 F6:F15</xm:sqref>
        </x14:dataValidation>
        <x14:dataValidation type="list" allowBlank="1" showInputMessage="1" showErrorMessage="1" xr:uid="{5A345D25-8986-49D4-8935-1A4FDBA34354}">
          <x14:formula1>
            <xm:f>'Resultados Encuesta'!$B$22:$B$24</xm:f>
          </x14:formula1>
          <xm:sqref>G67:G68 G6:G15</xm:sqref>
        </x14:dataValidation>
        <x14:dataValidation type="list" allowBlank="1" showInputMessage="1" showErrorMessage="1" xr:uid="{E71C8714-1275-4836-B623-CF9092A7E584}">
          <x14:formula1>
            <xm:f>'Resultados Encuesta'!$B$26:$B$27</xm:f>
          </x14:formula1>
          <xm:sqref>H67:H68 H6:H15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b 3 1 b 6 c 5 - c e 0 2 - 4 3 e e - 8 7 8 a - c 2 5 9 6 0 5 f d 2 9 2 "   x m l n s = " h t t p : / / s c h e m a s . m i c r o s o f t . c o m / D a t a M a s h u p " > A A A A A B Q D A A B Q S w M E F A A C A A g A Z 0 5 b W 0 c i p 9 2 k A A A A 9 g A A A B I A H A B D b 2 5 m a W c v U G F j a 2 F n Z S 5 4 b W w g o h g A K K A U A A A A A A A A A A A A A A A A A A A A A A A A A A A A h Y 8 x D o I w G I W v Q r r T F t B o y E 8 Z W C W a m B j X p l R o g G J o s d z N w S N 5 B T G K u j m + 7 3 3 D e / f r D d K x b b y L 7 I 3 q d I I C T J E n t e g K p c s E D f b k r 1 H K Y M d F z U v p T b I 2 8 W i K B F X W n m N C n H P Y R b j r S x J S G p B j v t m L S r Y c f W T 1 X / a V N p Z r I R G D w 2 s M C 3 G w W O E l j T A F M k P I l f 4 K 4 b T 3 2 f 5 A y I b G D r 1 k 0 v j Z F s g c g b w / s A d Q S w M E F A A C A A g A Z 0 5 b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d O W 1 s o i k e 4 D g A A A B E A A A A T A B w A R m 9 y b X V s Y X M v U 2 V j d G l v b j E u b S C i G A A o o B Q A A A A A A A A A A A A A A A A A A A A A A A A A A A A r T k 0 u y c z P U w i G 0 I b W A F B L A Q I t A B Q A A g A I A G d O W 1 t H I q f d p A A A A P Y A A A A S A A A A A A A A A A A A A A A A A A A A A A B D b 2 5 m a W c v U G F j a 2 F n Z S 5 4 b W x Q S w E C L Q A U A A I A C A B n T l t b D 8 r p q 6 Q A A A D p A A A A E w A A A A A A A A A A A A A A A A D w A A A A W 0 N v b n R l b n R f V H l w Z X N d L n h t b F B L A Q I t A B Q A A g A I A G d O W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O s j X W a l X Q L x O r t o F 9 Z 8 8 A A A A A A I A A A A A A B B m A A A A A Q A A I A A A A P x w s l E f t 3 n a v a q G f J w 2 7 n 6 x Z L T 6 V 6 2 w G E A d 5 m O h m a 7 a A A A A A A 6 A A A A A A g A A I A A A A O L H m o b B I 5 Y P n e V e P 6 r 6 F u M s 9 m G A a H Y T M F A 1 l 5 l o t 5 N K U A A A A M m p 4 3 F q l 1 x c P 1 e n Q k s V 0 8 g Z O u 9 g C K Y X u P R 4 n 4 A 6 g X M Q 7 V 2 f f B S o p 4 m E P l B 2 0 X 4 p y p z 2 + f 6 w n p b E 0 2 x h D F 3 i 8 / T / J H N p T d U 0 H + S D R f S f v d s t Q A A A A M o e 5 b P 6 d P X S X U R w F R 2 j B w z D T U z i Z o 0 G q E w y x V l W 6 l B m X 7 D N 8 / y 3 Q i Z s s t m f D x z N k g q y 2 v p Q P X M a / H c R 7 p Y J m i A = < / D a t a M a s h u p > 
</file>

<file path=customXml/itemProps1.xml><?xml version="1.0" encoding="utf-8"?>
<ds:datastoreItem xmlns:ds="http://schemas.openxmlformats.org/officeDocument/2006/customXml" ds:itemID="{211A0DA5-CF9C-4E7D-9C67-FAF437F16F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Resultados Encuesta</vt:lpstr>
      <vt:lpstr>Valor $ por UU</vt:lpstr>
      <vt:lpstr>Modelo WTP rentaHL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RENTERIA GARCIA</dc:creator>
  <cp:keywords/>
  <dc:description/>
  <cp:lastModifiedBy>Wilken Nawell Rodriguez Amaya</cp:lastModifiedBy>
  <cp:revision/>
  <dcterms:created xsi:type="dcterms:W3CDTF">2025-08-18T15:10:08Z</dcterms:created>
  <dcterms:modified xsi:type="dcterms:W3CDTF">2026-06-24T21:34:59Z</dcterms:modified>
  <cp:category/>
  <cp:contentStatus/>
</cp:coreProperties>
</file>