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57313\Downloads\"/>
    </mc:Choice>
  </mc:AlternateContent>
  <xr:revisionPtr revIDLastSave="0" documentId="13_ncr:1_{264AA418-3C1E-4AFD-B44D-958357548957}" xr6:coauthVersionLast="47" xr6:coauthVersionMax="47" xr10:uidLastSave="{00000000-0000-0000-0000-000000000000}"/>
  <bookViews>
    <workbookView xWindow="-120" yWindow="480" windowWidth="20730" windowHeight="11160" tabRatio="878" xr2:uid="{00000000-000D-0000-FFFF-FFFF00000000}"/>
  </bookViews>
  <sheets>
    <sheet name="0. Presentación" sheetId="18" r:id="rId1"/>
    <sheet name="1.1 Base Plan de Mercadeo" sheetId="16" r:id="rId2"/>
    <sheet name="1.2 Base Cálculo de Precio" sheetId="15" r:id="rId3"/>
    <sheet name="1.3 Base Part.Mercado Fee" sheetId="17" r:id="rId4"/>
    <sheet name="1.4 Base Otros Supuestos" sheetId="10" r:id="rId5"/>
    <sheet name="2.1 Cálculo Ingreso por Fee" sheetId="14" r:id="rId6"/>
    <sheet name="2.2 Cálculo Ingreso PPU" sheetId="12" r:id="rId7"/>
    <sheet name="2.3 Cálculo Gastos Admon &amp; Vtas" sheetId="13" r:id="rId8"/>
    <sheet name="3 Proyecciones Otros Periodos" sheetId="4" r:id="rId9"/>
    <sheet name="4.0 Balance Base" sheetId="2" r:id="rId10"/>
    <sheet name="4.1 Resultados Proyectados" sheetId="6" r:id="rId11"/>
    <sheet name="4.2 Balance Proyectado" sheetId="8" r:id="rId12"/>
    <sheet name="5. Indic Finan" sheetId="19" r:id="rId13"/>
    <sheet name="6. Flujo de Caja &amp; VPN" sheetId="7" r:id="rId14"/>
  </sheets>
  <definedNames>
    <definedName name="Anticipated_tax_payment">'1.4 Base Otros Supuestos'!$B$18</definedName>
    <definedName name="Cash_policy">'1.4 Base Otros Supuestos'!$B$20</definedName>
    <definedName name="Deffered_assests_amort">'1.4 Base Otros Supuestos'!$B$22</definedName>
    <definedName name="i__new_credits">'1.4 Base Otros Supuestos'!$B$19</definedName>
    <definedName name="i__Opc_1">'1.4 Base Otros Supuestos'!$B$2</definedName>
    <definedName name="i__Opc_2">'1.4 Base Otros Supuestos'!$B$3</definedName>
    <definedName name="Increase_in_costs">'1.4 Base Otros Supuestos'!$B$13</definedName>
    <definedName name="Increase_in_expenses">'1.4 Base Otros Supuestos'!$B$16</definedName>
    <definedName name="Increase_in_prices">'1.4 Base Otros Supuestos'!$B$8</definedName>
    <definedName name="increase_other_expenses">'1.4 Base Otros Supuestos'!$B$23</definedName>
    <definedName name="Legal_reserve">'1.4 Base Otros Supuestos'!$B$21</definedName>
    <definedName name="N">'1.4 Base Otros Supuestos'!$B$4</definedName>
    <definedName name="Payment__Opc_1">'1.4 Base Otros Supuestos'!$B$5</definedName>
    <definedName name="Payment__Opc_2">'1.4 Base Otros Supuestos'!$B$6</definedName>
    <definedName name="Provision_for_bad_debts">'1.4 Base Otros Supuestos'!$B$12</definedName>
    <definedName name="PV_Debt">'1.4 Base Otros Supuestos'!$B$7</definedName>
    <definedName name="Rotación_de_inventarios">'1.4 Base Otros Supuestos'!$B$14</definedName>
    <definedName name="Rotación_de_proveedores">'1.4 Base Otros Supuestos'!$B$15</definedName>
    <definedName name="Sales_Turnover__Days">'1.4 Base Otros Supuestos'!$B$11</definedName>
    <definedName name="Tax_rate">'1.4 Base Otros Supuestos'!$B$17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7" l="1"/>
  <c r="E21" i="7"/>
  <c r="F21" i="7"/>
  <c r="G21" i="7"/>
  <c r="C21" i="7"/>
  <c r="E17" i="12"/>
  <c r="D17" i="12"/>
  <c r="E42" i="13"/>
  <c r="E26" i="17"/>
  <c r="E25" i="17"/>
  <c r="E24" i="17"/>
  <c r="D26" i="17"/>
  <c r="D25" i="17"/>
  <c r="D24" i="17"/>
  <c r="C26" i="17"/>
  <c r="C25" i="17"/>
  <c r="C24" i="17"/>
  <c r="D13" i="2"/>
  <c r="S22" i="15"/>
  <c r="Q21" i="15" l="1"/>
  <c r="E16" i="16" l="1"/>
  <c r="B34" i="13"/>
  <c r="B33" i="13"/>
  <c r="F41" i="4"/>
  <c r="I16" i="2" l="1"/>
  <c r="B32" i="8"/>
  <c r="C32" i="8" s="1"/>
  <c r="D32" i="8" s="1"/>
  <c r="E32" i="8" s="1"/>
  <c r="F32" i="8" s="1"/>
  <c r="B20" i="10"/>
  <c r="B39" i="4" l="1"/>
  <c r="B30" i="12"/>
  <c r="D22" i="12"/>
  <c r="A35" i="12"/>
  <c r="A34" i="12"/>
  <c r="A33" i="12"/>
  <c r="A32" i="12"/>
  <c r="A31" i="12"/>
  <c r="A47" i="14"/>
  <c r="A46" i="14"/>
  <c r="A45" i="14"/>
  <c r="A44" i="14"/>
  <c r="A42" i="14"/>
  <c r="A41" i="14"/>
  <c r="A40" i="14"/>
  <c r="B95" i="4"/>
  <c r="C95" i="4" s="1"/>
  <c r="D95" i="4" s="1"/>
  <c r="C17" i="13"/>
  <c r="C10" i="13"/>
  <c r="C11" i="13"/>
  <c r="C12" i="13"/>
  <c r="C9" i="13"/>
  <c r="E14" i="13"/>
  <c r="D23" i="12"/>
  <c r="B12" i="12"/>
  <c r="B11" i="12"/>
  <c r="B10" i="12"/>
  <c r="B26" i="14"/>
  <c r="B25" i="14"/>
  <c r="B24" i="14"/>
  <c r="D20" i="14"/>
  <c r="E20" i="14" s="1"/>
  <c r="A11" i="14"/>
  <c r="A18" i="14" s="1"/>
  <c r="A10" i="14"/>
  <c r="A17" i="14" s="1"/>
  <c r="A9" i="14"/>
  <c r="A16" i="14" s="1"/>
  <c r="B7" i="14"/>
  <c r="B26" i="17"/>
  <c r="B25" i="17"/>
  <c r="B24" i="17"/>
  <c r="A43" i="14" l="1"/>
  <c r="B20" i="17"/>
  <c r="B21" i="17"/>
  <c r="B10" i="17"/>
  <c r="B9" i="17"/>
  <c r="B14" i="17"/>
  <c r="B19" i="17"/>
  <c r="D9" i="14"/>
  <c r="E71" i="13"/>
  <c r="E72" i="13"/>
  <c r="E73" i="13"/>
  <c r="E74" i="13"/>
  <c r="E70" i="13"/>
  <c r="D71" i="13"/>
  <c r="D72" i="13"/>
  <c r="D73" i="13"/>
  <c r="D74" i="13"/>
  <c r="D70" i="13"/>
  <c r="E113" i="15"/>
  <c r="D113" i="15" s="1"/>
  <c r="H10" i="17"/>
  <c r="H9" i="17"/>
  <c r="H8" i="17"/>
  <c r="H5" i="17"/>
  <c r="H4" i="17"/>
  <c r="D48" i="4" l="1"/>
  <c r="D51" i="4" s="1"/>
  <c r="D49" i="4"/>
  <c r="D50" i="4"/>
  <c r="B60" i="4"/>
  <c r="D60" i="4" s="1"/>
  <c r="J60" i="4"/>
  <c r="B61" i="4"/>
  <c r="C65" i="4" s="1"/>
  <c r="J61" i="4"/>
  <c r="K65" i="4" s="1"/>
  <c r="B64" i="4"/>
  <c r="E64" i="4"/>
  <c r="J64" i="4"/>
  <c r="F39" i="4"/>
  <c r="G39" i="4" s="1"/>
  <c r="H39" i="4" s="1"/>
  <c r="I39" i="4" s="1"/>
  <c r="J39" i="4" s="1"/>
  <c r="G41" i="4"/>
  <c r="H41" i="4" s="1"/>
  <c r="I41" i="4" s="1"/>
  <c r="J41" i="4" s="1"/>
  <c r="F42" i="4"/>
  <c r="G42" i="4" s="1"/>
  <c r="H42" i="4" s="1"/>
  <c r="I42" i="4" s="1"/>
  <c r="J42" i="4" s="1"/>
  <c r="F10" i="4"/>
  <c r="G10" i="4" s="1"/>
  <c r="H10" i="4" s="1"/>
  <c r="I10" i="4" s="1"/>
  <c r="J10" i="4" s="1"/>
  <c r="F11" i="4"/>
  <c r="G11" i="4" s="1"/>
  <c r="H11" i="4" s="1"/>
  <c r="I11" i="4" s="1"/>
  <c r="J11" i="4" s="1"/>
  <c r="M64" i="4" l="1"/>
  <c r="K80" i="4"/>
  <c r="K76" i="4"/>
  <c r="K70" i="4"/>
  <c r="K83" i="4"/>
  <c r="K79" i="4"/>
  <c r="K75" i="4"/>
  <c r="K68" i="4"/>
  <c r="K81" i="4"/>
  <c r="K77" i="4"/>
  <c r="K72" i="4"/>
  <c r="K64" i="4"/>
  <c r="L64" i="4" s="1"/>
  <c r="N64" i="4" s="1"/>
  <c r="J65" i="4" s="1"/>
  <c r="K82" i="4"/>
  <c r="K78" i="4"/>
  <c r="K74" i="4"/>
  <c r="K66" i="4"/>
  <c r="M65" i="4"/>
  <c r="L65" i="4" s="1"/>
  <c r="N65" i="4" s="1"/>
  <c r="J66" i="4" s="1"/>
  <c r="C82" i="4"/>
  <c r="C80" i="4"/>
  <c r="C78" i="4"/>
  <c r="C76" i="4"/>
  <c r="C74" i="4"/>
  <c r="C72" i="4"/>
  <c r="C70" i="4"/>
  <c r="C68" i="4"/>
  <c r="C66" i="4"/>
  <c r="C64" i="4"/>
  <c r="D64" i="4" s="1"/>
  <c r="F64" i="4" s="1"/>
  <c r="B65" i="4" s="1"/>
  <c r="K73" i="4"/>
  <c r="K71" i="4"/>
  <c r="K69" i="4"/>
  <c r="K67" i="4"/>
  <c r="C83" i="4"/>
  <c r="C81" i="4"/>
  <c r="C79" i="4"/>
  <c r="C77" i="4"/>
  <c r="C75" i="4"/>
  <c r="C73" i="4"/>
  <c r="C71" i="4"/>
  <c r="C69" i="4"/>
  <c r="C67" i="4"/>
  <c r="M66" i="4" l="1"/>
  <c r="L66" i="4" s="1"/>
  <c r="N66" i="4" s="1"/>
  <c r="J67" i="4" s="1"/>
  <c r="E65" i="4"/>
  <c r="D65" i="4" s="1"/>
  <c r="F65" i="4" s="1"/>
  <c r="B66" i="4" s="1"/>
  <c r="A36" i="12" l="1"/>
  <c r="E66" i="4"/>
  <c r="D66" i="4" s="1"/>
  <c r="F66" i="4" s="1"/>
  <c r="B67" i="4" s="1"/>
  <c r="M67" i="4"/>
  <c r="L67" i="4" s="1"/>
  <c r="N67" i="4" s="1"/>
  <c r="J68" i="4" s="1"/>
  <c r="M68" i="4" l="1"/>
  <c r="L68" i="4" s="1"/>
  <c r="N68" i="4" s="1"/>
  <c r="J69" i="4" s="1"/>
  <c r="E67" i="4"/>
  <c r="D67" i="4" s="1"/>
  <c r="F67" i="4" s="1"/>
  <c r="B68" i="4" s="1"/>
  <c r="E68" i="4" l="1"/>
  <c r="D68" i="4" s="1"/>
  <c r="F68" i="4"/>
  <c r="B69" i="4" s="1"/>
  <c r="M69" i="4"/>
  <c r="L69" i="4" s="1"/>
  <c r="N69" i="4" s="1"/>
  <c r="J70" i="4" s="1"/>
  <c r="M70" i="4" l="1"/>
  <c r="L70" i="4" s="1"/>
  <c r="N70" i="4"/>
  <c r="J71" i="4" s="1"/>
  <c r="E69" i="4"/>
  <c r="D69" i="4" s="1"/>
  <c r="F69" i="4" s="1"/>
  <c r="B70" i="4" s="1"/>
  <c r="E70" i="4" l="1"/>
  <c r="D70" i="4" s="1"/>
  <c r="F70" i="4"/>
  <c r="B71" i="4" s="1"/>
  <c r="M71" i="4"/>
  <c r="L71" i="4" s="1"/>
  <c r="N71" i="4" s="1"/>
  <c r="J72" i="4" s="1"/>
  <c r="M72" i="4" l="1"/>
  <c r="L72" i="4" s="1"/>
  <c r="N72" i="4"/>
  <c r="J73" i="4" s="1"/>
  <c r="E71" i="4"/>
  <c r="D71" i="4" s="1"/>
  <c r="F71" i="4" s="1"/>
  <c r="B72" i="4" s="1"/>
  <c r="E72" i="4" l="1"/>
  <c r="D72" i="4" s="1"/>
  <c r="F72" i="4" s="1"/>
  <c r="B73" i="4" s="1"/>
  <c r="M73" i="4"/>
  <c r="L73" i="4" s="1"/>
  <c r="N73" i="4" s="1"/>
  <c r="J74" i="4" s="1"/>
  <c r="M74" i="4" l="1"/>
  <c r="L74" i="4" s="1"/>
  <c r="N74" i="4" s="1"/>
  <c r="J75" i="4" s="1"/>
  <c r="E73" i="4"/>
  <c r="D73" i="4" s="1"/>
  <c r="F73" i="4" s="1"/>
  <c r="B74" i="4" s="1"/>
  <c r="E74" i="4" l="1"/>
  <c r="D74" i="4" s="1"/>
  <c r="F74" i="4"/>
  <c r="B75" i="4" s="1"/>
  <c r="M75" i="4"/>
  <c r="L75" i="4" s="1"/>
  <c r="N75" i="4" s="1"/>
  <c r="J76" i="4" s="1"/>
  <c r="M76" i="4" l="1"/>
  <c r="L76" i="4" s="1"/>
  <c r="N76" i="4" s="1"/>
  <c r="J77" i="4" s="1"/>
  <c r="E75" i="4"/>
  <c r="D75" i="4" s="1"/>
  <c r="F75" i="4" s="1"/>
  <c r="B76" i="4" s="1"/>
  <c r="E76" i="4" l="1"/>
  <c r="D76" i="4" s="1"/>
  <c r="F76" i="4"/>
  <c r="B77" i="4" s="1"/>
  <c r="M77" i="4"/>
  <c r="L77" i="4" s="1"/>
  <c r="N77" i="4" s="1"/>
  <c r="J78" i="4" s="1"/>
  <c r="M78" i="4" l="1"/>
  <c r="L78" i="4" s="1"/>
  <c r="N78" i="4" s="1"/>
  <c r="J79" i="4" s="1"/>
  <c r="E77" i="4"/>
  <c r="D77" i="4" s="1"/>
  <c r="F77" i="4" s="1"/>
  <c r="B78" i="4" s="1"/>
  <c r="E78" i="4" l="1"/>
  <c r="D78" i="4" s="1"/>
  <c r="F78" i="4"/>
  <c r="B79" i="4" s="1"/>
  <c r="M79" i="4"/>
  <c r="L79" i="4" s="1"/>
  <c r="N79" i="4" s="1"/>
  <c r="J80" i="4" s="1"/>
  <c r="M80" i="4" l="1"/>
  <c r="L80" i="4" s="1"/>
  <c r="N80" i="4" s="1"/>
  <c r="J81" i="4" s="1"/>
  <c r="E79" i="4"/>
  <c r="D79" i="4" s="1"/>
  <c r="F79" i="4" s="1"/>
  <c r="B80" i="4" s="1"/>
  <c r="E80" i="4" l="1"/>
  <c r="D80" i="4" s="1"/>
  <c r="F80" i="4"/>
  <c r="B81" i="4" s="1"/>
  <c r="M81" i="4"/>
  <c r="L81" i="4" s="1"/>
  <c r="N81" i="4" s="1"/>
  <c r="J82" i="4" s="1"/>
  <c r="M82" i="4" l="1"/>
  <c r="L82" i="4" s="1"/>
  <c r="N82" i="4" s="1"/>
  <c r="J83" i="4" s="1"/>
  <c r="E81" i="4"/>
  <c r="D81" i="4" s="1"/>
  <c r="F81" i="4" s="1"/>
  <c r="B82" i="4" s="1"/>
  <c r="E82" i="4" l="1"/>
  <c r="D82" i="4" s="1"/>
  <c r="F82" i="4" s="1"/>
  <c r="B83" i="4" s="1"/>
  <c r="M83" i="4"/>
  <c r="L83" i="4" s="1"/>
  <c r="N83" i="4" s="1"/>
  <c r="E83" i="4" l="1"/>
  <c r="D83" i="4" s="1"/>
  <c r="F83" i="4" s="1"/>
  <c r="E5" i="17" l="1"/>
  <c r="C5" i="17" s="1"/>
  <c r="D5" i="17"/>
  <c r="C16" i="13" l="1"/>
  <c r="E15" i="13"/>
  <c r="E13" i="13"/>
  <c r="F16" i="17" l="1"/>
  <c r="F15" i="17"/>
  <c r="G10" i="17"/>
  <c r="G9" i="17"/>
  <c r="G8" i="17"/>
  <c r="G4" i="17"/>
  <c r="E11" i="14" l="1"/>
  <c r="C11" i="14"/>
  <c r="D11" i="14"/>
  <c r="E9" i="14"/>
  <c r="C9" i="14"/>
  <c r="E10" i="14"/>
  <c r="C10" i="14"/>
  <c r="D10" i="14"/>
  <c r="G5" i="17"/>
  <c r="E6" i="17"/>
  <c r="D6" i="17"/>
  <c r="G6" i="17" l="1"/>
  <c r="C6" i="17"/>
  <c r="D16" i="17"/>
  <c r="D15" i="17"/>
  <c r="E15" i="17"/>
  <c r="E16" i="17"/>
  <c r="C12" i="12" l="1"/>
  <c r="E21" i="17"/>
  <c r="C18" i="14" s="1"/>
  <c r="C26" i="14" s="1"/>
  <c r="D21" i="17"/>
  <c r="D18" i="14" s="1"/>
  <c r="D26" i="14" s="1"/>
  <c r="D12" i="12"/>
  <c r="C11" i="12"/>
  <c r="E20" i="17"/>
  <c r="C17" i="14" s="1"/>
  <c r="C25" i="14" s="1"/>
  <c r="C16" i="17"/>
  <c r="C15" i="17"/>
  <c r="D20" i="17"/>
  <c r="D17" i="14" s="1"/>
  <c r="D25" i="14" s="1"/>
  <c r="D11" i="12"/>
  <c r="C21" i="17" l="1"/>
  <c r="E12" i="12"/>
  <c r="E11" i="12"/>
  <c r="C20" i="17"/>
  <c r="D19" i="16"/>
  <c r="B37" i="4" s="1"/>
  <c r="E18" i="16"/>
  <c r="E17" i="16"/>
  <c r="E15" i="16"/>
  <c r="E14" i="16"/>
  <c r="E13" i="16"/>
  <c r="E11" i="16"/>
  <c r="E10" i="16"/>
  <c r="E9" i="16"/>
  <c r="E8" i="16"/>
  <c r="E7" i="16"/>
  <c r="E6" i="16"/>
  <c r="E5" i="16"/>
  <c r="E19" i="16" l="1"/>
  <c r="E21" i="16" s="1"/>
  <c r="C39" i="14"/>
  <c r="F25" i="17"/>
  <c r="E17" i="14"/>
  <c r="E25" i="14" s="1"/>
  <c r="F26" i="17"/>
  <c r="E18" i="14"/>
  <c r="E26" i="14" s="1"/>
  <c r="C30" i="12"/>
  <c r="C40" i="14" l="1"/>
  <c r="C31" i="12"/>
  <c r="C87" i="15"/>
  <c r="C32" i="12" l="1"/>
  <c r="C41" i="14"/>
  <c r="E97" i="15"/>
  <c r="E96" i="15"/>
  <c r="C97" i="15"/>
  <c r="C96" i="15"/>
  <c r="C93" i="15"/>
  <c r="C88" i="15"/>
  <c r="C86" i="15"/>
  <c r="D86" i="15" s="1"/>
  <c r="C33" i="12" l="1"/>
  <c r="C42" i="14"/>
  <c r="L67" i="15"/>
  <c r="R67" i="15"/>
  <c r="P67" i="15"/>
  <c r="N67" i="15"/>
  <c r="S63" i="15"/>
  <c r="S65" i="15" s="1"/>
  <c r="E12" i="15"/>
  <c r="E11" i="15"/>
  <c r="S12" i="15"/>
  <c r="S13" i="15"/>
  <c r="S14" i="15"/>
  <c r="S15" i="15"/>
  <c r="S16" i="15"/>
  <c r="S17" i="15"/>
  <c r="S18" i="15"/>
  <c r="S19" i="15"/>
  <c r="S11" i="15"/>
  <c r="R11" i="15"/>
  <c r="R12" i="15"/>
  <c r="R13" i="15"/>
  <c r="R14" i="15"/>
  <c r="R15" i="15"/>
  <c r="R16" i="15"/>
  <c r="R17" i="15"/>
  <c r="R18" i="15"/>
  <c r="R19" i="15"/>
  <c r="R10" i="15"/>
  <c r="C14" i="15"/>
  <c r="E14" i="15" s="1"/>
  <c r="C15" i="15"/>
  <c r="E15" i="15" s="1"/>
  <c r="C16" i="15"/>
  <c r="E16" i="15" s="1"/>
  <c r="C17" i="15"/>
  <c r="E17" i="15" s="1"/>
  <c r="C18" i="15"/>
  <c r="E18" i="15" s="1"/>
  <c r="C19" i="15"/>
  <c r="E19" i="15" s="1"/>
  <c r="C13" i="15"/>
  <c r="E13" i="15" s="1"/>
  <c r="T14" i="15" l="1"/>
  <c r="C43" i="14"/>
  <c r="C34" i="12"/>
  <c r="K13" i="15"/>
  <c r="I13" i="15"/>
  <c r="O13" i="15"/>
  <c r="G13" i="15"/>
  <c r="M13" i="15"/>
  <c r="T13" i="15"/>
  <c r="G16" i="15"/>
  <c r="K16" i="15"/>
  <c r="O16" i="15"/>
  <c r="M16" i="15"/>
  <c r="I16" i="15"/>
  <c r="T16" i="15"/>
  <c r="M19" i="15"/>
  <c r="K19" i="15"/>
  <c r="I19" i="15"/>
  <c r="G19" i="15"/>
  <c r="O19" i="15"/>
  <c r="O18" i="15"/>
  <c r="I18" i="15"/>
  <c r="G18" i="15"/>
  <c r="K18" i="15"/>
  <c r="M18" i="15"/>
  <c r="M11" i="15"/>
  <c r="G11" i="15"/>
  <c r="K11" i="15"/>
  <c r="I11" i="15"/>
  <c r="O11" i="15"/>
  <c r="M15" i="15"/>
  <c r="O15" i="15"/>
  <c r="K15" i="15"/>
  <c r="I15" i="15"/>
  <c r="G15" i="15"/>
  <c r="T19" i="15"/>
  <c r="T15" i="15"/>
  <c r="O14" i="15"/>
  <c r="I14" i="15"/>
  <c r="M14" i="15"/>
  <c r="G14" i="15"/>
  <c r="K14" i="15"/>
  <c r="T18" i="15"/>
  <c r="K17" i="15"/>
  <c r="I17" i="15"/>
  <c r="M17" i="15"/>
  <c r="O17" i="15"/>
  <c r="G17" i="15"/>
  <c r="T17" i="15"/>
  <c r="G12" i="15"/>
  <c r="K12" i="15"/>
  <c r="O12" i="15"/>
  <c r="I12" i="15"/>
  <c r="M12" i="15"/>
  <c r="T11" i="15"/>
  <c r="T12" i="15"/>
  <c r="C35" i="12" l="1"/>
  <c r="C44" i="14"/>
  <c r="T21" i="15"/>
  <c r="G21" i="15"/>
  <c r="M21" i="15"/>
  <c r="O21" i="15"/>
  <c r="I21" i="15"/>
  <c r="K21" i="15"/>
  <c r="I23" i="15" l="1"/>
  <c r="M23" i="15"/>
  <c r="C45" i="14"/>
  <c r="C36" i="12"/>
  <c r="A17" i="6"/>
  <c r="C46" i="14" l="1"/>
  <c r="G23" i="4"/>
  <c r="H23" i="4"/>
  <c r="I23" i="4"/>
  <c r="J23" i="4"/>
  <c r="F23" i="4"/>
  <c r="C47" i="14" l="1"/>
  <c r="F35" i="4" l="1"/>
  <c r="G35" i="4" s="1"/>
  <c r="H35" i="4" s="1"/>
  <c r="I35" i="4" s="1"/>
  <c r="J35" i="4" s="1"/>
  <c r="F37" i="4"/>
  <c r="G37" i="4" s="1"/>
  <c r="H37" i="4" s="1"/>
  <c r="I37" i="4" s="1"/>
  <c r="J37" i="4" s="1"/>
  <c r="J13" i="2" l="1"/>
  <c r="B3" i="10"/>
  <c r="B2" i="10"/>
  <c r="B46" i="6" l="1"/>
  <c r="B34" i="8" l="1"/>
  <c r="C18" i="7"/>
  <c r="D13" i="7"/>
  <c r="C20" i="7"/>
  <c r="B13" i="8"/>
  <c r="B38" i="6" s="1"/>
  <c r="B23" i="8"/>
  <c r="F19" i="8"/>
  <c r="E19" i="8"/>
  <c r="D19" i="8"/>
  <c r="C19" i="8"/>
  <c r="F18" i="8"/>
  <c r="E18" i="8"/>
  <c r="D18" i="8"/>
  <c r="C18" i="8"/>
  <c r="F17" i="8"/>
  <c r="E17" i="8"/>
  <c r="D17" i="8"/>
  <c r="C17" i="8"/>
  <c r="F16" i="8"/>
  <c r="E16" i="8"/>
  <c r="D16" i="8"/>
  <c r="C16" i="8"/>
  <c r="B19" i="8"/>
  <c r="B18" i="8"/>
  <c r="B17" i="8"/>
  <c r="B16" i="8"/>
  <c r="C12" i="7"/>
  <c r="F36" i="6" l="1"/>
  <c r="B36" i="6"/>
  <c r="B20" i="8" s="1"/>
  <c r="E36" i="6"/>
  <c r="D36" i="6"/>
  <c r="C36" i="6"/>
  <c r="C20" i="8" l="1"/>
  <c r="D20" i="8" s="1"/>
  <c r="E20" i="8" s="1"/>
  <c r="F20" i="8" s="1"/>
  <c r="B43" i="6" l="1"/>
  <c r="C29" i="7" s="1"/>
  <c r="C30" i="7" l="1"/>
  <c r="B28" i="8" s="1"/>
  <c r="C43" i="6" l="1"/>
  <c r="D29" i="7" s="1"/>
  <c r="B33" i="6"/>
  <c r="C33" i="6" s="1"/>
  <c r="D33" i="6" s="1"/>
  <c r="E33" i="6" s="1"/>
  <c r="F33" i="6" s="1"/>
  <c r="B32" i="6"/>
  <c r="C32" i="6" s="1"/>
  <c r="D32" i="6" s="1"/>
  <c r="E32" i="6" s="1"/>
  <c r="F32" i="6" s="1"/>
  <c r="B30" i="6"/>
  <c r="C30" i="6" s="1"/>
  <c r="D30" i="6" s="1"/>
  <c r="E30" i="6" s="1"/>
  <c r="F30" i="6" s="1"/>
  <c r="B27" i="6"/>
  <c r="C27" i="6" s="1"/>
  <c r="D27" i="6" s="1"/>
  <c r="E27" i="6" s="1"/>
  <c r="F27" i="6" s="1"/>
  <c r="F24" i="4"/>
  <c r="B19" i="6" s="1"/>
  <c r="F22" i="4"/>
  <c r="B18" i="6" s="1"/>
  <c r="B12" i="6"/>
  <c r="B11" i="6"/>
  <c r="I25" i="2"/>
  <c r="D30" i="7" l="1"/>
  <c r="C28" i="8" s="1"/>
  <c r="G24" i="4"/>
  <c r="G22" i="4"/>
  <c r="C23" i="7"/>
  <c r="B31" i="8"/>
  <c r="D20" i="7" s="1"/>
  <c r="C25" i="7"/>
  <c r="C26" i="7"/>
  <c r="H22" i="4" l="1"/>
  <c r="C18" i="6"/>
  <c r="H24" i="4"/>
  <c r="D19" i="6" s="1"/>
  <c r="C19" i="6"/>
  <c r="C12" i="6"/>
  <c r="C11" i="6"/>
  <c r="D26" i="7"/>
  <c r="D25" i="7"/>
  <c r="C31" i="8"/>
  <c r="E20" i="7" s="1"/>
  <c r="D23" i="7"/>
  <c r="D12" i="6"/>
  <c r="D11" i="6"/>
  <c r="I22" i="4" l="1"/>
  <c r="D18" i="6"/>
  <c r="I24" i="4"/>
  <c r="E19" i="6" s="1"/>
  <c r="E25" i="7"/>
  <c r="E23" i="7"/>
  <c r="D31" i="8"/>
  <c r="F20" i="7" s="1"/>
  <c r="E26" i="7"/>
  <c r="E11" i="6"/>
  <c r="F11" i="6"/>
  <c r="E12" i="6"/>
  <c r="F12" i="6"/>
  <c r="J24" i="4" l="1"/>
  <c r="F19" i="6" s="1"/>
  <c r="J22" i="4"/>
  <c r="F18" i="6" s="1"/>
  <c r="E18" i="6"/>
  <c r="G26" i="7"/>
  <c r="F26" i="7"/>
  <c r="G23" i="7"/>
  <c r="F23" i="7"/>
  <c r="G25" i="7"/>
  <c r="F25" i="7"/>
  <c r="F31" i="8"/>
  <c r="E31" i="8"/>
  <c r="G20" i="7" s="1"/>
  <c r="D43" i="6" l="1"/>
  <c r="E29" i="7" l="1"/>
  <c r="E30" i="7"/>
  <c r="D28" i="8" s="1"/>
  <c r="E43" i="6" l="1"/>
  <c r="F29" i="7" l="1"/>
  <c r="F30" i="7"/>
  <c r="E28" i="8" s="1"/>
  <c r="F43" i="6" l="1"/>
  <c r="G29" i="7" s="1"/>
  <c r="G30" i="7"/>
  <c r="F28" i="8" s="1"/>
  <c r="D14" i="17" l="1"/>
  <c r="D19" i="17" s="1"/>
  <c r="D16" i="14" s="1"/>
  <c r="E14" i="17"/>
  <c r="C14" i="17"/>
  <c r="E10" i="12" s="1"/>
  <c r="F14" i="17"/>
  <c r="D10" i="12" l="1"/>
  <c r="D19" i="14"/>
  <c r="I41" i="14" s="1"/>
  <c r="C25" i="13"/>
  <c r="D25" i="13" s="1"/>
  <c r="D24" i="14"/>
  <c r="D28" i="14" s="1"/>
  <c r="D32" i="14" s="1"/>
  <c r="C34" i="13"/>
  <c r="E43" i="13"/>
  <c r="E14" i="12"/>
  <c r="E18" i="12" s="1"/>
  <c r="C10" i="12"/>
  <c r="C14" i="12" s="1"/>
  <c r="C18" i="12" s="1"/>
  <c r="E19" i="17"/>
  <c r="C16" i="14" s="1"/>
  <c r="C19" i="17"/>
  <c r="B36" i="12"/>
  <c r="D14" i="12" l="1"/>
  <c r="C33" i="13"/>
  <c r="F24" i="17"/>
  <c r="F28" i="17" s="1"/>
  <c r="E16" i="14"/>
  <c r="C27" i="13" s="1"/>
  <c r="C19" i="14"/>
  <c r="C24" i="14"/>
  <c r="C28" i="14" s="1"/>
  <c r="C32" i="14" s="1"/>
  <c r="I42" i="14"/>
  <c r="I43" i="14" s="1"/>
  <c r="C36" i="13"/>
  <c r="D34" i="13"/>
  <c r="D30" i="12"/>
  <c r="E30" i="12" s="1"/>
  <c r="F30" i="12" s="1"/>
  <c r="C94" i="4"/>
  <c r="C96" i="4" s="1"/>
  <c r="C35" i="13" l="1"/>
  <c r="C37" i="13" s="1"/>
  <c r="C41" i="13" s="1"/>
  <c r="D33" i="13"/>
  <c r="D18" i="12"/>
  <c r="C25" i="12" s="1"/>
  <c r="B32" i="12" s="1"/>
  <c r="B94" i="4"/>
  <c r="D94" i="4" s="1"/>
  <c r="B96" i="4" s="1"/>
  <c r="B38" i="4" s="1"/>
  <c r="D36" i="12"/>
  <c r="E36" i="12" s="1"/>
  <c r="F36" i="12" s="1"/>
  <c r="F27" i="17"/>
  <c r="B39" i="14"/>
  <c r="D39" i="14" s="1"/>
  <c r="E39" i="14" s="1"/>
  <c r="F39" i="14" s="1"/>
  <c r="E19" i="14"/>
  <c r="J41" i="14" s="1"/>
  <c r="B40" i="14"/>
  <c r="D40" i="14" s="1"/>
  <c r="B41" i="14"/>
  <c r="E24" i="14"/>
  <c r="E28" i="14" s="1"/>
  <c r="E32" i="14" s="1"/>
  <c r="C34" i="14" s="1"/>
  <c r="B88" i="4" s="1"/>
  <c r="C26" i="13"/>
  <c r="D26" i="13" s="1"/>
  <c r="B46" i="14"/>
  <c r="B47" i="14"/>
  <c r="B42" i="14"/>
  <c r="D42" i="14" s="1"/>
  <c r="E42" i="14" s="1"/>
  <c r="F42" i="14" s="1"/>
  <c r="B43" i="14"/>
  <c r="B44" i="14"/>
  <c r="B45" i="14"/>
  <c r="C40" i="13"/>
  <c r="C19" i="12" l="1"/>
  <c r="B12" i="2"/>
  <c r="B14" i="2" s="1"/>
  <c r="B17" i="2" s="1"/>
  <c r="B89" i="4"/>
  <c r="C9" i="4" s="1"/>
  <c r="F9" i="4" s="1"/>
  <c r="B31" i="12"/>
  <c r="B35" i="12"/>
  <c r="D35" i="12" s="1"/>
  <c r="E35" i="12" s="1"/>
  <c r="F35" i="12" s="1"/>
  <c r="D9" i="13"/>
  <c r="E9" i="13" s="1"/>
  <c r="F9" i="13" s="1"/>
  <c r="B34" i="12"/>
  <c r="B33" i="12"/>
  <c r="D33" i="12" s="1"/>
  <c r="E33" i="12" s="1"/>
  <c r="F33" i="12" s="1"/>
  <c r="F38" i="4"/>
  <c r="G38" i="4" s="1"/>
  <c r="H38" i="4" s="1"/>
  <c r="I38" i="4" s="1"/>
  <c r="J38" i="4" s="1"/>
  <c r="B29" i="6"/>
  <c r="D96" i="4"/>
  <c r="D43" i="14"/>
  <c r="E43" i="14" s="1"/>
  <c r="F43" i="14" s="1"/>
  <c r="D44" i="14"/>
  <c r="E44" i="14" s="1"/>
  <c r="F44" i="14" s="1"/>
  <c r="D46" i="14"/>
  <c r="E46" i="14" s="1"/>
  <c r="F46" i="14" s="1"/>
  <c r="D45" i="14"/>
  <c r="E45" i="14" s="1"/>
  <c r="F45" i="14" s="1"/>
  <c r="D47" i="14"/>
  <c r="E47" i="14" s="1"/>
  <c r="F47" i="14" s="1"/>
  <c r="D41" i="14"/>
  <c r="E41" i="14" s="1"/>
  <c r="F41" i="14" s="1"/>
  <c r="D32" i="12"/>
  <c r="E32" i="12" s="1"/>
  <c r="F32" i="12" s="1"/>
  <c r="D34" i="12"/>
  <c r="E34" i="12" s="1"/>
  <c r="F34" i="12" s="1"/>
  <c r="D31" i="12"/>
  <c r="E31" i="12" s="1"/>
  <c r="F31" i="12" s="1"/>
  <c r="E40" i="14"/>
  <c r="F40" i="14" s="1"/>
  <c r="J42" i="14"/>
  <c r="J43" i="14" s="1"/>
  <c r="K41" i="14"/>
  <c r="B21" i="2"/>
  <c r="B23" i="2" s="1"/>
  <c r="C13" i="4" l="1"/>
  <c r="C21" i="4" s="1"/>
  <c r="D10" i="13"/>
  <c r="E10" i="13" s="1"/>
  <c r="F10" i="13" s="1"/>
  <c r="C29" i="6"/>
  <c r="C22" i="7"/>
  <c r="G9" i="4"/>
  <c r="F21" i="4"/>
  <c r="B10" i="6"/>
  <c r="B14" i="6" s="1"/>
  <c r="D11" i="13" l="1"/>
  <c r="D12" i="13" s="1"/>
  <c r="E12" i="13" s="1"/>
  <c r="F12" i="13" s="1"/>
  <c r="D29" i="6"/>
  <c r="D22" i="7"/>
  <c r="B17" i="6"/>
  <c r="B21" i="6" s="1"/>
  <c r="B15" i="8" s="1"/>
  <c r="F27" i="4" s="1"/>
  <c r="C28" i="7"/>
  <c r="B12" i="8"/>
  <c r="C11" i="7" s="1"/>
  <c r="C14" i="7" s="1"/>
  <c r="C10" i="6"/>
  <c r="C14" i="6" s="1"/>
  <c r="G21" i="4"/>
  <c r="H9" i="4"/>
  <c r="D16" i="13" l="1"/>
  <c r="E11" i="13"/>
  <c r="E29" i="6"/>
  <c r="E22" i="7"/>
  <c r="B23" i="6"/>
  <c r="C17" i="6"/>
  <c r="C21" i="6" s="1"/>
  <c r="C15" i="8" s="1"/>
  <c r="G27" i="4" s="1"/>
  <c r="C29" i="8" s="1"/>
  <c r="D17" i="7" s="1"/>
  <c r="B29" i="8"/>
  <c r="D18" i="7" s="1"/>
  <c r="H21" i="4"/>
  <c r="I9" i="4"/>
  <c r="D10" i="6"/>
  <c r="D14" i="6" s="1"/>
  <c r="D28" i="7"/>
  <c r="C12" i="8"/>
  <c r="D11" i="7" s="1"/>
  <c r="D12" i="7"/>
  <c r="C13" i="8"/>
  <c r="C38" i="6" s="1"/>
  <c r="E16" i="13" l="1"/>
  <c r="C18" i="13" s="1"/>
  <c r="F11" i="13"/>
  <c r="G12" i="13" s="1"/>
  <c r="F29" i="6"/>
  <c r="G22" i="7" s="1"/>
  <c r="F22" i="7"/>
  <c r="C23" i="6"/>
  <c r="D17" i="6"/>
  <c r="D21" i="6" s="1"/>
  <c r="D15" i="8" s="1"/>
  <c r="H27" i="4" s="1"/>
  <c r="D29" i="8" s="1"/>
  <c r="E17" i="7" s="1"/>
  <c r="C17" i="7"/>
  <c r="D14" i="7"/>
  <c r="D13" i="8"/>
  <c r="D38" i="6" s="1"/>
  <c r="E12" i="7"/>
  <c r="D12" i="8"/>
  <c r="E28" i="7"/>
  <c r="I21" i="4"/>
  <c r="E10" i="6"/>
  <c r="E14" i="6" s="1"/>
  <c r="J9" i="4"/>
  <c r="E18" i="7"/>
  <c r="B34" i="4" l="1"/>
  <c r="B26" i="6" s="1"/>
  <c r="F22" i="2"/>
  <c r="B29" i="19"/>
  <c r="G13" i="13"/>
  <c r="D23" i="6"/>
  <c r="E17" i="6"/>
  <c r="E21" i="6" s="1"/>
  <c r="E15" i="8" s="1"/>
  <c r="I27" i="4" s="1"/>
  <c r="E29" i="8" s="1"/>
  <c r="E13" i="8"/>
  <c r="E38" i="6" s="1"/>
  <c r="F12" i="7"/>
  <c r="F18" i="7"/>
  <c r="E11" i="7"/>
  <c r="E14" i="7" s="1"/>
  <c r="F10" i="6"/>
  <c r="F14" i="6" s="1"/>
  <c r="J21" i="4"/>
  <c r="F17" i="6" s="1"/>
  <c r="F21" i="6" s="1"/>
  <c r="F15" i="8" s="1"/>
  <c r="F28" i="7"/>
  <c r="E12" i="8"/>
  <c r="F34" i="4" l="1"/>
  <c r="G34" i="4" s="1"/>
  <c r="H34" i="4" s="1"/>
  <c r="I34" i="4" s="1"/>
  <c r="J34" i="4" s="1"/>
  <c r="F13" i="2"/>
  <c r="B36" i="4"/>
  <c r="B43" i="4" s="1"/>
  <c r="D21" i="8"/>
  <c r="C21" i="8"/>
  <c r="F21" i="8"/>
  <c r="E21" i="8"/>
  <c r="B21" i="8"/>
  <c r="C37" i="6"/>
  <c r="F37" i="6"/>
  <c r="B37" i="6"/>
  <c r="B22" i="8" s="1"/>
  <c r="E37" i="6"/>
  <c r="D37" i="6"/>
  <c r="G14" i="13"/>
  <c r="C29" i="19"/>
  <c r="C19" i="7"/>
  <c r="C26" i="6"/>
  <c r="D19" i="7" s="1"/>
  <c r="J27" i="4"/>
  <c r="F29" i="8" s="1"/>
  <c r="E23" i="6"/>
  <c r="F13" i="8"/>
  <c r="F38" i="6" s="1"/>
  <c r="G12" i="7"/>
  <c r="G18" i="7"/>
  <c r="F11" i="7"/>
  <c r="F14" i="7" s="1"/>
  <c r="F17" i="7"/>
  <c r="F23" i="6"/>
  <c r="G28" i="7"/>
  <c r="F12" i="8"/>
  <c r="G11" i="7" s="1"/>
  <c r="C22" i="8" l="1"/>
  <c r="D22" i="8" s="1"/>
  <c r="E22" i="8" s="1"/>
  <c r="F22" i="8" s="1"/>
  <c r="F36" i="4"/>
  <c r="G36" i="4" s="1"/>
  <c r="H36" i="4" s="1"/>
  <c r="I36" i="4" s="1"/>
  <c r="J36" i="4" s="1"/>
  <c r="B34" i="6"/>
  <c r="F43" i="4"/>
  <c r="G43" i="4" s="1"/>
  <c r="H43" i="4" s="1"/>
  <c r="I43" i="4" s="1"/>
  <c r="J43" i="4" s="1"/>
  <c r="C36" i="7"/>
  <c r="D30" i="2"/>
  <c r="F25" i="2"/>
  <c r="G15" i="13"/>
  <c r="D29" i="19"/>
  <c r="D26" i="6"/>
  <c r="E19" i="7" s="1"/>
  <c r="G14" i="7"/>
  <c r="G17" i="7"/>
  <c r="C27" i="7" l="1"/>
  <c r="C34" i="6"/>
  <c r="G16" i="13"/>
  <c r="E26" i="6"/>
  <c r="F26" i="6" s="1"/>
  <c r="D27" i="7" l="1"/>
  <c r="D34" i="6"/>
  <c r="F29" i="19"/>
  <c r="E29" i="19"/>
  <c r="F19" i="7"/>
  <c r="G19" i="7"/>
  <c r="B31" i="6"/>
  <c r="C31" i="6" s="1"/>
  <c r="F40" i="4"/>
  <c r="G40" i="4" s="1"/>
  <c r="H40" i="4" s="1"/>
  <c r="I40" i="4" s="1"/>
  <c r="J40" i="4" s="1"/>
  <c r="E34" i="6" l="1"/>
  <c r="E27" i="7"/>
  <c r="D31" i="6"/>
  <c r="D24" i="7"/>
  <c r="C39" i="6"/>
  <c r="B39" i="6"/>
  <c r="C24" i="7"/>
  <c r="C33" i="7" s="1"/>
  <c r="C35" i="7" s="1"/>
  <c r="C38" i="7" s="1"/>
  <c r="D36" i="7" s="1"/>
  <c r="F34" i="6" l="1"/>
  <c r="G27" i="7" s="1"/>
  <c r="F27" i="7"/>
  <c r="C41" i="6"/>
  <c r="C9" i="19"/>
  <c r="B41" i="6"/>
  <c r="B9" i="19"/>
  <c r="E24" i="7"/>
  <c r="E31" i="6"/>
  <c r="D39" i="6"/>
  <c r="B11" i="8"/>
  <c r="D41" i="6" l="1"/>
  <c r="D9" i="19"/>
  <c r="B45" i="6"/>
  <c r="B47" i="6" s="1"/>
  <c r="B49" i="6" s="1"/>
  <c r="B51" i="6" s="1"/>
  <c r="B53" i="6" s="1"/>
  <c r="B33" i="8" s="1"/>
  <c r="B23" i="19"/>
  <c r="C45" i="6"/>
  <c r="C23" i="19"/>
  <c r="B24" i="8"/>
  <c r="F24" i="7"/>
  <c r="F31" i="6"/>
  <c r="E39" i="6"/>
  <c r="B30" i="8" l="1"/>
  <c r="E41" i="6"/>
  <c r="E9" i="19"/>
  <c r="B5" i="19"/>
  <c r="D31" i="7"/>
  <c r="D32" i="7"/>
  <c r="C14" i="8" s="1"/>
  <c r="C47" i="6"/>
  <c r="C49" i="6"/>
  <c r="D45" i="6"/>
  <c r="D23" i="19"/>
  <c r="B55" i="6"/>
  <c r="F39" i="6"/>
  <c r="G24" i="7"/>
  <c r="D33" i="7" l="1"/>
  <c r="D35" i="7" s="1"/>
  <c r="D38" i="7" s="1"/>
  <c r="E36" i="7" s="1"/>
  <c r="D47" i="6"/>
  <c r="D49" i="6"/>
  <c r="B35" i="8"/>
  <c r="B41" i="8" s="1"/>
  <c r="B25" i="19"/>
  <c r="C51" i="6"/>
  <c r="C53" i="6" s="1"/>
  <c r="C30" i="8"/>
  <c r="E32" i="7"/>
  <c r="D14" i="8" s="1"/>
  <c r="E45" i="6"/>
  <c r="E23" i="19"/>
  <c r="F41" i="6"/>
  <c r="F9" i="19"/>
  <c r="E31" i="7"/>
  <c r="E33" i="7" l="1"/>
  <c r="E35" i="7" s="1"/>
  <c r="E38" i="7" s="1"/>
  <c r="F36" i="7" s="1"/>
  <c r="E49" i="6"/>
  <c r="E47" i="6"/>
  <c r="C34" i="8"/>
  <c r="B43" i="8"/>
  <c r="B7" i="19" s="1"/>
  <c r="F45" i="6"/>
  <c r="F23" i="19"/>
  <c r="D30" i="8"/>
  <c r="F32" i="7"/>
  <c r="E14" i="8" s="1"/>
  <c r="F31" i="7"/>
  <c r="D51" i="6"/>
  <c r="D53" i="6" s="1"/>
  <c r="C55" i="6"/>
  <c r="C33" i="8"/>
  <c r="C11" i="8" l="1"/>
  <c r="C24" i="8" s="1"/>
  <c r="C5" i="19" s="1"/>
  <c r="F33" i="7"/>
  <c r="F35" i="7" s="1"/>
  <c r="F38" i="7" s="1"/>
  <c r="G36" i="7" s="1"/>
  <c r="D55" i="6"/>
  <c r="D35" i="8" s="1"/>
  <c r="D33" i="8"/>
  <c r="F47" i="6"/>
  <c r="F49" i="6"/>
  <c r="C35" i="8"/>
  <c r="D34" i="8" s="1"/>
  <c r="C25" i="19"/>
  <c r="B44" i="8"/>
  <c r="E51" i="6"/>
  <c r="E53" i="6" s="1"/>
  <c r="E55" i="6" s="1"/>
  <c r="G31" i="7"/>
  <c r="G32" i="7"/>
  <c r="F14" i="8" s="1"/>
  <c r="E30" i="8"/>
  <c r="E11" i="8" l="1"/>
  <c r="E24" i="8" s="1"/>
  <c r="E5" i="19" s="1"/>
  <c r="D11" i="8"/>
  <c r="D24" i="8" s="1"/>
  <c r="D5" i="19" s="1"/>
  <c r="C43" i="8"/>
  <c r="C7" i="19" s="1"/>
  <c r="D43" i="8"/>
  <c r="D7" i="19" s="1"/>
  <c r="D25" i="19"/>
  <c r="G33" i="7"/>
  <c r="G35" i="7" s="1"/>
  <c r="C45" i="7" s="1"/>
  <c r="D41" i="8"/>
  <c r="C41" i="8"/>
  <c r="E33" i="8"/>
  <c r="B19" i="19"/>
  <c r="B13" i="19"/>
  <c r="B15" i="19"/>
  <c r="E35" i="8"/>
  <c r="E25" i="19"/>
  <c r="F30" i="8"/>
  <c r="F51" i="6"/>
  <c r="F53" i="6" s="1"/>
  <c r="E34" i="8"/>
  <c r="G38" i="7" l="1"/>
  <c r="C41" i="7"/>
  <c r="F34" i="8"/>
  <c r="F33" i="8"/>
  <c r="C44" i="8"/>
  <c r="C19" i="19" s="1"/>
  <c r="D44" i="8"/>
  <c r="D15" i="19" s="1"/>
  <c r="F55" i="6"/>
  <c r="E41" i="8"/>
  <c r="E43" i="8"/>
  <c r="F35" i="8" l="1"/>
  <c r="F43" i="8" s="1"/>
  <c r="F7" i="19" s="1"/>
  <c r="F11" i="8"/>
  <c r="F24" i="8" s="1"/>
  <c r="F5" i="19" s="1"/>
  <c r="C15" i="19"/>
  <c r="C13" i="19"/>
  <c r="D13" i="19"/>
  <c r="D19" i="19"/>
  <c r="F25" i="19"/>
  <c r="E7" i="19"/>
  <c r="E44" i="8"/>
  <c r="F41" i="8" l="1"/>
  <c r="F44" i="8" s="1"/>
  <c r="E19" i="19"/>
  <c r="E13" i="19"/>
  <c r="E15" i="19"/>
  <c r="F19" i="19" l="1"/>
  <c r="F15" i="19"/>
  <c r="F13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tc={83A16EF2-1F1F-484B-B5E2-9C536870E534}</author>
  </authors>
  <commentList>
    <comment ref="A23" authorId="0" shapeId="0" xr:uid="{83A16EF2-1F1F-484B-B5E2-9C536870E53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Caso Estonia</t>
      </text>
    </comment>
  </commentList>
</comments>
</file>

<file path=xl/sharedStrings.xml><?xml version="1.0" encoding="utf-8"?>
<sst xmlns="http://schemas.openxmlformats.org/spreadsheetml/2006/main" count="625" uniqueCount="489">
  <si>
    <t>Estado de Resultados</t>
  </si>
  <si>
    <t>Ventas netas</t>
  </si>
  <si>
    <t>Costo de ventas</t>
  </si>
  <si>
    <t>Utilidad bruta</t>
  </si>
  <si>
    <t>Gastos de administración y ventas</t>
  </si>
  <si>
    <t>Utilidad operacional</t>
  </si>
  <si>
    <t>Gastos financieros</t>
  </si>
  <si>
    <t>Otros gastos</t>
  </si>
  <si>
    <t>Utilidad antes de impuestos</t>
  </si>
  <si>
    <t>Utilidad neta</t>
  </si>
  <si>
    <t>Balance General</t>
  </si>
  <si>
    <t>ACTIVO</t>
  </si>
  <si>
    <t>Efectivo</t>
  </si>
  <si>
    <t>Cuentas por cobrar</t>
  </si>
  <si>
    <t>Provisión deudas malas</t>
  </si>
  <si>
    <t>Inventarios</t>
  </si>
  <si>
    <t>Terrenos</t>
  </si>
  <si>
    <t>Obligaciones financieras de corto plazo</t>
  </si>
  <si>
    <t>Proveedores</t>
  </si>
  <si>
    <t>Cesantías por pagar</t>
  </si>
  <si>
    <t>Capital social</t>
  </si>
  <si>
    <t>Reserva legal</t>
  </si>
  <si>
    <t>Edificaciones</t>
  </si>
  <si>
    <t>Muebles y enseres</t>
  </si>
  <si>
    <t>Vehículos</t>
  </si>
  <si>
    <t>Depreciación acumulada</t>
  </si>
  <si>
    <t>Activo diferido</t>
  </si>
  <si>
    <t>Amortización diferidos</t>
  </si>
  <si>
    <t>Otros deudores</t>
  </si>
  <si>
    <t>Pérdidas acumuladas</t>
  </si>
  <si>
    <t>Pérdidas del ejercicio</t>
  </si>
  <si>
    <t>TOTAL</t>
  </si>
  <si>
    <t>PASIVO Y PATRIMONIO</t>
  </si>
  <si>
    <t>TOTAL PASIVO Y PATRIMONIO</t>
  </si>
  <si>
    <t>TOTAL ACTIVO</t>
  </si>
  <si>
    <t>Costo histórico</t>
  </si>
  <si>
    <t>Vida útil</t>
  </si>
  <si>
    <t>Depreciación anual</t>
  </si>
  <si>
    <t>i =</t>
  </si>
  <si>
    <t>N =</t>
  </si>
  <si>
    <t xml:space="preserve">N = </t>
  </si>
  <si>
    <t>Capital</t>
  </si>
  <si>
    <t>I =</t>
  </si>
  <si>
    <t>tv</t>
  </si>
  <si>
    <t>i (Opc 1)</t>
  </si>
  <si>
    <t>quarterly</t>
  </si>
  <si>
    <t>N</t>
  </si>
  <si>
    <t>quarters</t>
  </si>
  <si>
    <t>i (Opc 2)</t>
  </si>
  <si>
    <t>Payment (Opc 1)</t>
  </si>
  <si>
    <t>Payment (Opc 2)</t>
  </si>
  <si>
    <t>PV Debt</t>
  </si>
  <si>
    <t>KOBEYO</t>
  </si>
  <si>
    <t>TIC</t>
  </si>
  <si>
    <t>Subtotal</t>
  </si>
  <si>
    <t>Sectors</t>
  </si>
  <si>
    <t>Product</t>
  </si>
  <si>
    <t>Advertising</t>
  </si>
  <si>
    <t>Annual Customer Service</t>
  </si>
  <si>
    <t>Others</t>
  </si>
  <si>
    <t>Amortization</t>
  </si>
  <si>
    <t>DILIGENCE IN CASE THE CASH FLOW REQUIRES IT</t>
  </si>
  <si>
    <t>Loan</t>
  </si>
  <si>
    <t>Initial balance</t>
  </si>
  <si>
    <t>Option 1</t>
  </si>
  <si>
    <t>Years</t>
  </si>
  <si>
    <t xml:space="preserve">nominal quarter past due </t>
  </si>
  <si>
    <t>Quote</t>
  </si>
  <si>
    <t>Payment</t>
  </si>
  <si>
    <t>Interest</t>
  </si>
  <si>
    <t>Final balance</t>
  </si>
  <si>
    <t>years</t>
  </si>
  <si>
    <t>annual cash</t>
  </si>
  <si>
    <t>Option 2</t>
  </si>
  <si>
    <t>Quote =</t>
  </si>
  <si>
    <t>Depreciation</t>
  </si>
  <si>
    <t xml:space="preserve"> Inventories</t>
  </si>
  <si>
    <t xml:space="preserve"> Land</t>
  </si>
  <si>
    <t xml:space="preserve"> Buildings</t>
  </si>
  <si>
    <t xml:space="preserve"> Furniture and fixtures</t>
  </si>
  <si>
    <t xml:space="preserve"> Vehicles</t>
  </si>
  <si>
    <t xml:space="preserve"> Accumulated depreciation</t>
  </si>
  <si>
    <t xml:space="preserve"> Other debtors</t>
  </si>
  <si>
    <t xml:space="preserve">Menos de </t>
  </si>
  <si>
    <t>Entre</t>
  </si>
  <si>
    <t>MENOS DE UN AÑO DE ACTUALIZACION DE LA HOJA DE VIDA</t>
  </si>
  <si>
    <t>TOTAL HOJAS DE VIDA APROXIMADA</t>
  </si>
  <si>
    <t>INSTALACION REPARACIONES TÉCNICAS</t>
  </si>
  <si>
    <t>OBRA</t>
  </si>
  <si>
    <t>VENTAS</t>
  </si>
  <si>
    <t>AREA DE TRABAJO</t>
  </si>
  <si>
    <t>MAYORES DE 18 AÑOS DE EDAD</t>
  </si>
  <si>
    <t>PROMEDIO</t>
  </si>
  <si>
    <t>ASPIRACION MENOR A COL $</t>
  </si>
  <si>
    <t>GRAN</t>
  </si>
  <si>
    <t>MEDIANA</t>
  </si>
  <si>
    <t>PEQUEÑA</t>
  </si>
  <si>
    <t>MICRO</t>
  </si>
  <si>
    <t>Indeed</t>
  </si>
  <si>
    <t>Monster</t>
  </si>
  <si>
    <t>Career Builder</t>
  </si>
  <si>
    <t>LinkedIn</t>
  </si>
  <si>
    <t>Dice</t>
  </si>
  <si>
    <t>x1</t>
  </si>
  <si>
    <t>c/u x 2</t>
  </si>
  <si>
    <t>c/u 5 - 10</t>
  </si>
  <si>
    <t>Craigslist</t>
  </si>
  <si>
    <t>to</t>
  </si>
  <si>
    <t>Workable</t>
  </si>
  <si>
    <t>Zip Recruiter</t>
  </si>
  <si>
    <t>USD</t>
  </si>
  <si>
    <t>El Empleo</t>
  </si>
  <si>
    <t>por año</t>
  </si>
  <si>
    <t>COP</t>
  </si>
  <si>
    <t>Mínimo x vacante publicada</t>
  </si>
  <si>
    <t>Jooble</t>
  </si>
  <si>
    <t>Desde</t>
  </si>
  <si>
    <t>Talentobox</t>
  </si>
  <si>
    <t>No.cobra</t>
  </si>
  <si>
    <t>por 45 días</t>
  </si>
  <si>
    <t>Premium</t>
  </si>
  <si>
    <t xml:space="preserve">        30 días</t>
  </si>
  <si>
    <t xml:space="preserve">        90 días</t>
  </si>
  <si>
    <t>Estandar</t>
  </si>
  <si>
    <t>INFORMACIÓN BASE</t>
  </si>
  <si>
    <t>Monthly</t>
  </si>
  <si>
    <t>BORRAR COLUMNA</t>
  </si>
  <si>
    <t>G</t>
  </si>
  <si>
    <t>C</t>
  </si>
  <si>
    <t>I</t>
  </si>
  <si>
    <t>COSTOS OCULTOS EN EL PROCESO DE SELECCIÓN</t>
  </si>
  <si>
    <t>PARA DEFINICION DE PRECIOS</t>
  </si>
  <si>
    <t>COSTOS DE LA EMPRESA POR TIPO DE CARGO … SALE DE LAS ENTREVISTAS Y SE CONTRASTA CON LO AQUÍ EXPUESTO</t>
  </si>
  <si>
    <t>CUANTO CUESTA HACER UNA CAMPAÑA DE GOOGLE ADD … FUNNELS .. COSTO POR TRANSACCION DESDE EL MARKETNG O EL EMPLEADOR</t>
  </si>
  <si>
    <t>ENVIARLE AL PROFESOR EL EXCLE DE LA TRES INDUSTRIAS # DE EMPLEADOS .. PARA EL CALCULO</t>
  </si>
  <si>
    <t>A BRYANT CONVERSION FUNNEL … CUANTA PLATA LE METE A LA CAMPAÑA .. CUANTOS CLICKS … CUANTOS INTERESADOS …</t>
  </si>
  <si>
    <t>Industrias Manufactureras</t>
  </si>
  <si>
    <t>Comercio por mayor y por menor; vehiculos</t>
  </si>
  <si>
    <t>Alojamiento y Servicios de comida</t>
  </si>
  <si>
    <t>Gran Emp</t>
  </si>
  <si>
    <t>Med. Emp</t>
  </si>
  <si>
    <t>Pequeña</t>
  </si>
  <si>
    <t>Micro</t>
  </si>
  <si>
    <t>Clicks</t>
  </si>
  <si>
    <t>Instagram</t>
  </si>
  <si>
    <t>Tik Tok</t>
  </si>
  <si>
    <t>Email Marketing</t>
  </si>
  <si>
    <t>Mails</t>
  </si>
  <si>
    <t>People</t>
  </si>
  <si>
    <t>Personal sales</t>
  </si>
  <si>
    <t>BTL ads</t>
  </si>
  <si>
    <t xml:space="preserve"> </t>
  </si>
  <si>
    <t>Part %</t>
  </si>
  <si>
    <t>Total</t>
  </si>
  <si>
    <t>X%</t>
  </si>
  <si>
    <t>Market percentage Expected</t>
  </si>
  <si>
    <t>Escenario 1 (Annual Fee)</t>
  </si>
  <si>
    <t>Escenario 2 (Pay per Use)</t>
  </si>
  <si>
    <t>% Market</t>
  </si>
  <si>
    <t>Number of Companies to Have (Year)</t>
  </si>
  <si>
    <t>Number of Companies to Have (Month)</t>
  </si>
  <si>
    <t>Number of Companies to Have (per employee per Month)</t>
  </si>
  <si>
    <t>SIMULATE NUMBER OF COMPANIES</t>
  </si>
  <si>
    <t>Medium</t>
  </si>
  <si>
    <t>Big</t>
  </si>
  <si>
    <t>LEADERSEARCH SAS Propietarios de la marca "elempleo.com"</t>
  </si>
  <si>
    <t>NET SALES</t>
  </si>
  <si>
    <t>CAGR</t>
  </si>
  <si>
    <t>1/# de años</t>
  </si>
  <si>
    <t xml:space="preserve">Datos de Emis </t>
  </si>
  <si>
    <t>https://www-emis-com.bdbiblioteca.universidadean.edu.co/php/companies/index/financials?pc=CO&amp;cmpy=1204539&amp;view-fins=all</t>
  </si>
  <si>
    <t>NOTAS PARA DETERMINAR EL CÁCULO DE LOS INGRESOS DE LOS VENDEDORES</t>
  </si>
  <si>
    <t>Se hace un análisis en una de las más importantes páginas de empleo en Colombia el 1 de marzo, 2021 entre las 16:00 y las 17:00 horas y con base en los siguiente filtros:</t>
  </si>
  <si>
    <t>Hoja de vida actualizada en los últimos 3 meses</t>
  </si>
  <si>
    <t>Todos los niveles de estudio</t>
  </si>
  <si>
    <t>Aspiración Salarial</t>
  </si>
  <si>
    <t>Menos de $1MM</t>
  </si>
  <si>
    <t># de resultados</t>
  </si>
  <si>
    <t>De $1MM a $1.5MM</t>
  </si>
  <si>
    <t>De $1,5MM a $2MM</t>
  </si>
  <si>
    <t>De $2MM a $2,5MM</t>
  </si>
  <si>
    <t xml:space="preserve">Otros </t>
  </si>
  <si>
    <t>3 años de experiencia (34)</t>
  </si>
  <si>
    <t>1 año (60)</t>
  </si>
  <si>
    <t>Porcentuales</t>
  </si>
  <si>
    <t>% Incremento en Precios</t>
  </si>
  <si>
    <t>% Incremento en posicionamiento del mercado - market share</t>
  </si>
  <si>
    <t>Licenciamiento / ingresos</t>
  </si>
  <si>
    <t>Rotación cartera en días</t>
  </si>
  <si>
    <t>Provisión para deudas dudosas</t>
  </si>
  <si>
    <t>% Incremento en los costos</t>
  </si>
  <si>
    <t>% Incremento anual en gastos</t>
  </si>
  <si>
    <t>Imporenta</t>
  </si>
  <si>
    <t>Anticipo imporenta</t>
  </si>
  <si>
    <t>% Incremento en otros gastos</t>
  </si>
  <si>
    <t>QUÉ</t>
  </si>
  <si>
    <t>CÓMO</t>
  </si>
  <si>
    <t>Inversión anual (USD)</t>
  </si>
  <si>
    <t>Inversión anual (COP)</t>
  </si>
  <si>
    <t>Cantidad de Personas (mensual)</t>
  </si>
  <si>
    <t>Frecuencia esperada (mensual)</t>
  </si>
  <si>
    <t>Impacto esperado (mensual)</t>
  </si>
  <si>
    <t>Categoria</t>
  </si>
  <si>
    <t>Campaña de Google AdWords para las empresas que buscan trabajadores técnicos y personal expertos técnicos utilizando palabras clave para puestos de trabajo, capacidades y sector económico específicos.</t>
  </si>
  <si>
    <t>Adwords SEM (Maquinas de búsqueda) Marketing Digital</t>
  </si>
  <si>
    <t>Campaña de Google AdWords con palabras clave para trabajos en los sectores/industrias seleccionadas</t>
  </si>
  <si>
    <t>Redes sociales (Marketing Digital) Información de Kobeyo para los trabajos en los sitios visitados por los interesados: dueños de restaurantes, SENA, cocineros, centros de formación técnica principalmente.</t>
  </si>
  <si>
    <t>Facebook (Análisis Programado)</t>
  </si>
  <si>
    <t>PARA</t>
  </si>
  <si>
    <t>Redes sociales (Marketing digital) Presentación de avisos de contratación en las redes sociales de Kobeyo</t>
  </si>
  <si>
    <t>Relaciones públicas / participación en eventos</t>
  </si>
  <si>
    <t>Campañas para estudiantes y técnicos graduados del SENA, otros técnicos y centros de formación de técnicos</t>
  </si>
  <si>
    <t xml:space="preserve"> Stands, toures virtuales en ferias, centros comerciales, otros relacionados</t>
  </si>
  <si>
    <t>Análisis punto de equilibrio</t>
  </si>
  <si>
    <t>Salarío base propuesto</t>
  </si>
  <si>
    <t>Ingreso Total</t>
  </si>
  <si>
    <t>Tipo de Cambio USD a COP</t>
  </si>
  <si>
    <t>KOBEYO COLOMBIA  - ESCENARIO DE INGRESOS - FEE ANUAL</t>
  </si>
  <si>
    <t>%  de Compañías por Tamaño y por Sector</t>
  </si>
  <si>
    <t>Número de Compañías por tamaño y por sector</t>
  </si>
  <si>
    <t>Informe Consolidado nuéro de compañias y empleados a octubre, 2020</t>
  </si>
  <si>
    <t>Grandes (+200p)</t>
  </si>
  <si>
    <t>Medianas (51 -200p)</t>
  </si>
  <si>
    <t>Pequeñas  (11-50p)</t>
  </si>
  <si>
    <t>Unipersonal  (1 -10p)</t>
  </si>
  <si>
    <t>Totales</t>
  </si>
  <si>
    <t>Grandes</t>
  </si>
  <si>
    <t>Medianas</t>
  </si>
  <si>
    <t xml:space="preserve">Pequeñas  </t>
  </si>
  <si>
    <t>Unipersonal</t>
  </si>
  <si>
    <t>Total Compañías</t>
  </si>
  <si>
    <t>Número de Compañías según sector definido</t>
  </si>
  <si>
    <t xml:space="preserve">Número de Compañías </t>
  </si>
  <si>
    <t>Número de Empleados</t>
  </si>
  <si>
    <t>% de empleados</t>
  </si>
  <si>
    <t>Comercio por mayor y por menor vehículos ( Incl. Reparación)</t>
  </si>
  <si>
    <t>Alojamiento y Servicios de Comida</t>
  </si>
  <si>
    <t>Objetivo Pagando</t>
  </si>
  <si>
    <t xml:space="preserve"> Total </t>
  </si>
  <si>
    <t>Potencial Estimado de Clientes con base en datos 2020</t>
  </si>
  <si>
    <t>Economia Aplicada.com . 2019 Para número de empresas por sector</t>
  </si>
  <si>
    <t>Fuente: Dane 2020 - Para desempleo</t>
  </si>
  <si>
    <t>Linkedln para rotación de personal</t>
  </si>
  <si>
    <t>Rotación</t>
  </si>
  <si>
    <t>Total Empeleados</t>
  </si>
  <si>
    <t>PEQUEÑAS</t>
  </si>
  <si>
    <t>MEDIANAS</t>
  </si>
  <si>
    <t>GRANDES</t>
  </si>
  <si>
    <t>TOTAL NUMERO DE EMPRESAS</t>
  </si>
  <si>
    <t>Fee Anual por Tamaño de Empresa</t>
  </si>
  <si>
    <t>ACORDADO CON TRABAJO DE GRADO</t>
  </si>
  <si>
    <t>DE MARKETING</t>
  </si>
  <si>
    <t>DE TARIFA EMPLEO.COM</t>
  </si>
  <si>
    <t>INGRESO ANUAL POR TAMAÑO</t>
  </si>
  <si>
    <t>TOTAL INGRESO</t>
  </si>
  <si>
    <t>SUMATORIA</t>
  </si>
  <si>
    <t>KOBEYO COLOMBIA ESCENARIO DE INGRESOS PPU</t>
  </si>
  <si>
    <t>GRANDE</t>
  </si>
  <si>
    <t>ROTACIÓN</t>
  </si>
  <si>
    <t>Costos de traducir el contenido / comprar el contenido.</t>
  </si>
  <si>
    <t>Información suministrada por Kobeyo/Posteo de cargo</t>
  </si>
  <si>
    <t>Costos Fijos</t>
  </si>
  <si>
    <t>Ejecutivo de Ventas 1</t>
  </si>
  <si>
    <t>Ejecutivo de Ventas 2</t>
  </si>
  <si>
    <t>Ejecutivo de Ventas 3</t>
  </si>
  <si>
    <t>Ejecutivo de Ventas 4</t>
  </si>
  <si>
    <t>Gerente General / Comercial / Rep. Legal</t>
  </si>
  <si>
    <t>Gerente Administrativo - Financiero</t>
  </si>
  <si>
    <t>Asistente Administrativa</t>
  </si>
  <si>
    <t>ANUAL</t>
  </si>
  <si>
    <t>MENSUAL</t>
  </si>
  <si>
    <t>COMISIONES BAJO EL MODELO DE FEE ANUAL</t>
  </si>
  <si>
    <t>Salarios y Beneficios</t>
  </si>
  <si>
    <t>Marketing Fijos</t>
  </si>
  <si>
    <t>Marketing Variables</t>
  </si>
  <si>
    <t>Arrendamientos y Servicios</t>
  </si>
  <si>
    <t>Edificios</t>
  </si>
  <si>
    <t>Muebles y Enseres</t>
  </si>
  <si>
    <t>anual</t>
  </si>
  <si>
    <t>días</t>
  </si>
  <si>
    <t>sobre UAI</t>
  </si>
  <si>
    <t>Utilidad Antes de Impuestos</t>
  </si>
  <si>
    <t>NOMBRE</t>
  </si>
  <si>
    <t>VALOR</t>
  </si>
  <si>
    <t>UNIDAD</t>
  </si>
  <si>
    <t>COMENTARIOS</t>
  </si>
  <si>
    <t>1 año de experiencia laboral / 3 años de experiencia laboral</t>
  </si>
  <si>
    <t>MUESTRA RESULTANTE: 60 candidatos / 34 candidatos</t>
  </si>
  <si>
    <t>Total Ingreso Anual</t>
  </si>
  <si>
    <t>Costo por empleado (Funnel)</t>
  </si>
  <si>
    <t>Total Gastos por postear</t>
  </si>
  <si>
    <t>% Escenarios</t>
  </si>
  <si>
    <t>Numero de empleados requeridos</t>
  </si>
  <si>
    <t>Numero de empleados encontrados</t>
  </si>
  <si>
    <t>Market Share</t>
  </si>
  <si>
    <t>Total Ingreso por tamaño de empresa</t>
  </si>
  <si>
    <t>Total Ingreso anual</t>
  </si>
  <si>
    <t>Promedio anual de empleados requeridos por sector</t>
  </si>
  <si>
    <t>COMISION GRANDES EMPRESAS</t>
  </si>
  <si>
    <t>COMISION MEDIANAS EMPRESAS</t>
  </si>
  <si>
    <t>PROYECCIÓN DE VENTAS</t>
  </si>
  <si>
    <t>AÑO  1</t>
  </si>
  <si>
    <t>Ingresos</t>
  </si>
  <si>
    <t>Costo de Ventas</t>
  </si>
  <si>
    <t>Espacio y Equipos en un Business Center</t>
  </si>
  <si>
    <t>Estado de Resultados Proyectado</t>
  </si>
  <si>
    <t>Ventas en campo y en línea</t>
  </si>
  <si>
    <t>Ventas por publicidad</t>
  </si>
  <si>
    <t>Otros ingresos operacionales</t>
  </si>
  <si>
    <t>Ingreso Neto</t>
  </si>
  <si>
    <t>Caja Inicial = Capital inicial</t>
  </si>
  <si>
    <t>Otros</t>
  </si>
  <si>
    <t>Servicios al Personal</t>
  </si>
  <si>
    <t>GMF</t>
  </si>
  <si>
    <t>Gastos Bancarios</t>
  </si>
  <si>
    <t>Costos Proyectados</t>
  </si>
  <si>
    <t>El valor del licenciamiento fue convenido con el propietario de la aplicación</t>
  </si>
  <si>
    <t>Costo</t>
  </si>
  <si>
    <t>Proyección Gastos</t>
  </si>
  <si>
    <t>Año 1</t>
  </si>
  <si>
    <t>Determinación del punto de equilibrio según la probabilidad de que se cumplan los parámetros definidos.</t>
  </si>
  <si>
    <t>COMISIONES BAJO EL MODELO DE  PPU</t>
  </si>
  <si>
    <t>Comisión por resultados en empresas Medianas</t>
  </si>
  <si>
    <t>Comisión por resultados en empresas Grandes</t>
  </si>
  <si>
    <t>Total Comisiones por Ejecutivos de Cuenta</t>
  </si>
  <si>
    <t>Comisiones por Ejecutivo de Cuenta según escenario</t>
  </si>
  <si>
    <t>Escenario 1 (Fee Anual)</t>
  </si>
  <si>
    <t>Contador</t>
  </si>
  <si>
    <t>Actividad</t>
  </si>
  <si>
    <t>Ventas Netas a Patrimonio</t>
  </si>
  <si>
    <t>Gastos a Ventas Netas</t>
  </si>
  <si>
    <t>Liquidez</t>
  </si>
  <si>
    <t>Activo Circulante a pasivo a corto plazo</t>
  </si>
  <si>
    <t>Activo total a pasivo total</t>
  </si>
  <si>
    <t>Apalancamiento</t>
  </si>
  <si>
    <t>Pasivo Total a Patrimonio</t>
  </si>
  <si>
    <t>Productividad</t>
  </si>
  <si>
    <t>Utilidad de Operación a ventas netas</t>
  </si>
  <si>
    <t>Utilidad neta a ventas netas</t>
  </si>
  <si>
    <t xml:space="preserve">Ventas Netas a Activos </t>
  </si>
  <si>
    <t>Obligaciones Corto plazo</t>
  </si>
  <si>
    <t>PATRIMONIO</t>
  </si>
  <si>
    <t>AÑO</t>
  </si>
  <si>
    <t>BALANCE GENERAL PROYECTADO</t>
  </si>
  <si>
    <t>KOBEYO COLOMBIA</t>
  </si>
  <si>
    <t>Caja,  Bancos, Inversiones Temporales</t>
  </si>
  <si>
    <t>Cuentas por Cobrar</t>
  </si>
  <si>
    <t>Provisión Deudas Dudosas</t>
  </si>
  <si>
    <t>Anticipo impuestos</t>
  </si>
  <si>
    <t>Impuestos por pagar</t>
  </si>
  <si>
    <t>Obligaciones con Empleados</t>
  </si>
  <si>
    <t>Capital Social</t>
  </si>
  <si>
    <t>Reserva Legal</t>
  </si>
  <si>
    <t>Resultados Acumulados</t>
  </si>
  <si>
    <t>Resultados del Ejercicio</t>
  </si>
  <si>
    <t>TOTAL PASIVO + PATRIMONIO</t>
  </si>
  <si>
    <t>PASIVO</t>
  </si>
  <si>
    <t>Número de empleados que se requieren ser encontrados anualmente con bse en el 90% con cargos de menor nivel y 10% en trabajos administrativos.</t>
  </si>
  <si>
    <t>4 Vendedores - Cálculo que se realiza en Gastos de Administración y Ventas</t>
  </si>
  <si>
    <t>No aplica</t>
  </si>
  <si>
    <t>Política de Caja - Mínima</t>
  </si>
  <si>
    <t>A partir del año 2</t>
  </si>
  <si>
    <t>Costo por transacción en caso de requerirse</t>
  </si>
  <si>
    <t>Transmilenio - Se presupuesta este rubro para incentivar el uso de la App</t>
  </si>
  <si>
    <t>Estaciones de transporte masivo. - Se presupuest este rubro para incentivar el uso de la App</t>
  </si>
  <si>
    <t>Año</t>
  </si>
  <si>
    <t>Por Ventas</t>
  </si>
  <si>
    <t>Por Cartera</t>
  </si>
  <si>
    <t>Total ingresos</t>
  </si>
  <si>
    <t>Licenciamiento</t>
  </si>
  <si>
    <t>Publicidad</t>
  </si>
  <si>
    <t>Gastos Varios</t>
  </si>
  <si>
    <t>Imporrenta</t>
  </si>
  <si>
    <t>Anticipo Imporrenta</t>
  </si>
  <si>
    <t>Total Egresos</t>
  </si>
  <si>
    <t>Egresos</t>
  </si>
  <si>
    <t>Flujo de Caja Neto</t>
  </si>
  <si>
    <t>Valor Presente Neto (VPN)</t>
  </si>
  <si>
    <t>Tasa de descuento</t>
  </si>
  <si>
    <t>Tasa Interna de Retorno (TIR)</t>
  </si>
  <si>
    <t>SE ESTIMA UN VALOR INICIAL DE LA COMPAÑÍA DE                             QUE BIEN PUEDEN SER EN EFECTIVO O BIEN EN UNA CUENTA POR COBRAR A LOS SOCIOS</t>
  </si>
  <si>
    <t>Servicio al cliente</t>
  </si>
  <si>
    <t>Total Costo de Ventas</t>
  </si>
  <si>
    <t>Utilidad Bruta</t>
  </si>
  <si>
    <t>Gastos de Administración y Ventas</t>
  </si>
  <si>
    <t>Mercadeo</t>
  </si>
  <si>
    <t>Provisión para deudas de dudoso recaudo</t>
  </si>
  <si>
    <t>Total Gastos</t>
  </si>
  <si>
    <t>Utilidad - (Pérdida) Operacional</t>
  </si>
  <si>
    <t xml:space="preserve">Licenciamiento  </t>
  </si>
  <si>
    <t>Gravámen Movimientos Financieros</t>
  </si>
  <si>
    <t>Arrendamiento y Servicios</t>
  </si>
  <si>
    <t>Imprevistos</t>
  </si>
  <si>
    <t>Amortización</t>
  </si>
  <si>
    <t>Arrendamientos</t>
  </si>
  <si>
    <t>Cuotas Amortización Obligaciones Financieras</t>
  </si>
  <si>
    <t>Indemnizaciones</t>
  </si>
  <si>
    <t>Otros Servicios</t>
  </si>
  <si>
    <t>Intereses obligaciones financieras</t>
  </si>
  <si>
    <t>Intereses Obligaciones Financieras</t>
  </si>
  <si>
    <t xml:space="preserve"> Campañas para universidades, institutos técnicos y centros de formación de técnicos</t>
  </si>
  <si>
    <t>MECANICO DE MANTENIMIENTO</t>
  </si>
  <si>
    <t>SERVICIOS GENERALES ASEO Y VIGILANCIA</t>
  </si>
  <si>
    <t>Computrabajo</t>
  </si>
  <si>
    <r>
      <rPr>
        <b/>
        <sz val="11"/>
        <color theme="1"/>
        <rFont val="Arial"/>
        <family val="2"/>
      </rPr>
      <t>Ciudad:</t>
    </r>
    <r>
      <rPr>
        <sz val="11"/>
        <color theme="1"/>
        <rFont val="Arial"/>
        <family val="2"/>
      </rPr>
      <t xml:space="preserve"> Bogotá</t>
    </r>
  </si>
  <si>
    <r>
      <rPr>
        <b/>
        <sz val="11"/>
        <color theme="1"/>
        <rFont val="Arial"/>
        <family val="2"/>
      </rPr>
      <t>Sector e Industria:</t>
    </r>
    <r>
      <rPr>
        <sz val="11"/>
        <color theme="1"/>
        <rFont val="Arial"/>
        <family val="2"/>
      </rPr>
      <t xml:space="preserve"> Temporales/dotación de personal</t>
    </r>
  </si>
  <si>
    <r>
      <rPr>
        <b/>
        <sz val="11"/>
        <color theme="1"/>
        <rFont val="Arial"/>
        <family val="2"/>
      </rPr>
      <t>Cargo:</t>
    </r>
    <r>
      <rPr>
        <sz val="11"/>
        <color theme="1"/>
        <rFont val="Arial"/>
        <family val="2"/>
      </rPr>
      <t xml:space="preserve"> Asesor</t>
    </r>
  </si>
  <si>
    <r>
      <rPr>
        <b/>
        <sz val="11"/>
        <color theme="1"/>
        <rFont val="Arial"/>
        <family val="2"/>
      </rPr>
      <t>Área de Trabajo:</t>
    </r>
    <r>
      <rPr>
        <sz val="11"/>
        <color theme="1"/>
        <rFont val="Arial"/>
        <family val="2"/>
      </rPr>
      <t xml:space="preserve"> Comercial, Ventas, Telemercadeo</t>
    </r>
  </si>
  <si>
    <r>
      <rPr>
        <b/>
        <sz val="11"/>
        <color theme="1"/>
        <rFont val="Arial"/>
        <family val="2"/>
      </rPr>
      <t>Edad:</t>
    </r>
    <r>
      <rPr>
        <sz val="11"/>
        <color theme="1"/>
        <rFont val="Arial"/>
        <family val="2"/>
      </rPr>
      <t xml:space="preserve"> de 18 años en adelante</t>
    </r>
  </si>
  <si>
    <r>
      <rPr>
        <b/>
        <sz val="11"/>
        <color theme="1"/>
        <rFont val="Arial"/>
        <family val="2"/>
      </rPr>
      <t xml:space="preserve">Genero: </t>
    </r>
    <r>
      <rPr>
        <sz val="11"/>
        <color theme="1"/>
        <rFont val="Arial"/>
        <family val="2"/>
      </rPr>
      <t>Todos aplican</t>
    </r>
  </si>
  <si>
    <t>Del saldo de la cartera presentado al inicio de cada período</t>
  </si>
  <si>
    <t>Nuevos creditos</t>
  </si>
  <si>
    <t>Rotación proveedores</t>
  </si>
  <si>
    <t>Rotación de inventarios</t>
  </si>
  <si>
    <t>COMISIÓN MEDIANAS EMPRESAS</t>
  </si>
  <si>
    <t>COMISIÓN GRANDES EMPRESAS</t>
  </si>
  <si>
    <t>PONDERACIÓN DEL CÁLCULO PARA EL CARGO</t>
  </si>
  <si>
    <r>
      <rPr>
        <b/>
        <sz val="11"/>
        <color theme="1"/>
        <rFont val="Arial"/>
        <family val="2"/>
      </rPr>
      <t>Fuente:</t>
    </r>
    <r>
      <rPr>
        <sz val="11"/>
        <color theme="1"/>
        <rFont val="Arial"/>
        <family val="2"/>
      </rPr>
      <t xml:space="preserve"> Elaboración propia 02/Dic/2020 con base en datos del empleo.com (2020).</t>
    </r>
  </si>
  <si>
    <t xml:space="preserve">CARGOS SIN DEFINIR </t>
  </si>
  <si>
    <t>PONDERACIÓN DEL CÁLCULO PARA CARGOS SIN DEFINIR</t>
  </si>
  <si>
    <t>OTROS CARGOS</t>
  </si>
  <si>
    <t>PONDERACIÓN DEL CÁLCULO PARA OTROS CARGOS</t>
  </si>
  <si>
    <t>PONDERACIÓN TOTAL</t>
  </si>
  <si>
    <t>NÚMERO DE HOJAS DE VIDA POR ASPIRACIÓN SALARIAL Y ÁREA DE TRABAJO</t>
  </si>
  <si>
    <t>Cargo</t>
  </si>
  <si>
    <t>Salario básico anual</t>
  </si>
  <si>
    <t>Comisiones</t>
  </si>
  <si>
    <t>Porcentaje prestacional</t>
  </si>
  <si>
    <t>Rangos Salariales</t>
  </si>
  <si>
    <t>Gastos legales e imprevistos</t>
  </si>
  <si>
    <t>Empresas medianas</t>
  </si>
  <si>
    <t>Empresas grandes</t>
  </si>
  <si>
    <t>Otros ingresos operativos</t>
  </si>
  <si>
    <t>Producto</t>
  </si>
  <si>
    <t>A final del año 0</t>
  </si>
  <si>
    <t>Ingreso neto</t>
  </si>
  <si>
    <t>Reserva legal (10%)</t>
  </si>
  <si>
    <t>Provisión para impuestos</t>
  </si>
  <si>
    <t>ACTIVOS</t>
  </si>
  <si>
    <t>TOTAL ACTIVOS</t>
  </si>
  <si>
    <t>INDICADORES FINANCIEROS</t>
  </si>
  <si>
    <t>Estado de flujo de caja proyectado</t>
  </si>
  <si>
    <t>Valor en caja para el activo corriente</t>
  </si>
  <si>
    <t>Fuente: Glassdoor (2020). How Much It Costs to Post a Job Online. Tomado de: https://www.glassdoor.com/employers/blog/how-much-it-costs-to-post-a-job-online/</t>
  </si>
  <si>
    <t>Por click</t>
  </si>
  <si>
    <t>Por mes</t>
  </si>
  <si>
    <t>Por mes para 5 postulaciones</t>
  </si>
  <si>
    <t>Depende del número de candidatos posteados</t>
  </si>
  <si>
    <t>Candidatos</t>
  </si>
  <si>
    <t>Competidores a nivel global</t>
  </si>
  <si>
    <t>Competidores a nivel Colombia</t>
  </si>
  <si>
    <t>Acción Trabajo</t>
  </si>
  <si>
    <r>
      <rPr>
        <b/>
        <sz val="11"/>
        <rFont val="Arial"/>
        <family val="2"/>
      </rPr>
      <t xml:space="preserve">No. </t>
    </r>
    <r>
      <rPr>
        <sz val="11"/>
        <rFont val="Arial"/>
        <family val="2"/>
      </rPr>
      <t>Talentbox te ofrece la posibilidad de publicar todas las ofertas que necesites sin costo extra.</t>
    </r>
  </si>
  <si>
    <t>Opción Empleo</t>
  </si>
  <si>
    <t>Fuente: elempleo.com (2020). Paquete básico. Tomado de: https://www.elempleo.com/colombia/contenido/recursos_humanos/paquete_basico/Index.aspx</t>
  </si>
  <si>
    <t>Fuente: computrabajo. (2020). Prestaciones del servicio. Tomado de: https://www.computrabajo.com.co/prestaciondeservicio/</t>
  </si>
  <si>
    <t>Fuente: Jooble. (2020). Job posting. Tomado de: https://co.jooble.org/employer/jobposting</t>
  </si>
  <si>
    <t>Fuente: Talentbox. (2020). Empresas. Tomado de: https://talentbox.la/empresas</t>
  </si>
  <si>
    <t>Fuente: Opción Empleo. (2020). Recruiter. Tomado de: https://www.opcionempleo.com.co/recruiter</t>
  </si>
  <si>
    <t>Fuente: Acción Trabajo. (2020). Empresa. Tomado de: https://acciontrabajo.com.co/empresa</t>
  </si>
  <si>
    <t>CONSIDERANDO EL MARKET SHARE DEL</t>
  </si>
  <si>
    <t>Sectores</t>
  </si>
  <si>
    <t>Ingreso por tipo de compañía por mes</t>
  </si>
  <si>
    <t>A ser cargado por transacción base salario mensual</t>
  </si>
  <si>
    <t>Costos variables</t>
  </si>
  <si>
    <t>Margen de Contribución</t>
  </si>
  <si>
    <t>Total costos</t>
  </si>
  <si>
    <t>Costos Variables</t>
  </si>
  <si>
    <t>Total Costos</t>
  </si>
  <si>
    <t>Margen de contribución</t>
  </si>
  <si>
    <t>Ingreso proyectado</t>
  </si>
  <si>
    <t>NÚMERO DE EJECUTIVOS DE VENTA</t>
  </si>
  <si>
    <t>Número de compañias alcanzadas por Ejecutivo de Venta (Medianas)</t>
  </si>
  <si>
    <t>Número de compañias alcanzadas por Ejecutivo de Venta (Grandes)</t>
  </si>
  <si>
    <t>Comisión anual por Ejecutivo de Venta</t>
  </si>
  <si>
    <t>% Costo de adquisición de cliente</t>
  </si>
  <si>
    <t>Ingreso por escenario</t>
  </si>
  <si>
    <t>Costo Escenario (Asumido por ambos casos)</t>
  </si>
  <si>
    <t>Número de empresas que Kobeyo puede cubrir el primer año dependiendo del market share (Campo H23) que se establezca.</t>
  </si>
  <si>
    <t>Ventas Año 1</t>
  </si>
  <si>
    <t>Ventas Año 2</t>
  </si>
  <si>
    <t>Ventas Año 3</t>
  </si>
  <si>
    <t>Ventas Año 4</t>
  </si>
  <si>
    <t>Ventas Año 5</t>
  </si>
  <si>
    <t>Gasto de Ventas</t>
  </si>
  <si>
    <t>CAC FEE con igual número de clientes</t>
  </si>
  <si>
    <t>TOTAL TRABAJAD.</t>
  </si>
  <si>
    <t>Otros indicadores</t>
  </si>
  <si>
    <t>Depreciación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</si>
</sst>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&quot;$&quot;#,##0;[Red]\-&quot;$&quot;#,##0"/>
    <numFmt numFmtId="165" formatCode="_-&quot;$&quot;* #,##0_-;\-&quot;$&quot;* #,##0_-;_-&quot;$&quot;* &quot;-&quot;_-;_-@_-"/>
    <numFmt numFmtId="166" formatCode="_-* #,##0_-;\-* #,##0_-;_-* &quot;-&quot;??_-;_-@_-"/>
    <numFmt numFmtId="167" formatCode="0.0%"/>
    <numFmt numFmtId="168" formatCode="#,##0.0"/>
    <numFmt numFmtId="169" formatCode="_-* #,##0.0_-;\-* #,##0.0_-;_-* &quot;-&quot;??_-;_-@_-"/>
    <numFmt numFmtId="170" formatCode="_-* #,##0.00_-;\-* #,##0.00_-;_-* &quot;-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11"/>
      <color rgb="FF92D050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22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sz val="11"/>
      <color theme="4" tint="0.79998168889431442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41" fontId="3" fillId="0" borderId="0" xfId="3" applyFont="1"/>
    <xf numFmtId="41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>
      <alignment vertical="center" textRotation="90"/>
    </xf>
    <xf numFmtId="0" fontId="3" fillId="0" borderId="0" xfId="0" applyFont="1" applyFill="1" applyBorder="1"/>
    <xf numFmtId="41" fontId="4" fillId="0" borderId="0" xfId="3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166" fontId="3" fillId="0" borderId="0" xfId="1" applyNumberFormat="1" applyFont="1"/>
    <xf numFmtId="166" fontId="4" fillId="0" borderId="0" xfId="0" applyNumberFormat="1" applyFont="1"/>
    <xf numFmtId="166" fontId="3" fillId="0" borderId="0" xfId="0" applyNumberFormat="1" applyFont="1"/>
    <xf numFmtId="166" fontId="4" fillId="0" borderId="0" xfId="1" applyNumberFormat="1" applyFont="1"/>
    <xf numFmtId="0" fontId="4" fillId="0" borderId="0" xfId="0" applyFont="1" applyAlignment="1">
      <alignment horizontal="left"/>
    </xf>
    <xf numFmtId="166" fontId="3" fillId="0" borderId="0" xfId="1" applyNumberFormat="1" applyFont="1" applyFill="1"/>
    <xf numFmtId="166" fontId="3" fillId="5" borderId="0" xfId="1" applyNumberFormat="1" applyFont="1" applyFill="1"/>
    <xf numFmtId="9" fontId="3" fillId="0" borderId="0" xfId="0" applyNumberFormat="1" applyFont="1"/>
    <xf numFmtId="10" fontId="3" fillId="0" borderId="0" xfId="2" applyNumberFormat="1" applyFont="1"/>
    <xf numFmtId="43" fontId="3" fillId="0" borderId="0" xfId="1" applyFont="1"/>
    <xf numFmtId="0" fontId="4" fillId="0" borderId="0" xfId="0" applyFont="1" applyAlignment="1">
      <alignment horizontal="center"/>
    </xf>
    <xf numFmtId="166" fontId="4" fillId="5" borderId="0" xfId="1" applyNumberFormat="1" applyFont="1" applyFill="1" applyAlignment="1">
      <alignment vertical="center" wrapText="1"/>
    </xf>
    <xf numFmtId="0" fontId="4" fillId="0" borderId="0" xfId="0" applyFont="1" applyFill="1"/>
    <xf numFmtId="0" fontId="4" fillId="5" borderId="0" xfId="0" applyFont="1" applyFill="1"/>
    <xf numFmtId="166" fontId="3" fillId="10" borderId="0" xfId="1" applyNumberFormat="1" applyFont="1" applyFill="1"/>
    <xf numFmtId="0" fontId="8" fillId="0" borderId="0" xfId="0" applyFont="1" applyAlignment="1">
      <alignment horizontal="centerContinuous"/>
    </xf>
    <xf numFmtId="0" fontId="3" fillId="0" borderId="0" xfId="0" applyFont="1" applyAlignment="1">
      <alignment wrapText="1"/>
    </xf>
    <xf numFmtId="0" fontId="3" fillId="2" borderId="0" xfId="0" applyFont="1" applyFill="1"/>
    <xf numFmtId="0" fontId="4" fillId="5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10" fontId="3" fillId="6" borderId="0" xfId="0" applyNumberFormat="1" applyFont="1" applyFill="1" applyAlignment="1">
      <alignment horizontal="center" vertical="center" wrapText="1"/>
    </xf>
    <xf numFmtId="10" fontId="3" fillId="4" borderId="0" xfId="0" applyNumberFormat="1" applyFont="1" applyFill="1" applyAlignment="1">
      <alignment horizontal="center" vertical="center" wrapText="1"/>
    </xf>
    <xf numFmtId="10" fontId="3" fillId="5" borderId="0" xfId="0" applyNumberFormat="1" applyFont="1" applyFill="1" applyAlignment="1">
      <alignment horizontal="center" vertical="center" wrapText="1"/>
    </xf>
    <xf numFmtId="41" fontId="4" fillId="0" borderId="0" xfId="0" applyNumberFormat="1" applyFont="1"/>
    <xf numFmtId="166" fontId="3" fillId="5" borderId="0" xfId="1" applyNumberFormat="1" applyFont="1" applyFill="1" applyAlignment="1">
      <alignment horizontal="center" vertical="center" wrapText="1"/>
    </xf>
    <xf numFmtId="166" fontId="3" fillId="4" borderId="0" xfId="1" applyNumberFormat="1" applyFont="1" applyFill="1" applyAlignment="1">
      <alignment horizontal="center" vertical="center" wrapText="1"/>
    </xf>
    <xf numFmtId="166" fontId="3" fillId="6" borderId="0" xfId="1" applyNumberFormat="1" applyFont="1" applyFill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9" fontId="3" fillId="0" borderId="0" xfId="2" applyFont="1"/>
    <xf numFmtId="3" fontId="3" fillId="0" borderId="0" xfId="0" applyNumberFormat="1" applyFont="1"/>
    <xf numFmtId="167" fontId="3" fillId="0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1" fontId="12" fillId="0" borderId="0" xfId="0" applyNumberFormat="1" applyFont="1"/>
    <xf numFmtId="0" fontId="6" fillId="9" borderId="3" xfId="0" applyFont="1" applyFill="1" applyBorder="1" applyAlignment="1">
      <alignment horizontal="center" wrapText="1"/>
    </xf>
    <xf numFmtId="9" fontId="6" fillId="9" borderId="5" xfId="0" applyNumberFormat="1" applyFont="1" applyFill="1" applyBorder="1" applyAlignment="1">
      <alignment horizontal="center" vertical="center"/>
    </xf>
    <xf numFmtId="0" fontId="3" fillId="0" borderId="5" xfId="0" applyFont="1" applyBorder="1"/>
    <xf numFmtId="3" fontId="3" fillId="0" borderId="5" xfId="0" applyNumberFormat="1" applyFont="1" applyBorder="1"/>
    <xf numFmtId="3" fontId="3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3" fontId="3" fillId="5" borderId="5" xfId="0" applyNumberFormat="1" applyFont="1" applyFill="1" applyBorder="1"/>
    <xf numFmtId="3" fontId="3" fillId="5" borderId="5" xfId="0" applyNumberFormat="1" applyFont="1" applyFill="1" applyBorder="1" applyAlignment="1">
      <alignment horizontal="center" vertical="center"/>
    </xf>
    <xf numFmtId="0" fontId="4" fillId="0" borderId="4" xfId="0" applyFont="1" applyBorder="1"/>
    <xf numFmtId="3" fontId="4" fillId="0" borderId="4" xfId="0" applyNumberFormat="1" applyFont="1" applyBorder="1"/>
    <xf numFmtId="169" fontId="3" fillId="0" borderId="0" xfId="1" applyNumberFormat="1" applyFont="1"/>
    <xf numFmtId="167" fontId="3" fillId="0" borderId="0" xfId="0" applyNumberFormat="1" applyFont="1"/>
    <xf numFmtId="167" fontId="3" fillId="0" borderId="0" xfId="2" applyNumberFormat="1" applyFont="1"/>
    <xf numFmtId="41" fontId="4" fillId="0" borderId="0" xfId="3" applyFont="1" applyAlignment="1">
      <alignment horizontal="left" vertical="center"/>
    </xf>
    <xf numFmtId="0" fontId="4" fillId="0" borderId="0" xfId="0" applyFont="1" applyFill="1" applyBorder="1"/>
    <xf numFmtId="9" fontId="3" fillId="16" borderId="0" xfId="0" applyNumberFormat="1" applyFont="1" applyFill="1"/>
    <xf numFmtId="167" fontId="3" fillId="16" borderId="0" xfId="0" applyNumberFormat="1" applyFont="1" applyFill="1"/>
    <xf numFmtId="0" fontId="3" fillId="16" borderId="0" xfId="0" applyFont="1" applyFill="1"/>
    <xf numFmtId="166" fontId="4" fillId="16" borderId="0" xfId="1" applyNumberFormat="1" applyFont="1" applyFill="1" applyAlignment="1">
      <alignment vertical="center" wrapText="1"/>
    </xf>
    <xf numFmtId="0" fontId="13" fillId="0" borderId="0" xfId="0" applyFont="1"/>
    <xf numFmtId="166" fontId="13" fillId="0" borderId="0" xfId="0" applyNumberFormat="1" applyFont="1"/>
    <xf numFmtId="43" fontId="13" fillId="0" borderId="0" xfId="1" applyFont="1"/>
    <xf numFmtId="9" fontId="13" fillId="0" borderId="0" xfId="0" applyNumberFormat="1" applyFont="1"/>
    <xf numFmtId="0" fontId="14" fillId="0" borderId="0" xfId="0" applyFont="1" applyFill="1" applyBorder="1"/>
    <xf numFmtId="0" fontId="6" fillId="0" borderId="0" xfId="0" applyFont="1"/>
    <xf numFmtId="0" fontId="14" fillId="0" borderId="0" xfId="0" applyFont="1"/>
    <xf numFmtId="9" fontId="14" fillId="11" borderId="0" xfId="0" applyNumberFormat="1" applyFont="1" applyFill="1"/>
    <xf numFmtId="167" fontId="14" fillId="11" borderId="0" xfId="2" applyNumberFormat="1" applyFont="1" applyFill="1"/>
    <xf numFmtId="3" fontId="3" fillId="8" borderId="2" xfId="0" applyNumberFormat="1" applyFont="1" applyFill="1" applyBorder="1" applyAlignment="1">
      <alignment horizontal="center" vertical="center"/>
    </xf>
    <xf numFmtId="3" fontId="3" fillId="8" borderId="2" xfId="0" applyNumberFormat="1" applyFont="1" applyFill="1" applyBorder="1" applyAlignment="1">
      <alignment horizontal="center" vertical="center" wrapText="1"/>
    </xf>
    <xf numFmtId="41" fontId="12" fillId="18" borderId="0" xfId="0" applyNumberFormat="1" applyFont="1" applyFill="1" applyAlignment="1">
      <alignment horizontal="center" vertical="center"/>
    </xf>
    <xf numFmtId="41" fontId="3" fillId="19" borderId="0" xfId="0" applyNumberFormat="1" applyFont="1" applyFill="1"/>
    <xf numFmtId="166" fontId="3" fillId="20" borderId="0" xfId="0" applyNumberFormat="1" applyFont="1" applyFill="1"/>
    <xf numFmtId="3" fontId="3" fillId="0" borderId="0" xfId="0" applyNumberFormat="1" applyFont="1" applyAlignment="1">
      <alignment horizontal="right"/>
    </xf>
    <xf numFmtId="167" fontId="15" fillId="0" borderId="0" xfId="2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167" fontId="14" fillId="0" borderId="0" xfId="2" applyNumberFormat="1" applyFont="1" applyFill="1"/>
    <xf numFmtId="41" fontId="14" fillId="0" borderId="0" xfId="0" applyNumberFormat="1" applyFont="1" applyFill="1" applyAlignment="1">
      <alignment horizontal="center" vertical="center"/>
    </xf>
    <xf numFmtId="166" fontId="14" fillId="0" borderId="0" xfId="1" applyNumberFormat="1" applyFont="1" applyFill="1"/>
    <xf numFmtId="41" fontId="14" fillId="0" borderId="0" xfId="0" applyNumberFormat="1" applyFont="1" applyFill="1"/>
    <xf numFmtId="166" fontId="14" fillId="0" borderId="0" xfId="0" applyNumberFormat="1" applyFont="1" applyFill="1"/>
    <xf numFmtId="0" fontId="3" fillId="11" borderId="0" xfId="0" applyFont="1" applyFill="1"/>
    <xf numFmtId="0" fontId="4" fillId="11" borderId="0" xfId="0" applyFont="1" applyFill="1"/>
    <xf numFmtId="166" fontId="3" fillId="11" borderId="0" xfId="1" applyNumberFormat="1" applyFont="1" applyFill="1"/>
    <xf numFmtId="41" fontId="3" fillId="11" borderId="0" xfId="0" applyNumberFormat="1" applyFont="1" applyFill="1"/>
    <xf numFmtId="0" fontId="14" fillId="0" borderId="0" xfId="0" applyFont="1" applyFill="1" applyBorder="1" applyAlignment="1">
      <alignment vertical="center" textRotation="90"/>
    </xf>
    <xf numFmtId="0" fontId="6" fillId="0" borderId="0" xfId="0" applyFont="1" applyAlignment="1">
      <alignment horizontal="left"/>
    </xf>
    <xf numFmtId="41" fontId="14" fillId="0" borderId="0" xfId="0" applyNumberFormat="1" applyFont="1"/>
    <xf numFmtId="0" fontId="14" fillId="0" borderId="0" xfId="0" applyFont="1" applyAlignment="1">
      <alignment wrapText="1"/>
    </xf>
    <xf numFmtId="169" fontId="14" fillId="0" borderId="0" xfId="1" applyNumberFormat="1" applyFont="1"/>
    <xf numFmtId="169" fontId="14" fillId="0" borderId="0" xfId="0" applyNumberFormat="1" applyFont="1"/>
    <xf numFmtId="0" fontId="14" fillId="11" borderId="0" xfId="0" applyFont="1" applyFill="1"/>
    <xf numFmtId="0" fontId="6" fillId="11" borderId="0" xfId="0" applyFont="1" applyFill="1"/>
    <xf numFmtId="9" fontId="6" fillId="11" borderId="0" xfId="0" applyNumberFormat="1" applyFont="1" applyFill="1"/>
    <xf numFmtId="0" fontId="3" fillId="0" borderId="2" xfId="0" applyFont="1" applyBorder="1" applyAlignment="1"/>
    <xf numFmtId="166" fontId="3" fillId="5" borderId="2" xfId="1" applyNumberFormat="1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left" indent="2"/>
    </xf>
    <xf numFmtId="0" fontId="4" fillId="0" borderId="2" xfId="0" applyFont="1" applyBorder="1" applyAlignment="1">
      <alignment horizontal="center" vertical="center"/>
    </xf>
    <xf numFmtId="166" fontId="3" fillId="0" borderId="2" xfId="1" applyNumberFormat="1" applyFont="1" applyBorder="1"/>
    <xf numFmtId="166" fontId="3" fillId="10" borderId="2" xfId="1" applyNumberFormat="1" applyFont="1" applyFill="1" applyBorder="1"/>
    <xf numFmtId="166" fontId="3" fillId="0" borderId="2" xfId="1" applyNumberFormat="1" applyFont="1" applyFill="1" applyBorder="1"/>
    <xf numFmtId="166" fontId="3" fillId="0" borderId="2" xfId="0" applyNumberFormat="1" applyFont="1" applyBorder="1"/>
    <xf numFmtId="0" fontId="4" fillId="0" borderId="0" xfId="0" applyFont="1" applyFill="1" applyAlignment="1">
      <alignment horizontal="right" wrapText="1"/>
    </xf>
    <xf numFmtId="169" fontId="3" fillId="0" borderId="0" xfId="1" applyNumberFormat="1" applyFont="1" applyFill="1"/>
    <xf numFmtId="0" fontId="4" fillId="0" borderId="0" xfId="0" applyFont="1" applyAlignment="1">
      <alignment horizontal="center"/>
    </xf>
    <xf numFmtId="0" fontId="12" fillId="0" borderId="0" xfId="0" applyFont="1"/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165" fontId="12" fillId="0" borderId="10" xfId="4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167" fontId="12" fillId="0" borderId="10" xfId="2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167" fontId="12" fillId="0" borderId="7" xfId="2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165" fontId="12" fillId="0" borderId="2" xfId="4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167" fontId="12" fillId="0" borderId="2" xfId="2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3" fontId="12" fillId="0" borderId="14" xfId="0" applyNumberFormat="1" applyFont="1" applyBorder="1" applyAlignment="1">
      <alignment horizontal="center" vertical="center" wrapText="1"/>
    </xf>
    <xf numFmtId="167" fontId="12" fillId="0" borderId="14" xfId="2" applyNumberFormat="1" applyFont="1" applyBorder="1" applyAlignment="1">
      <alignment horizontal="center" vertical="center" wrapText="1"/>
    </xf>
    <xf numFmtId="0" fontId="12" fillId="0" borderId="17" xfId="0" applyFont="1" applyBorder="1"/>
    <xf numFmtId="0" fontId="12" fillId="0" borderId="4" xfId="0" applyFont="1" applyBorder="1" applyAlignment="1">
      <alignment horizontal="left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167" fontId="12" fillId="0" borderId="4" xfId="2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5" xfId="0" applyFont="1" applyBorder="1"/>
    <xf numFmtId="165" fontId="12" fillId="0" borderId="2" xfId="4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0" borderId="15" xfId="0" applyFont="1" applyFill="1" applyBorder="1"/>
    <xf numFmtId="0" fontId="12" fillId="0" borderId="2" xfId="0" applyFont="1" applyFill="1" applyBorder="1" applyAlignment="1">
      <alignment horizontal="left" vertical="center" wrapText="1"/>
    </xf>
    <xf numFmtId="165" fontId="12" fillId="0" borderId="10" xfId="4" applyFont="1" applyFill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vertical="center" wrapText="1"/>
    </xf>
    <xf numFmtId="167" fontId="12" fillId="0" borderId="2" xfId="2" applyNumberFormat="1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0" xfId="0" applyFont="1" applyFill="1"/>
    <xf numFmtId="165" fontId="12" fillId="0" borderId="3" xfId="4" applyFont="1" applyBorder="1" applyAlignment="1">
      <alignment horizontal="center" vertical="center" wrapText="1"/>
    </xf>
    <xf numFmtId="165" fontId="12" fillId="0" borderId="5" xfId="4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167" fontId="12" fillId="0" borderId="3" xfId="2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7" xfId="0" applyFont="1" applyBorder="1"/>
    <xf numFmtId="42" fontId="12" fillId="0" borderId="7" xfId="0" applyNumberFormat="1" applyFont="1" applyBorder="1"/>
    <xf numFmtId="0" fontId="12" fillId="0" borderId="8" xfId="0" applyFont="1" applyBorder="1"/>
    <xf numFmtId="165" fontId="12" fillId="0" borderId="0" xfId="0" applyNumberFormat="1" applyFont="1"/>
    <xf numFmtId="0" fontId="12" fillId="17" borderId="0" xfId="0" applyFont="1" applyFill="1"/>
    <xf numFmtId="0" fontId="12" fillId="0" borderId="0" xfId="0" applyFont="1" applyAlignment="1">
      <alignment wrapText="1"/>
    </xf>
    <xf numFmtId="0" fontId="6" fillId="9" borderId="31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3" fontId="6" fillId="9" borderId="33" xfId="0" applyNumberFormat="1" applyFont="1" applyFill="1" applyBorder="1" applyAlignment="1">
      <alignment horizontal="center" vertical="center" wrapText="1"/>
    </xf>
    <xf numFmtId="3" fontId="6" fillId="9" borderId="23" xfId="0" applyNumberFormat="1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3" fillId="0" borderId="0" xfId="0" applyFont="1" applyBorder="1"/>
    <xf numFmtId="167" fontId="4" fillId="0" borderId="0" xfId="2" applyNumberFormat="1" applyFont="1"/>
    <xf numFmtId="41" fontId="3" fillId="0" borderId="2" xfId="3" applyFont="1" applyBorder="1"/>
    <xf numFmtId="41" fontId="3" fillId="0" borderId="3" xfId="3" applyFont="1" applyBorder="1"/>
    <xf numFmtId="41" fontId="3" fillId="0" borderId="2" xfId="0" applyNumberFormat="1" applyFont="1" applyBorder="1"/>
    <xf numFmtId="9" fontId="3" fillId="0" borderId="2" xfId="2" applyFont="1" applyBorder="1"/>
    <xf numFmtId="0" fontId="6" fillId="9" borderId="0" xfId="0" applyFont="1" applyFill="1" applyAlignment="1">
      <alignment horizontal="center" vertical="center"/>
    </xf>
    <xf numFmtId="3" fontId="14" fillId="11" borderId="0" xfId="5" applyNumberFormat="1" applyFont="1" applyFill="1" applyBorder="1" applyAlignment="1">
      <alignment vertical="center" wrapText="1"/>
    </xf>
    <xf numFmtId="3" fontId="3" fillId="11" borderId="0" xfId="5" applyNumberFormat="1" applyFont="1" applyFill="1" applyBorder="1" applyAlignment="1">
      <alignment vertical="center" wrapText="1"/>
    </xf>
    <xf numFmtId="3" fontId="3" fillId="0" borderId="0" xfId="5" applyNumberFormat="1" applyFont="1" applyBorder="1" applyAlignment="1">
      <alignment vertical="center" wrapText="1"/>
    </xf>
    <xf numFmtId="3" fontId="4" fillId="13" borderId="25" xfId="5" applyNumberFormat="1" applyFont="1" applyFill="1" applyBorder="1" applyAlignment="1">
      <alignment vertical="center" wrapText="1"/>
    </xf>
    <xf numFmtId="3" fontId="4" fillId="13" borderId="29" xfId="5" applyNumberFormat="1" applyFont="1" applyFill="1" applyBorder="1" applyAlignment="1">
      <alignment horizontal="center" vertical="center" wrapText="1"/>
    </xf>
    <xf numFmtId="3" fontId="4" fillId="13" borderId="29" xfId="6" applyNumberFormat="1" applyFont="1" applyFill="1" applyBorder="1" applyAlignment="1">
      <alignment horizontal="center" vertical="center" wrapText="1"/>
    </xf>
    <xf numFmtId="3" fontId="4" fillId="11" borderId="0" xfId="5" applyNumberFormat="1" applyFont="1" applyFill="1" applyBorder="1" applyAlignment="1">
      <alignment vertical="center" wrapText="1"/>
    </xf>
    <xf numFmtId="3" fontId="3" fillId="0" borderId="15" xfId="5" applyNumberFormat="1" applyFont="1" applyBorder="1" applyAlignment="1">
      <alignment horizontal="right" vertical="center" wrapText="1"/>
    </xf>
    <xf numFmtId="3" fontId="4" fillId="0" borderId="4" xfId="5" applyNumberFormat="1" applyFont="1" applyBorder="1" applyAlignment="1">
      <alignment vertical="center" wrapText="1"/>
    </xf>
    <xf numFmtId="3" fontId="17" fillId="0" borderId="4" xfId="6" applyNumberFormat="1" applyFont="1" applyBorder="1" applyAlignment="1">
      <alignment vertical="center" wrapText="1"/>
    </xf>
    <xf numFmtId="3" fontId="4" fillId="0" borderId="18" xfId="5" applyNumberFormat="1" applyFont="1" applyBorder="1" applyAlignment="1">
      <alignment vertical="center" wrapText="1"/>
    </xf>
    <xf numFmtId="3" fontId="3" fillId="0" borderId="2" xfId="7" applyNumberFormat="1" applyFont="1" applyBorder="1" applyAlignment="1">
      <alignment vertical="center" wrapText="1"/>
    </xf>
    <xf numFmtId="3" fontId="12" fillId="0" borderId="19" xfId="7" applyNumberFormat="1" applyFont="1" applyBorder="1" applyAlignment="1">
      <alignment vertical="center" wrapText="1"/>
    </xf>
    <xf numFmtId="167" fontId="3" fillId="0" borderId="2" xfId="8" applyNumberFormat="1" applyFont="1" applyFill="1" applyBorder="1" applyAlignment="1">
      <alignment vertical="center" wrapText="1"/>
    </xf>
    <xf numFmtId="167" fontId="3" fillId="0" borderId="19" xfId="8" applyNumberFormat="1" applyFont="1" applyFill="1" applyBorder="1" applyAlignment="1">
      <alignment vertical="center" wrapText="1"/>
    </xf>
    <xf numFmtId="167" fontId="3" fillId="11" borderId="0" xfId="8" applyNumberFormat="1" applyFont="1" applyFill="1" applyBorder="1" applyAlignment="1">
      <alignment vertical="center" wrapText="1"/>
    </xf>
    <xf numFmtId="3" fontId="4" fillId="13" borderId="26" xfId="6" applyNumberFormat="1" applyFont="1" applyFill="1" applyBorder="1" applyAlignment="1">
      <alignment horizontal="center" vertical="center" wrapText="1"/>
    </xf>
    <xf numFmtId="3" fontId="3" fillId="11" borderId="0" xfId="5" applyNumberFormat="1" applyFont="1" applyFill="1" applyBorder="1" applyAlignment="1">
      <alignment horizontal="right" vertical="center" wrapText="1"/>
    </xf>
    <xf numFmtId="3" fontId="3" fillId="0" borderId="15" xfId="6" applyNumberFormat="1" applyFont="1" applyBorder="1" applyAlignment="1">
      <alignment horizontal="right" vertical="center" wrapText="1"/>
    </xf>
    <xf numFmtId="3" fontId="3" fillId="12" borderId="2" xfId="6" applyNumberFormat="1" applyFont="1" applyFill="1" applyBorder="1" applyAlignment="1">
      <alignment vertical="center" wrapText="1"/>
    </xf>
    <xf numFmtId="3" fontId="3" fillId="0" borderId="2" xfId="6" applyNumberFormat="1" applyFont="1" applyBorder="1" applyAlignment="1">
      <alignment vertical="center" wrapText="1"/>
    </xf>
    <xf numFmtId="3" fontId="3" fillId="0" borderId="19" xfId="5" applyNumberFormat="1" applyFont="1" applyBorder="1" applyAlignment="1">
      <alignment vertical="center" wrapText="1"/>
    </xf>
    <xf numFmtId="3" fontId="4" fillId="12" borderId="0" xfId="5" applyNumberFormat="1" applyFont="1" applyFill="1" applyBorder="1" applyAlignment="1">
      <alignment vertical="center" wrapText="1"/>
    </xf>
    <xf numFmtId="3" fontId="3" fillId="0" borderId="16" xfId="6" applyNumberFormat="1" applyFont="1" applyBorder="1" applyAlignment="1">
      <alignment horizontal="right" vertical="center" wrapText="1"/>
    </xf>
    <xf numFmtId="3" fontId="3" fillId="12" borderId="14" xfId="6" applyNumberFormat="1" applyFont="1" applyFill="1" applyBorder="1" applyAlignment="1">
      <alignment vertical="center" wrapText="1"/>
    </xf>
    <xf numFmtId="3" fontId="3" fillId="0" borderId="14" xfId="6" applyNumberFormat="1" applyFont="1" applyBorder="1" applyAlignment="1">
      <alignment vertical="center" wrapText="1"/>
    </xf>
    <xf numFmtId="3" fontId="3" fillId="0" borderId="28" xfId="5" applyNumberFormat="1" applyFont="1" applyBorder="1" applyAlignment="1">
      <alignment vertical="center" wrapText="1"/>
    </xf>
    <xf numFmtId="3" fontId="3" fillId="11" borderId="0" xfId="6" applyNumberFormat="1" applyFont="1" applyFill="1" applyBorder="1" applyAlignment="1">
      <alignment horizontal="right" vertical="center" wrapText="1"/>
    </xf>
    <xf numFmtId="3" fontId="3" fillId="11" borderId="0" xfId="6" applyNumberFormat="1" applyFont="1" applyFill="1" applyBorder="1" applyAlignment="1">
      <alignment vertical="center" wrapText="1"/>
    </xf>
    <xf numFmtId="3" fontId="17" fillId="13" borderId="22" xfId="5" applyNumberFormat="1" applyFont="1" applyFill="1" applyBorder="1" applyAlignment="1">
      <alignment horizontal="center" vertical="center" wrapText="1"/>
    </xf>
    <xf numFmtId="3" fontId="17" fillId="13" borderId="29" xfId="5" applyNumberFormat="1" applyFont="1" applyFill="1" applyBorder="1" applyAlignment="1">
      <alignment horizontal="center" vertical="center" wrapText="1"/>
    </xf>
    <xf numFmtId="3" fontId="3" fillId="0" borderId="17" xfId="6" applyNumberFormat="1" applyFont="1" applyBorder="1" applyAlignment="1">
      <alignment horizontal="right" vertical="center" wrapText="1"/>
    </xf>
    <xf numFmtId="3" fontId="3" fillId="0" borderId="4" xfId="5" applyNumberFormat="1" applyFont="1" applyBorder="1" applyAlignment="1">
      <alignment vertical="center" wrapText="1"/>
    </xf>
    <xf numFmtId="167" fontId="3" fillId="0" borderId="18" xfId="8" applyNumberFormat="1" applyFont="1" applyBorder="1" applyAlignment="1">
      <alignment vertical="center" wrapText="1"/>
    </xf>
    <xf numFmtId="9" fontId="3" fillId="11" borderId="0" xfId="8" applyFont="1" applyFill="1" applyBorder="1" applyAlignment="1">
      <alignment vertical="center" wrapText="1"/>
    </xf>
    <xf numFmtId="3" fontId="3" fillId="0" borderId="2" xfId="5" applyNumberFormat="1" applyFont="1" applyBorder="1" applyAlignment="1">
      <alignment vertical="center" wrapText="1"/>
    </xf>
    <xf numFmtId="167" fontId="3" fillId="0" borderId="19" xfId="8" applyNumberFormat="1" applyFont="1" applyBorder="1" applyAlignment="1">
      <alignment vertical="center" wrapText="1"/>
    </xf>
    <xf numFmtId="3" fontId="3" fillId="0" borderId="14" xfId="5" applyNumberFormat="1" applyFont="1" applyBorder="1" applyAlignment="1">
      <alignment vertical="center" wrapText="1"/>
    </xf>
    <xf numFmtId="167" fontId="3" fillId="0" borderId="28" xfId="8" applyNumberFormat="1" applyFont="1" applyBorder="1" applyAlignment="1">
      <alignment vertical="center" wrapText="1"/>
    </xf>
    <xf numFmtId="3" fontId="14" fillId="11" borderId="0" xfId="6" applyNumberFormat="1" applyFont="1" applyFill="1" applyBorder="1" applyAlignment="1">
      <alignment horizontal="right" vertical="center" wrapText="1"/>
    </xf>
    <xf numFmtId="3" fontId="14" fillId="11" borderId="0" xfId="6" applyNumberFormat="1" applyFont="1" applyFill="1" applyBorder="1" applyAlignment="1">
      <alignment vertical="center" wrapText="1"/>
    </xf>
    <xf numFmtId="167" fontId="14" fillId="11" borderId="0" xfId="8" applyNumberFormat="1" applyFont="1" applyFill="1" applyBorder="1" applyAlignment="1">
      <alignment vertical="center" wrapText="1"/>
    </xf>
    <xf numFmtId="3" fontId="6" fillId="14" borderId="22" xfId="6" applyNumberFormat="1" applyFont="1" applyFill="1" applyBorder="1" applyAlignment="1">
      <alignment vertical="center" wrapText="1"/>
    </xf>
    <xf numFmtId="3" fontId="3" fillId="0" borderId="4" xfId="5" applyNumberFormat="1" applyFont="1" applyBorder="1" applyAlignment="1">
      <alignment horizontal="center" vertical="center" wrapText="1"/>
    </xf>
    <xf numFmtId="3" fontId="3" fillId="0" borderId="18" xfId="5" applyNumberFormat="1" applyFont="1" applyBorder="1" applyAlignment="1">
      <alignment horizontal="center" vertical="center" wrapText="1"/>
    </xf>
    <xf numFmtId="168" fontId="3" fillId="11" borderId="0" xfId="5" applyNumberFormat="1" applyFont="1" applyFill="1" applyBorder="1" applyAlignment="1">
      <alignment vertical="center" wrapText="1"/>
    </xf>
    <xf numFmtId="3" fontId="3" fillId="0" borderId="2" xfId="5" applyNumberFormat="1" applyFont="1" applyBorder="1" applyAlignment="1">
      <alignment horizontal="center" vertical="center" wrapText="1"/>
    </xf>
    <xf numFmtId="3" fontId="3" fillId="0" borderId="19" xfId="5" applyNumberFormat="1" applyFont="1" applyBorder="1" applyAlignment="1">
      <alignment horizontal="center" vertical="center" wrapText="1"/>
    </xf>
    <xf numFmtId="167" fontId="16" fillId="0" borderId="2" xfId="0" applyNumberFormat="1" applyFont="1" applyBorder="1" applyAlignment="1">
      <alignment horizontal="right" vertical="center" wrapText="1"/>
    </xf>
    <xf numFmtId="3" fontId="3" fillId="11" borderId="14" xfId="5" applyNumberFormat="1" applyFont="1" applyFill="1" applyBorder="1" applyAlignment="1">
      <alignment horizontal="center" vertical="center" wrapText="1"/>
    </xf>
    <xf numFmtId="3" fontId="3" fillId="11" borderId="28" xfId="5" applyNumberFormat="1" applyFont="1" applyFill="1" applyBorder="1" applyAlignment="1">
      <alignment horizontal="center" vertical="center" wrapText="1"/>
    </xf>
    <xf numFmtId="3" fontId="4" fillId="11" borderId="0" xfId="6" applyNumberFormat="1" applyFont="1" applyFill="1" applyBorder="1" applyAlignment="1">
      <alignment horizontal="right" vertical="center" wrapText="1"/>
    </xf>
    <xf numFmtId="9" fontId="4" fillId="13" borderId="23" xfId="8" applyFont="1" applyFill="1" applyBorder="1" applyAlignment="1">
      <alignment horizontal="center" vertical="center" wrapText="1"/>
    </xf>
    <xf numFmtId="10" fontId="19" fillId="15" borderId="24" xfId="2" applyNumberFormat="1" applyFont="1" applyFill="1" applyBorder="1" applyAlignment="1">
      <alignment vertical="center" wrapText="1"/>
    </xf>
    <xf numFmtId="3" fontId="3" fillId="0" borderId="4" xfId="6" applyNumberFormat="1" applyFont="1" applyBorder="1" applyAlignment="1">
      <alignment horizontal="right" vertical="center" wrapText="1"/>
    </xf>
    <xf numFmtId="3" fontId="3" fillId="12" borderId="4" xfId="5" applyNumberFormat="1" applyFont="1" applyFill="1" applyBorder="1" applyAlignment="1">
      <alignment vertical="center" wrapText="1"/>
    </xf>
    <xf numFmtId="3" fontId="3" fillId="0" borderId="2" xfId="6" applyNumberFormat="1" applyFont="1" applyBorder="1" applyAlignment="1">
      <alignment horizontal="right" vertical="center" wrapText="1"/>
    </xf>
    <xf numFmtId="3" fontId="3" fillId="0" borderId="29" xfId="5" applyNumberFormat="1" applyFont="1" applyBorder="1" applyAlignment="1">
      <alignment horizontal="right" vertical="center" wrapText="1"/>
    </xf>
    <xf numFmtId="3" fontId="3" fillId="0" borderId="27" xfId="5" applyNumberFormat="1" applyFont="1" applyBorder="1" applyAlignment="1">
      <alignment vertical="center" wrapText="1"/>
    </xf>
    <xf numFmtId="3" fontId="3" fillId="12" borderId="30" xfId="5" applyNumberFormat="1" applyFont="1" applyFill="1" applyBorder="1" applyAlignment="1">
      <alignment horizontal="right" vertical="center" wrapText="1"/>
    </xf>
    <xf numFmtId="3" fontId="3" fillId="12" borderId="27" xfId="5" applyNumberFormat="1" applyFont="1" applyFill="1" applyBorder="1" applyAlignment="1">
      <alignment vertical="center" wrapText="1"/>
    </xf>
    <xf numFmtId="10" fontId="3" fillId="11" borderId="0" xfId="8" applyNumberFormat="1" applyFont="1" applyFill="1" applyBorder="1" applyAlignment="1">
      <alignment vertical="center" wrapText="1"/>
    </xf>
    <xf numFmtId="3" fontId="20" fillId="11" borderId="0" xfId="5" applyNumberFormat="1" applyFont="1" applyFill="1" applyBorder="1" applyAlignment="1">
      <alignment vertical="center" wrapText="1"/>
    </xf>
    <xf numFmtId="3" fontId="21" fillId="11" borderId="0" xfId="5" applyNumberFormat="1" applyFont="1" applyFill="1" applyBorder="1" applyAlignment="1">
      <alignment vertical="center" wrapText="1"/>
    </xf>
    <xf numFmtId="3" fontId="21" fillId="0" borderId="0" xfId="5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/>
    <xf numFmtId="43" fontId="3" fillId="0" borderId="0" xfId="0" applyNumberFormat="1" applyFont="1"/>
    <xf numFmtId="0" fontId="4" fillId="0" borderId="0" xfId="0" applyFont="1" applyAlignment="1">
      <alignment horizontal="right"/>
    </xf>
    <xf numFmtId="41" fontId="4" fillId="0" borderId="0" xfId="3" applyFont="1"/>
    <xf numFmtId="0" fontId="3" fillId="22" borderId="5" xfId="0" applyFont="1" applyFill="1" applyBorder="1"/>
    <xf numFmtId="3" fontId="3" fillId="22" borderId="5" xfId="0" applyNumberFormat="1" applyFont="1" applyFill="1" applyBorder="1"/>
    <xf numFmtId="41" fontId="14" fillId="0" borderId="2" xfId="3" applyFont="1" applyBorder="1"/>
    <xf numFmtId="0" fontId="3" fillId="0" borderId="3" xfId="0" applyFont="1" applyBorder="1"/>
    <xf numFmtId="0" fontId="3" fillId="0" borderId="1" xfId="0" applyFont="1" applyBorder="1"/>
    <xf numFmtId="41" fontId="3" fillId="0" borderId="1" xfId="3" applyFont="1" applyBorder="1"/>
    <xf numFmtId="41" fontId="14" fillId="0" borderId="1" xfId="3" applyFont="1" applyBorder="1"/>
    <xf numFmtId="41" fontId="3" fillId="0" borderId="1" xfId="0" applyNumberFormat="1" applyFont="1" applyBorder="1"/>
    <xf numFmtId="9" fontId="6" fillId="11" borderId="0" xfId="2" applyFont="1" applyFill="1"/>
    <xf numFmtId="41" fontId="4" fillId="11" borderId="0" xfId="3" applyFont="1" applyFill="1"/>
    <xf numFmtId="0" fontId="4" fillId="0" borderId="2" xfId="0" applyFont="1" applyBorder="1"/>
    <xf numFmtId="41" fontId="4" fillId="11" borderId="3" xfId="0" applyNumberFormat="1" applyFont="1" applyFill="1" applyBorder="1"/>
    <xf numFmtId="0" fontId="3" fillId="11" borderId="3" xfId="0" applyFont="1" applyFill="1" applyBorder="1"/>
    <xf numFmtId="41" fontId="3" fillId="21" borderId="2" xfId="3" applyFont="1" applyFill="1" applyBorder="1"/>
    <xf numFmtId="41" fontId="14" fillId="0" borderId="2" xfId="0" applyNumberFormat="1" applyFont="1" applyBorder="1"/>
    <xf numFmtId="41" fontId="14" fillId="0" borderId="2" xfId="3" applyFont="1" applyFill="1" applyBorder="1"/>
    <xf numFmtId="0" fontId="3" fillId="0" borderId="2" xfId="0" applyFont="1" applyBorder="1" applyAlignment="1">
      <alignment horizontal="center"/>
    </xf>
    <xf numFmtId="9" fontId="3" fillId="0" borderId="2" xfId="2" applyFont="1" applyBorder="1" applyAlignment="1">
      <alignment horizontal="center"/>
    </xf>
    <xf numFmtId="0" fontId="3" fillId="0" borderId="34" xfId="0" applyFont="1" applyBorder="1"/>
    <xf numFmtId="0" fontId="6" fillId="25" borderId="34" xfId="0" applyFont="1" applyFill="1" applyBorder="1" applyAlignment="1">
      <alignment horizontal="center" vertical="center"/>
    </xf>
    <xf numFmtId="0" fontId="6" fillId="25" borderId="2" xfId="0" applyFont="1" applyFill="1" applyBorder="1" applyAlignment="1">
      <alignment horizontal="center" vertical="center"/>
    </xf>
    <xf numFmtId="9" fontId="3" fillId="0" borderId="3" xfId="2" applyFont="1" applyBorder="1" applyAlignment="1">
      <alignment horizontal="center"/>
    </xf>
    <xf numFmtId="0" fontId="3" fillId="18" borderId="4" xfId="0" applyFont="1" applyFill="1" applyBorder="1"/>
    <xf numFmtId="0" fontId="3" fillId="18" borderId="2" xfId="0" applyFont="1" applyFill="1" applyBorder="1"/>
    <xf numFmtId="0" fontId="3" fillId="18" borderId="3" xfId="0" applyFont="1" applyFill="1" applyBorder="1"/>
    <xf numFmtId="9" fontId="3" fillId="26" borderId="2" xfId="2" applyFont="1" applyFill="1" applyBorder="1" applyAlignment="1">
      <alignment horizontal="center"/>
    </xf>
    <xf numFmtId="0" fontId="3" fillId="18" borderId="15" xfId="0" applyFont="1" applyFill="1" applyBorder="1"/>
    <xf numFmtId="9" fontId="3" fillId="0" borderId="4" xfId="2" applyFont="1" applyBorder="1" applyAlignment="1">
      <alignment horizontal="center"/>
    </xf>
    <xf numFmtId="0" fontId="3" fillId="0" borderId="19" xfId="0" applyFont="1" applyBorder="1"/>
    <xf numFmtId="41" fontId="3" fillId="0" borderId="2" xfId="3" applyFont="1" applyBorder="1" applyAlignment="1">
      <alignment vertical="center" wrapText="1"/>
    </xf>
    <xf numFmtId="41" fontId="18" fillId="0" borderId="2" xfId="0" applyNumberFormat="1" applyFont="1" applyBorder="1"/>
    <xf numFmtId="0" fontId="6" fillId="25" borderId="2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left" vertical="center" wrapText="1"/>
    </xf>
    <xf numFmtId="166" fontId="14" fillId="0" borderId="0" xfId="0" applyNumberFormat="1" applyFont="1"/>
    <xf numFmtId="166" fontId="3" fillId="0" borderId="2" xfId="0" applyNumberFormat="1" applyFont="1" applyFill="1" applyBorder="1"/>
    <xf numFmtId="166" fontId="4" fillId="0" borderId="2" xfId="1" applyNumberFormat="1" applyFont="1" applyBorder="1"/>
    <xf numFmtId="0" fontId="6" fillId="25" borderId="4" xfId="0" applyFont="1" applyFill="1" applyBorder="1"/>
    <xf numFmtId="0" fontId="3" fillId="26" borderId="2" xfId="0" applyFont="1" applyFill="1" applyBorder="1"/>
    <xf numFmtId="0" fontId="6" fillId="25" borderId="2" xfId="0" applyFont="1" applyFill="1" applyBorder="1"/>
    <xf numFmtId="166" fontId="6" fillId="25" borderId="2" xfId="0" applyNumberFormat="1" applyFont="1" applyFill="1" applyBorder="1"/>
    <xf numFmtId="166" fontId="3" fillId="0" borderId="2" xfId="0" applyNumberFormat="1" applyFont="1" applyBorder="1" applyAlignment="1">
      <alignment horizontal="left" indent="2"/>
    </xf>
    <xf numFmtId="41" fontId="3" fillId="0" borderId="2" xfId="3" applyFont="1" applyBorder="1" applyAlignment="1">
      <alignment horizontal="left" indent="2"/>
    </xf>
    <xf numFmtId="164" fontId="3" fillId="0" borderId="2" xfId="3" applyNumberFormat="1" applyFont="1" applyBorder="1"/>
    <xf numFmtId="9" fontId="3" fillId="0" borderId="2" xfId="0" applyNumberFormat="1" applyFont="1" applyBorder="1"/>
    <xf numFmtId="9" fontId="3" fillId="26" borderId="2" xfId="0" applyNumberFormat="1" applyFont="1" applyFill="1" applyBorder="1"/>
    <xf numFmtId="41" fontId="12" fillId="0" borderId="0" xfId="3" applyFont="1"/>
    <xf numFmtId="41" fontId="14" fillId="11" borderId="0" xfId="3" applyFont="1" applyFill="1"/>
    <xf numFmtId="167" fontId="6" fillId="11" borderId="0" xfId="2" applyNumberFormat="1" applyFont="1" applyFill="1"/>
    <xf numFmtId="0" fontId="3" fillId="0" borderId="39" xfId="0" applyFont="1" applyBorder="1"/>
    <xf numFmtId="41" fontId="6" fillId="11" borderId="37" xfId="3" applyFont="1" applyFill="1" applyBorder="1" applyAlignment="1"/>
    <xf numFmtId="41" fontId="6" fillId="11" borderId="37" xfId="3" applyFont="1" applyFill="1" applyBorder="1" applyAlignment="1">
      <alignment vertical="center" wrapText="1"/>
    </xf>
    <xf numFmtId="0" fontId="3" fillId="11" borderId="37" xfId="0" applyFont="1" applyFill="1" applyBorder="1"/>
    <xf numFmtId="0" fontId="14" fillId="11" borderId="0" xfId="0" applyFont="1" applyFill="1" applyBorder="1"/>
    <xf numFmtId="0" fontId="17" fillId="0" borderId="0" xfId="0" applyFont="1" applyBorder="1" applyAlignment="1"/>
    <xf numFmtId="41" fontId="3" fillId="0" borderId="2" xfId="3" applyFont="1" applyBorder="1" applyAlignment="1">
      <alignment horizontal="center"/>
    </xf>
    <xf numFmtId="0" fontId="6" fillId="19" borderId="2" xfId="0" applyFont="1" applyFill="1" applyBorder="1"/>
    <xf numFmtId="0" fontId="3" fillId="0" borderId="2" xfId="0" applyFont="1" applyBorder="1" applyAlignment="1">
      <alignment horizontal="right"/>
    </xf>
    <xf numFmtId="41" fontId="3" fillId="0" borderId="2" xfId="3" applyFont="1" applyBorder="1" applyAlignment="1">
      <alignment horizontal="right"/>
    </xf>
    <xf numFmtId="41" fontId="4" fillId="0" borderId="2" xfId="3" applyFont="1" applyBorder="1"/>
    <xf numFmtId="0" fontId="3" fillId="0" borderId="2" xfId="0" applyFont="1" applyBorder="1" applyAlignment="1">
      <alignment horizontal="left" vertical="center"/>
    </xf>
    <xf numFmtId="41" fontId="3" fillId="0" borderId="2" xfId="3" applyFont="1" applyBorder="1" applyAlignment="1">
      <alignment horizontal="left" vertical="center"/>
    </xf>
    <xf numFmtId="41" fontId="3" fillId="0" borderId="2" xfId="3" applyFont="1" applyBorder="1" applyAlignment="1">
      <alignment horizontal="center" vertical="center"/>
    </xf>
    <xf numFmtId="41" fontId="3" fillId="5" borderId="2" xfId="3" applyFont="1" applyFill="1" applyBorder="1" applyAlignment="1">
      <alignment horizontal="left" vertical="center"/>
    </xf>
    <xf numFmtId="41" fontId="4" fillId="5" borderId="2" xfId="3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6" fillId="19" borderId="2" xfId="0" applyFont="1" applyFill="1" applyBorder="1" applyAlignment="1">
      <alignment horizontal="left" vertical="center"/>
    </xf>
    <xf numFmtId="41" fontId="4" fillId="0" borderId="2" xfId="3" applyFont="1" applyBorder="1" applyAlignment="1">
      <alignment horizontal="center" vertical="center"/>
    </xf>
    <xf numFmtId="41" fontId="6" fillId="25" borderId="2" xfId="3" applyFont="1" applyFill="1" applyBorder="1" applyAlignment="1">
      <alignment horizontal="center" vertical="center"/>
    </xf>
    <xf numFmtId="41" fontId="6" fillId="11" borderId="0" xfId="3" applyFont="1" applyFill="1"/>
    <xf numFmtId="170" fontId="14" fillId="11" borderId="0" xfId="3" applyNumberFormat="1" applyFont="1" applyFill="1"/>
    <xf numFmtId="9" fontId="14" fillId="11" borderId="0" xfId="2" applyFont="1" applyFill="1"/>
    <xf numFmtId="3" fontId="6" fillId="11" borderId="0" xfId="5" applyNumberFormat="1" applyFont="1" applyFill="1" applyBorder="1" applyAlignment="1">
      <alignment vertical="center" wrapText="1"/>
    </xf>
    <xf numFmtId="3" fontId="12" fillId="0" borderId="4" xfId="6" applyNumberFormat="1" applyFont="1" applyFill="1" applyBorder="1" applyAlignment="1">
      <alignment vertical="center" wrapText="1"/>
    </xf>
    <xf numFmtId="167" fontId="12" fillId="0" borderId="4" xfId="8" applyNumberFormat="1" applyFont="1" applyFill="1" applyBorder="1" applyAlignment="1">
      <alignment vertical="center" wrapText="1"/>
    </xf>
    <xf numFmtId="3" fontId="12" fillId="0" borderId="2" xfId="6" applyNumberFormat="1" applyFont="1" applyFill="1" applyBorder="1" applyAlignment="1">
      <alignment vertical="center" wrapText="1"/>
    </xf>
    <xf numFmtId="167" fontId="12" fillId="0" borderId="2" xfId="8" applyNumberFormat="1" applyFont="1" applyFill="1" applyBorder="1" applyAlignment="1">
      <alignment vertical="center" wrapText="1"/>
    </xf>
    <xf numFmtId="3" fontId="12" fillId="0" borderId="14" xfId="6" applyNumberFormat="1" applyFont="1" applyFill="1" applyBorder="1" applyAlignment="1">
      <alignment vertical="center" wrapText="1"/>
    </xf>
    <xf numFmtId="167" fontId="12" fillId="0" borderId="14" xfId="8" applyNumberFormat="1" applyFont="1" applyFill="1" applyBorder="1" applyAlignment="1">
      <alignment vertical="center" wrapText="1"/>
    </xf>
    <xf numFmtId="3" fontId="15" fillId="11" borderId="0" xfId="5" applyNumberFormat="1" applyFont="1" applyFill="1" applyBorder="1" applyAlignment="1">
      <alignment horizontal="left" vertical="center" wrapText="1"/>
    </xf>
    <xf numFmtId="166" fontId="13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10" fontId="18" fillId="0" borderId="0" xfId="2" applyNumberFormat="1" applyFont="1" applyAlignment="1">
      <alignment horizontal="center"/>
    </xf>
    <xf numFmtId="0" fontId="17" fillId="0" borderId="0" xfId="0" applyFont="1"/>
    <xf numFmtId="9" fontId="12" fillId="0" borderId="0" xfId="0" applyNumberFormat="1" applyFont="1"/>
    <xf numFmtId="0" fontId="6" fillId="0" borderId="43" xfId="0" applyFont="1" applyBorder="1" applyAlignment="1">
      <alignment horizontal="centerContinuous"/>
    </xf>
    <xf numFmtId="0" fontId="14" fillId="0" borderId="43" xfId="0" applyFont="1" applyBorder="1" applyAlignment="1">
      <alignment horizontal="centerContinuous"/>
    </xf>
    <xf numFmtId="0" fontId="14" fillId="0" borderId="43" xfId="0" applyFont="1" applyBorder="1"/>
    <xf numFmtId="166" fontId="14" fillId="0" borderId="43" xfId="1" applyNumberFormat="1" applyFont="1" applyBorder="1"/>
    <xf numFmtId="0" fontId="6" fillId="0" borderId="43" xfId="0" applyFont="1" applyBorder="1"/>
    <xf numFmtId="166" fontId="6" fillId="0" borderId="43" xfId="1" applyNumberFormat="1" applyFont="1" applyBorder="1"/>
    <xf numFmtId="4" fontId="14" fillId="0" borderId="43" xfId="0" applyNumberFormat="1" applyFont="1" applyBorder="1"/>
    <xf numFmtId="9" fontId="13" fillId="27" borderId="0" xfId="0" applyNumberFormat="1" applyFont="1" applyFill="1"/>
    <xf numFmtId="165" fontId="12" fillId="0" borderId="4" xfId="4" applyFont="1" applyFill="1" applyBorder="1" applyAlignment="1">
      <alignment horizontal="center" vertical="center" wrapText="1"/>
    </xf>
    <xf numFmtId="165" fontId="12" fillId="0" borderId="7" xfId="4" applyFont="1" applyFill="1" applyBorder="1" applyAlignment="1">
      <alignment horizontal="center" vertical="center" wrapText="1"/>
    </xf>
    <xf numFmtId="165" fontId="12" fillId="0" borderId="14" xfId="4" applyFont="1" applyFill="1" applyBorder="1" applyAlignment="1">
      <alignment horizontal="center" vertical="center" wrapText="1"/>
    </xf>
    <xf numFmtId="166" fontId="6" fillId="23" borderId="2" xfId="0" applyNumberFormat="1" applyFont="1" applyFill="1" applyBorder="1"/>
    <xf numFmtId="0" fontId="6" fillId="23" borderId="2" xfId="0" applyFont="1" applyFill="1" applyBorder="1"/>
    <xf numFmtId="0" fontId="6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166" fontId="6" fillId="9" borderId="2" xfId="0" applyNumberFormat="1" applyFont="1" applyFill="1" applyBorder="1"/>
    <xf numFmtId="166" fontId="6" fillId="9" borderId="2" xfId="0" applyNumberFormat="1" applyFont="1" applyFill="1" applyBorder="1" applyAlignment="1">
      <alignment horizontal="center"/>
    </xf>
    <xf numFmtId="0" fontId="3" fillId="9" borderId="2" xfId="0" applyFont="1" applyFill="1" applyBorder="1"/>
    <xf numFmtId="166" fontId="6" fillId="9" borderId="2" xfId="0" applyNumberFormat="1" applyFont="1" applyFill="1" applyBorder="1" applyAlignment="1">
      <alignment horizontal="center" vertical="center"/>
    </xf>
    <xf numFmtId="166" fontId="3" fillId="9" borderId="2" xfId="0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6" fillId="9" borderId="2" xfId="0" applyFont="1" applyFill="1" applyBorder="1"/>
    <xf numFmtId="0" fontId="6" fillId="9" borderId="2" xfId="0" applyFont="1" applyFill="1" applyBorder="1" applyAlignment="1">
      <alignment horizontal="center" vertical="center"/>
    </xf>
    <xf numFmtId="0" fontId="4" fillId="9" borderId="2" xfId="0" applyFont="1" applyFill="1" applyBorder="1"/>
    <xf numFmtId="166" fontId="6" fillId="9" borderId="2" xfId="1" applyNumberFormat="1" applyFont="1" applyFill="1" applyBorder="1"/>
    <xf numFmtId="166" fontId="14" fillId="9" borderId="2" xfId="1" applyNumberFormat="1" applyFont="1" applyFill="1" applyBorder="1"/>
    <xf numFmtId="0" fontId="6" fillId="9" borderId="2" xfId="0" applyFont="1" applyFill="1" applyBorder="1" applyAlignment="1">
      <alignment horizontal="left"/>
    </xf>
    <xf numFmtId="41" fontId="14" fillId="9" borderId="2" xfId="3" applyFont="1" applyFill="1" applyBorder="1"/>
    <xf numFmtId="0" fontId="6" fillId="9" borderId="22" xfId="0" applyFont="1" applyFill="1" applyBorder="1" applyAlignment="1">
      <alignment horizontal="center" wrapText="1"/>
    </xf>
    <xf numFmtId="0" fontId="6" fillId="9" borderId="23" xfId="0" applyFont="1" applyFill="1" applyBorder="1" applyAlignment="1">
      <alignment horizontal="center" wrapText="1"/>
    </xf>
    <xf numFmtId="0" fontId="6" fillId="9" borderId="32" xfId="0" applyFont="1" applyFill="1" applyBorder="1" applyAlignment="1">
      <alignment horizont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6" fillId="19" borderId="3" xfId="0" applyFont="1" applyFill="1" applyBorder="1" applyAlignment="1">
      <alignment horizontal="left" vertical="center"/>
    </xf>
    <xf numFmtId="0" fontId="6" fillId="19" borderId="4" xfId="0" applyFont="1" applyFill="1" applyBorder="1" applyAlignment="1">
      <alignment horizontal="left" vertical="center"/>
    </xf>
    <xf numFmtId="0" fontId="6" fillId="25" borderId="2" xfId="0" applyFont="1" applyFill="1" applyBorder="1" applyAlignment="1">
      <alignment horizontal="center"/>
    </xf>
    <xf numFmtId="0" fontId="6" fillId="25" borderId="0" xfId="0" applyFont="1" applyFill="1" applyAlignment="1">
      <alignment horizontal="center"/>
    </xf>
    <xf numFmtId="0" fontId="14" fillId="25" borderId="0" xfId="0" applyFont="1" applyFill="1" applyAlignment="1">
      <alignment horizontal="center"/>
    </xf>
    <xf numFmtId="41" fontId="3" fillId="0" borderId="2" xfId="3" applyFont="1" applyBorder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6" fillId="23" borderId="3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41" fontId="6" fillId="24" borderId="1" xfId="3" applyFont="1" applyFill="1" applyBorder="1" applyAlignment="1">
      <alignment horizontal="center" vertical="center" wrapText="1"/>
    </xf>
    <xf numFmtId="41" fontId="6" fillId="24" borderId="39" xfId="3" applyFont="1" applyFill="1" applyBorder="1" applyAlignment="1">
      <alignment horizontal="center" vertical="center" wrapText="1"/>
    </xf>
    <xf numFmtId="41" fontId="6" fillId="24" borderId="41" xfId="3" applyFont="1" applyFill="1" applyBorder="1" applyAlignment="1">
      <alignment horizontal="center" vertical="center" wrapText="1"/>
    </xf>
    <xf numFmtId="41" fontId="6" fillId="24" borderId="38" xfId="3" applyFont="1" applyFill="1" applyBorder="1" applyAlignment="1">
      <alignment horizontal="center" vertical="center" wrapText="1"/>
    </xf>
    <xf numFmtId="41" fontId="6" fillId="24" borderId="35" xfId="3" applyFont="1" applyFill="1" applyBorder="1" applyAlignment="1">
      <alignment horizontal="center"/>
    </xf>
    <xf numFmtId="41" fontId="6" fillId="24" borderId="34" xfId="3" applyFont="1" applyFill="1" applyBorder="1" applyAlignment="1">
      <alignment horizontal="center"/>
    </xf>
    <xf numFmtId="0" fontId="6" fillId="24" borderId="3" xfId="0" applyFont="1" applyFill="1" applyBorder="1" applyAlignment="1">
      <alignment horizontal="center" vertical="center" wrapText="1"/>
    </xf>
    <xf numFmtId="0" fontId="6" fillId="24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41" fontId="3" fillId="0" borderId="2" xfId="3" applyFont="1" applyBorder="1" applyAlignment="1">
      <alignment horizont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3" fontId="7" fillId="12" borderId="22" xfId="5" applyNumberFormat="1" applyFont="1" applyFill="1" applyBorder="1" applyAlignment="1">
      <alignment horizontal="center" vertical="center" wrapText="1"/>
    </xf>
    <xf numFmtId="3" fontId="7" fillId="12" borderId="23" xfId="5" applyNumberFormat="1" applyFont="1" applyFill="1" applyBorder="1" applyAlignment="1">
      <alignment horizontal="center" vertical="center" wrapText="1"/>
    </xf>
    <xf numFmtId="3" fontId="7" fillId="12" borderId="24" xfId="5" applyNumberFormat="1" applyFont="1" applyFill="1" applyBorder="1" applyAlignment="1">
      <alignment horizontal="center" vertical="center" wrapText="1"/>
    </xf>
    <xf numFmtId="3" fontId="15" fillId="11" borderId="0" xfId="5" applyNumberFormat="1" applyFont="1" applyFill="1" applyBorder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7" borderId="3" xfId="0" applyFont="1" applyFill="1" applyBorder="1" applyAlignment="1">
      <alignment horizontal="center" vertical="center" textRotation="90"/>
    </xf>
    <xf numFmtId="0" fontId="11" fillId="7" borderId="5" xfId="0" applyFont="1" applyFill="1" applyBorder="1" applyAlignment="1">
      <alignment horizontal="center" vertical="center" textRotation="90"/>
    </xf>
    <xf numFmtId="0" fontId="11" fillId="7" borderId="4" xfId="0" applyFont="1" applyFill="1" applyBorder="1" applyAlignment="1">
      <alignment horizontal="center" vertical="center" textRotation="90"/>
    </xf>
    <xf numFmtId="0" fontId="4" fillId="5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6" fillId="25" borderId="2" xfId="0" applyFont="1" applyFill="1" applyBorder="1" applyAlignment="1">
      <alignment horizontal="center" vertical="center"/>
    </xf>
    <xf numFmtId="0" fontId="6" fillId="25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166" fontId="6" fillId="9" borderId="41" xfId="0" applyNumberFormat="1" applyFont="1" applyFill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166" fontId="3" fillId="0" borderId="36" xfId="0" applyNumberFormat="1" applyFont="1" applyBorder="1" applyAlignment="1">
      <alignment horizontal="center"/>
    </xf>
    <xf numFmtId="166" fontId="3" fillId="0" borderId="35" xfId="0" applyNumberFormat="1" applyFont="1" applyBorder="1" applyAlignment="1">
      <alignment horizontal="center"/>
    </xf>
    <xf numFmtId="166" fontId="3" fillId="0" borderId="34" xfId="0" applyNumberFormat="1" applyFont="1" applyBorder="1" applyAlignment="1">
      <alignment horizontal="center"/>
    </xf>
    <xf numFmtId="0" fontId="6" fillId="9" borderId="4" xfId="0" applyFont="1" applyFill="1" applyBorder="1" applyAlignment="1">
      <alignment horizontal="center" vertical="center"/>
    </xf>
    <xf numFmtId="0" fontId="24" fillId="23" borderId="36" xfId="0" applyFont="1" applyFill="1" applyBorder="1" applyAlignment="1">
      <alignment horizontal="left"/>
    </xf>
    <xf numFmtId="0" fontId="24" fillId="23" borderId="35" xfId="0" applyFont="1" applyFill="1" applyBorder="1" applyAlignment="1">
      <alignment horizontal="left"/>
    </xf>
    <xf numFmtId="0" fontId="24" fillId="23" borderId="34" xfId="0" applyFont="1" applyFill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23" fillId="9" borderId="41" xfId="0" applyFont="1" applyFill="1" applyBorder="1" applyAlignment="1">
      <alignment horizontal="center" vertical="center"/>
    </xf>
    <xf numFmtId="167" fontId="9" fillId="2" borderId="2" xfId="0" applyNumberFormat="1" applyFont="1" applyFill="1" applyBorder="1"/>
    <xf numFmtId="4" fontId="9" fillId="2" borderId="2" xfId="2" applyNumberFormat="1" applyFont="1" applyFill="1" applyBorder="1"/>
    <xf numFmtId="4" fontId="3" fillId="2" borderId="2" xfId="0" applyNumberFormat="1" applyFont="1" applyFill="1" applyBorder="1"/>
    <xf numFmtId="8" fontId="3" fillId="0" borderId="2" xfId="0" applyNumberFormat="1" applyFont="1" applyBorder="1"/>
    <xf numFmtId="8" fontId="3" fillId="2" borderId="2" xfId="0" applyNumberFormat="1" applyFont="1" applyFill="1" applyBorder="1"/>
    <xf numFmtId="166" fontId="3" fillId="2" borderId="2" xfId="1" applyNumberFormat="1" applyFont="1" applyFill="1" applyBorder="1"/>
    <xf numFmtId="9" fontId="3" fillId="21" borderId="2" xfId="0" applyNumberFormat="1" applyFont="1" applyFill="1" applyBorder="1"/>
    <xf numFmtId="0" fontId="3" fillId="0" borderId="2" xfId="0" applyFont="1" applyBorder="1" applyAlignment="1">
      <alignment wrapText="1"/>
    </xf>
    <xf numFmtId="0" fontId="3" fillId="21" borderId="2" xfId="0" applyFont="1" applyFill="1" applyBorder="1"/>
    <xf numFmtId="9" fontId="22" fillId="21" borderId="2" xfId="0" applyNumberFormat="1" applyFont="1" applyFill="1" applyBorder="1"/>
    <xf numFmtId="10" fontId="3" fillId="21" borderId="2" xfId="0" applyNumberFormat="1" applyFont="1" applyFill="1" applyBorder="1"/>
  </cellXfs>
  <cellStyles count="9">
    <cellStyle name="Millares" xfId="1" builtinId="3"/>
    <cellStyle name="Millares [0]" xfId="3" builtinId="6"/>
    <cellStyle name="Millares [0] 2" xfId="6" xr:uid="{8363B431-6EFE-4720-AC91-2F0B28066A90}"/>
    <cellStyle name="Millares 2" xfId="7" xr:uid="{FDBA6265-3A6C-4E25-AC39-8683098B212F}"/>
    <cellStyle name="Moneda [0]" xfId="4" builtinId="7"/>
    <cellStyle name="Normal" xfId="0" builtinId="0"/>
    <cellStyle name="Normal 2" xfId="5" xr:uid="{B1AD7696-7B76-4B84-A828-8C585BDED993}"/>
    <cellStyle name="Porcentaje" xfId="2" builtinId="5"/>
    <cellStyle name="Porcentaje 2" xfId="8" xr:uid="{27D95E4B-6EDA-4502-B9C5-35F11938CB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.3 C&#225;lculo Gastos Admon &amp; Vtas'!A1"/><Relationship Id="rId13" Type="http://schemas.openxmlformats.org/officeDocument/2006/relationships/hyperlink" Target="#'4.2 Balance Proyectado'!A1"/><Relationship Id="rId3" Type="http://schemas.openxmlformats.org/officeDocument/2006/relationships/hyperlink" Target="#'1.2 Base C&#225;lculo de Precio'!A1"/><Relationship Id="rId7" Type="http://schemas.openxmlformats.org/officeDocument/2006/relationships/hyperlink" Target="#'2.2 C&#225;lculo Ingreso PPU'!A1"/><Relationship Id="rId12" Type="http://schemas.openxmlformats.org/officeDocument/2006/relationships/hyperlink" Target="#'4.0 Balance Base'!A1"/><Relationship Id="rId2" Type="http://schemas.openxmlformats.org/officeDocument/2006/relationships/hyperlink" Target="#'1.1 Base Plan de Mercadeo'!A1"/><Relationship Id="rId1" Type="http://schemas.openxmlformats.org/officeDocument/2006/relationships/image" Target="../media/image1.tiff"/><Relationship Id="rId6" Type="http://schemas.openxmlformats.org/officeDocument/2006/relationships/hyperlink" Target="#'2.1 C&#225;lculo Ingreso por Fee'!A1"/><Relationship Id="rId11" Type="http://schemas.openxmlformats.org/officeDocument/2006/relationships/hyperlink" Target="#'5. Indic Finan'!A1"/><Relationship Id="rId5" Type="http://schemas.openxmlformats.org/officeDocument/2006/relationships/hyperlink" Target="#'1.4 Base Otros Supuestos'!A1"/><Relationship Id="rId10" Type="http://schemas.openxmlformats.org/officeDocument/2006/relationships/hyperlink" Target="#'4.1 Resultados Proyectados'!A1"/><Relationship Id="rId4" Type="http://schemas.openxmlformats.org/officeDocument/2006/relationships/hyperlink" Target="#'1.3 Base C&#225;lculo Part. Mercado'!A1"/><Relationship Id="rId9" Type="http://schemas.openxmlformats.org/officeDocument/2006/relationships/hyperlink" Target="#'3 Proyecciones Otros Periodos'!A1"/><Relationship Id="rId14" Type="http://schemas.openxmlformats.org/officeDocument/2006/relationships/hyperlink" Target="#'6. Flujo de Caja &amp; VPN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0. Presentaci&#243;n'!A1"/><Relationship Id="rId1" Type="http://schemas.openxmlformats.org/officeDocument/2006/relationships/image" Target="../media/image1.tif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0. Presentaci&#243;n'!A1"/><Relationship Id="rId1" Type="http://schemas.openxmlformats.org/officeDocument/2006/relationships/image" Target="../media/image1.tif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0. Presentaci&#243;n'!A1"/><Relationship Id="rId1" Type="http://schemas.openxmlformats.org/officeDocument/2006/relationships/image" Target="../media/image1.tif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0. Presentaci&#243;n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'0. Presentaci&#243;n'!A1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0. Presentaci&#243;n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0. Presentaci&#243;n'!A1"/><Relationship Id="rId1" Type="http://schemas.openxmlformats.org/officeDocument/2006/relationships/image" Target="../media/image2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0. Presentaci&#243;n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0. Presentaci&#243;n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0. Presentaci&#243;n'!A1"/><Relationship Id="rId1" Type="http://schemas.openxmlformats.org/officeDocument/2006/relationships/image" Target="../media/image1.tif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0. Presentaci&#243;n'!A1"/><Relationship Id="rId1" Type="http://schemas.openxmlformats.org/officeDocument/2006/relationships/image" Target="../media/image1.tif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0. Presentaci&#243;n'!A1"/><Relationship Id="rId1" Type="http://schemas.openxmlformats.org/officeDocument/2006/relationships/image" Target="../media/image1.tif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0. Presentaci&#243;n'!A1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163286</xdr:colOff>
      <xdr:row>5</xdr:row>
      <xdr:rowOff>13607</xdr:rowOff>
    </xdr:from>
    <xdr:to>
      <xdr:col>16</xdr:col>
      <xdr:colOff>476250</xdr:colOff>
      <xdr:row>17</xdr:row>
      <xdr:rowOff>65768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99B0791-E2BF-E342-912E-D053E26D69FB}"/>
            </a:ext>
          </a:extLst>
        </xdr:cNvPr>
        <xdr:cNvSpPr txBox="1">
          <a:spLocks noChangeArrowheads="1"/>
        </xdr:cNvSpPr>
      </xdr:nvSpPr>
      <xdr:spPr bwMode="auto">
        <a:xfrm>
          <a:off x="163286" y="966107"/>
          <a:ext cx="12504964" cy="2338161"/>
        </a:xfrm>
        <a:prstGeom prst="rect">
          <a:avLst/>
        </a:prstGeom>
        <a:ln>
          <a:headEnd/>
          <a:tailEnd/>
        </a:ln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7432" rIns="0" bIns="0" anchor="t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6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TÍTULO DE DOCUMENTO:  </a:t>
          </a:r>
          <a:r>
            <a:rPr lang="es-CO" sz="1600" b="1">
              <a:effectLst/>
              <a:latin typeface="+mn-lt"/>
              <a:ea typeface="+mn-ea"/>
              <a:cs typeface="+mn-cs"/>
            </a:rPr>
            <a:t>Viabilidad de negocio de una aplicación para búsqueda de empleo en Colombia a través del licenciamiento de tecnología</a:t>
          </a:r>
          <a:endParaRPr lang="es-CO" sz="1600">
            <a:effectLst/>
            <a:latin typeface="+mn-lt"/>
            <a:ea typeface="+mn-ea"/>
            <a:cs typeface="+mn-cs"/>
          </a:endParaRPr>
        </a:p>
        <a:p>
          <a:pPr algn="ctr"/>
          <a:endParaRPr lang="es-CO" sz="1200" b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es-CO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Adaptado de Ortiz, H. (2013), Finanzas Básicas para No Financieros: Bogotá. Cengage – Página 313</a:t>
          </a:r>
          <a:endParaRPr lang="es-CO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es-CO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TIPO DE ACTIVIDAD: </a:t>
          </a:r>
          <a:r>
            <a:rPr lang="es-CO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SIMULACIÓN</a:t>
          </a:r>
        </a:p>
        <a:p>
          <a:pPr algn="ctr"/>
          <a:r>
            <a:rPr lang="es-CO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TEMA: </a:t>
          </a:r>
          <a:r>
            <a:rPr lang="es-CO" sz="1200" b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O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Proyección de Estados Financieros</a:t>
          </a:r>
        </a:p>
        <a:p>
          <a:pPr algn="ctr"/>
          <a:r>
            <a:rPr lang="es-CO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VERSIÓN: </a:t>
          </a:r>
          <a:r>
            <a:rPr lang="es-CO" sz="120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endParaRPr lang="es-CO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es-CO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FECHA ÚLTIMA MODIFICACIÓN: </a:t>
          </a:r>
          <a:r>
            <a:rPr lang="es-CO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10-Feb-2017</a:t>
          </a:r>
        </a:p>
        <a:p>
          <a:pPr algn="ctr"/>
          <a:r>
            <a:rPr lang="es-CO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AUTOR ORIGINAL: </a:t>
          </a:r>
          <a:r>
            <a:rPr lang="es-CO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William Zulúaga Muñoz</a:t>
          </a:r>
        </a:p>
        <a:p>
          <a:pPr algn="ctr"/>
          <a:r>
            <a:rPr lang="es-CO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MODIFICADO</a:t>
          </a:r>
          <a:r>
            <a:rPr lang="es-CO" sz="12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Y ADAPTADO</a:t>
          </a:r>
          <a:r>
            <a:rPr lang="es-CO" sz="12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Vicente Emilio Cálad R. - Zaret Forero Tayo</a:t>
          </a:r>
        </a:p>
        <a:p>
          <a:pPr algn="ctr"/>
          <a:r>
            <a:rPr lang="es-CO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Bogotá, Abril</a:t>
          </a:r>
          <a:r>
            <a:rPr lang="es-CO" sz="12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2021</a:t>
          </a:r>
          <a:endParaRPr lang="es-CO" sz="1200" b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CO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s-CO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s-CO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endParaRPr lang="es-CO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</xdr:colOff>
      <xdr:row>0</xdr:row>
      <xdr:rowOff>0</xdr:rowOff>
    </xdr:from>
    <xdr:to>
      <xdr:col>4</xdr:col>
      <xdr:colOff>295803</xdr:colOff>
      <xdr:row>4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B0C74F-3DF7-CA40-B07D-932E77756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0"/>
          <a:ext cx="3550179" cy="942975"/>
        </a:xfrm>
        <a:prstGeom prst="rect">
          <a:avLst/>
        </a:prstGeom>
      </xdr:spPr>
    </xdr:pic>
    <xdr:clientData/>
  </xdr:twoCellAnchor>
  <xdr:twoCellAnchor>
    <xdr:from>
      <xdr:col>1</xdr:col>
      <xdr:colOff>108856</xdr:colOff>
      <xdr:row>18</xdr:row>
      <xdr:rowOff>13606</xdr:rowOff>
    </xdr:from>
    <xdr:to>
      <xdr:col>3</xdr:col>
      <xdr:colOff>734785</xdr:colOff>
      <xdr:row>20</xdr:row>
      <xdr:rowOff>122464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64A930-E789-4D68-952E-B26D4A82A0B7}"/>
            </a:ext>
          </a:extLst>
        </xdr:cNvPr>
        <xdr:cNvSpPr/>
      </xdr:nvSpPr>
      <xdr:spPr>
        <a:xfrm>
          <a:off x="870856" y="3442606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1.1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Base plan de mercadeo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97971</xdr:colOff>
      <xdr:row>21</xdr:row>
      <xdr:rowOff>125184</xdr:rowOff>
    </xdr:from>
    <xdr:to>
      <xdr:col>3</xdr:col>
      <xdr:colOff>723900</xdr:colOff>
      <xdr:row>24</xdr:row>
      <xdr:rowOff>43542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8D7CA4-D09B-4EC1-B696-503A9B4F12D1}"/>
            </a:ext>
          </a:extLst>
        </xdr:cNvPr>
        <xdr:cNvSpPr/>
      </xdr:nvSpPr>
      <xdr:spPr>
        <a:xfrm>
          <a:off x="859971" y="4125684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1.2 Base cálculo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de precio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114300</xdr:colOff>
      <xdr:row>25</xdr:row>
      <xdr:rowOff>46262</xdr:rowOff>
    </xdr:from>
    <xdr:to>
      <xdr:col>3</xdr:col>
      <xdr:colOff>740229</xdr:colOff>
      <xdr:row>27</xdr:row>
      <xdr:rowOff>155120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C54A98-7A1C-4CD0-8692-45B6CA0B4323}"/>
            </a:ext>
          </a:extLst>
        </xdr:cNvPr>
        <xdr:cNvSpPr/>
      </xdr:nvSpPr>
      <xdr:spPr>
        <a:xfrm>
          <a:off x="876300" y="4808762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1.3 Base cálculo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participación de mercado</a:t>
          </a:r>
        </a:p>
      </xdr:txBody>
    </xdr:sp>
    <xdr:clientData/>
  </xdr:twoCellAnchor>
  <xdr:twoCellAnchor>
    <xdr:from>
      <xdr:col>1</xdr:col>
      <xdr:colOff>68035</xdr:colOff>
      <xdr:row>29</xdr:row>
      <xdr:rowOff>13607</xdr:rowOff>
    </xdr:from>
    <xdr:to>
      <xdr:col>3</xdr:col>
      <xdr:colOff>693964</xdr:colOff>
      <xdr:row>31</xdr:row>
      <xdr:rowOff>122465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85F279-E79E-48D7-9581-492CEA4BF212}"/>
            </a:ext>
          </a:extLst>
        </xdr:cNvPr>
        <xdr:cNvSpPr/>
      </xdr:nvSpPr>
      <xdr:spPr>
        <a:xfrm>
          <a:off x="830035" y="5538107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1.4 Base otros supuestos</a:t>
          </a:r>
          <a:endParaRPr lang="es-CO" sz="11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43541</xdr:colOff>
      <xdr:row>18</xdr:row>
      <xdr:rowOff>29935</xdr:rowOff>
    </xdr:from>
    <xdr:to>
      <xdr:col>7</xdr:col>
      <xdr:colOff>669470</xdr:colOff>
      <xdr:row>20</xdr:row>
      <xdr:rowOff>138793</xdr:rowOff>
    </xdr:to>
    <xdr:sp macro="" textlink="">
      <xdr:nvSpPr>
        <xdr:cNvPr id="8" name="Rectángulo: esquinas redondeada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9029AF-996F-4DDC-B18F-3DC2E0D3C464}"/>
            </a:ext>
          </a:extLst>
        </xdr:cNvPr>
        <xdr:cNvSpPr/>
      </xdr:nvSpPr>
      <xdr:spPr>
        <a:xfrm>
          <a:off x="3853541" y="3458935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2.1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Cálculo ingreso por Fee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32655</xdr:colOff>
      <xdr:row>21</xdr:row>
      <xdr:rowOff>100692</xdr:rowOff>
    </xdr:from>
    <xdr:to>
      <xdr:col>7</xdr:col>
      <xdr:colOff>658584</xdr:colOff>
      <xdr:row>24</xdr:row>
      <xdr:rowOff>19050</xdr:rowOff>
    </xdr:to>
    <xdr:sp macro="" textlink="">
      <xdr:nvSpPr>
        <xdr:cNvPr id="9" name="Rectángulo: esquinas redondeada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5F0F3F-7EDA-40E7-ABDA-9E18E90F002D}"/>
            </a:ext>
          </a:extLst>
        </xdr:cNvPr>
        <xdr:cNvSpPr/>
      </xdr:nvSpPr>
      <xdr:spPr>
        <a:xfrm>
          <a:off x="3842655" y="4101192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2.2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Cálculo ingreso PPU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27215</xdr:colOff>
      <xdr:row>25</xdr:row>
      <xdr:rowOff>54429</xdr:rowOff>
    </xdr:from>
    <xdr:to>
      <xdr:col>7</xdr:col>
      <xdr:colOff>653144</xdr:colOff>
      <xdr:row>27</xdr:row>
      <xdr:rowOff>163287</xdr:rowOff>
    </xdr:to>
    <xdr:sp macro="" textlink="">
      <xdr:nvSpPr>
        <xdr:cNvPr id="10" name="Rectángulo: esquinas redondeada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B1EF647-E399-4867-A6B5-1615F7A4DE44}"/>
            </a:ext>
          </a:extLst>
        </xdr:cNvPr>
        <xdr:cNvSpPr/>
      </xdr:nvSpPr>
      <xdr:spPr>
        <a:xfrm>
          <a:off x="3837215" y="4816929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2.3 Cálculo gastos administración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y ventas</a:t>
          </a:r>
        </a:p>
      </xdr:txBody>
    </xdr:sp>
    <xdr:clientData/>
  </xdr:twoCellAnchor>
  <xdr:twoCellAnchor>
    <xdr:from>
      <xdr:col>5</xdr:col>
      <xdr:colOff>32656</xdr:colOff>
      <xdr:row>29</xdr:row>
      <xdr:rowOff>19049</xdr:rowOff>
    </xdr:from>
    <xdr:to>
      <xdr:col>7</xdr:col>
      <xdr:colOff>658585</xdr:colOff>
      <xdr:row>31</xdr:row>
      <xdr:rowOff>127907</xdr:rowOff>
    </xdr:to>
    <xdr:sp macro="" textlink="">
      <xdr:nvSpPr>
        <xdr:cNvPr id="11" name="Rectángulo: esquinas redondeada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7CDB8BE-212B-405D-A9E0-B5F1BA2C87A9}"/>
            </a:ext>
          </a:extLst>
        </xdr:cNvPr>
        <xdr:cNvSpPr/>
      </xdr:nvSpPr>
      <xdr:spPr>
        <a:xfrm>
          <a:off x="3842656" y="5543549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3. Proyecciones otros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periodos</a:t>
          </a:r>
        </a:p>
      </xdr:txBody>
    </xdr:sp>
    <xdr:clientData/>
  </xdr:twoCellAnchor>
  <xdr:twoCellAnchor>
    <xdr:from>
      <xdr:col>9</xdr:col>
      <xdr:colOff>21770</xdr:colOff>
      <xdr:row>21</xdr:row>
      <xdr:rowOff>103413</xdr:rowOff>
    </xdr:from>
    <xdr:to>
      <xdr:col>11</xdr:col>
      <xdr:colOff>647699</xdr:colOff>
      <xdr:row>24</xdr:row>
      <xdr:rowOff>21771</xdr:rowOff>
    </xdr:to>
    <xdr:sp macro="" textlink="">
      <xdr:nvSpPr>
        <xdr:cNvPr id="12" name="Rectángulo: esquinas redondeada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7C16E12-DC74-4B39-A437-7E3C871250CD}"/>
            </a:ext>
          </a:extLst>
        </xdr:cNvPr>
        <xdr:cNvSpPr/>
      </xdr:nvSpPr>
      <xdr:spPr>
        <a:xfrm>
          <a:off x="6879770" y="4103913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4.1 Resultados proyectados</a:t>
          </a:r>
        </a:p>
      </xdr:txBody>
    </xdr:sp>
    <xdr:clientData/>
  </xdr:twoCellAnchor>
  <xdr:twoCellAnchor>
    <xdr:from>
      <xdr:col>8</xdr:col>
      <xdr:colOff>759276</xdr:colOff>
      <xdr:row>29</xdr:row>
      <xdr:rowOff>24493</xdr:rowOff>
    </xdr:from>
    <xdr:to>
      <xdr:col>11</xdr:col>
      <xdr:colOff>623205</xdr:colOff>
      <xdr:row>31</xdr:row>
      <xdr:rowOff>133351</xdr:rowOff>
    </xdr:to>
    <xdr:sp macro="" textlink="">
      <xdr:nvSpPr>
        <xdr:cNvPr id="13" name="Rectángulo: esquinas redondeada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792F9C1-71AB-4584-9089-09ED895C4A9F}"/>
            </a:ext>
          </a:extLst>
        </xdr:cNvPr>
        <xdr:cNvSpPr/>
      </xdr:nvSpPr>
      <xdr:spPr>
        <a:xfrm>
          <a:off x="6855276" y="5548993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5. Indicadores financieros</a:t>
          </a:r>
        </a:p>
      </xdr:txBody>
    </xdr:sp>
    <xdr:clientData/>
  </xdr:twoCellAnchor>
  <xdr:twoCellAnchor>
    <xdr:from>
      <xdr:col>8</xdr:col>
      <xdr:colOff>742949</xdr:colOff>
      <xdr:row>18</xdr:row>
      <xdr:rowOff>21770</xdr:rowOff>
    </xdr:from>
    <xdr:to>
      <xdr:col>11</xdr:col>
      <xdr:colOff>606878</xdr:colOff>
      <xdr:row>20</xdr:row>
      <xdr:rowOff>130628</xdr:rowOff>
    </xdr:to>
    <xdr:sp macro="" textlink="">
      <xdr:nvSpPr>
        <xdr:cNvPr id="14" name="Rectángulo: esquinas redondeada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63E1472-765E-44ED-B445-90DACECDADFD}"/>
            </a:ext>
          </a:extLst>
        </xdr:cNvPr>
        <xdr:cNvSpPr/>
      </xdr:nvSpPr>
      <xdr:spPr>
        <a:xfrm>
          <a:off x="6838949" y="3450770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4. Balance Base</a:t>
          </a:r>
        </a:p>
      </xdr:txBody>
    </xdr:sp>
    <xdr:clientData/>
  </xdr:twoCellAnchor>
  <xdr:twoCellAnchor>
    <xdr:from>
      <xdr:col>8</xdr:col>
      <xdr:colOff>761997</xdr:colOff>
      <xdr:row>25</xdr:row>
      <xdr:rowOff>54428</xdr:rowOff>
    </xdr:from>
    <xdr:to>
      <xdr:col>11</xdr:col>
      <xdr:colOff>625926</xdr:colOff>
      <xdr:row>27</xdr:row>
      <xdr:rowOff>163286</xdr:rowOff>
    </xdr:to>
    <xdr:sp macro="" textlink="">
      <xdr:nvSpPr>
        <xdr:cNvPr id="15" name="Rectángulo: esquinas redondeada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0B0B9E7-1592-4D46-AA34-F2ACD25CA687}"/>
            </a:ext>
          </a:extLst>
        </xdr:cNvPr>
        <xdr:cNvSpPr/>
      </xdr:nvSpPr>
      <xdr:spPr>
        <a:xfrm>
          <a:off x="6857997" y="4816928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4.2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Balance proyectado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435428</xdr:colOff>
      <xdr:row>23</xdr:row>
      <xdr:rowOff>40821</xdr:rowOff>
    </xdr:from>
    <xdr:to>
      <xdr:col>15</xdr:col>
      <xdr:colOff>299357</xdr:colOff>
      <xdr:row>25</xdr:row>
      <xdr:rowOff>149679</xdr:rowOff>
    </xdr:to>
    <xdr:sp macro="" textlink="">
      <xdr:nvSpPr>
        <xdr:cNvPr id="16" name="Rectángulo: esquinas redondeada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E357B7B-074C-4671-B8F8-957452454E5A}"/>
            </a:ext>
          </a:extLst>
        </xdr:cNvPr>
        <xdr:cNvSpPr/>
      </xdr:nvSpPr>
      <xdr:spPr>
        <a:xfrm>
          <a:off x="9579428" y="4422321"/>
          <a:ext cx="2149929" cy="489858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6. Flujo de caja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y Valor Presente Neto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933450</xdr:colOff>
      <xdr:row>6</xdr:row>
      <xdr:rowOff>53314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DFB10D-823E-2F46-A798-273A127EA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43250" cy="1139164"/>
        </a:xfrm>
        <a:prstGeom prst="rect">
          <a:avLst/>
        </a:prstGeom>
      </xdr:spPr>
    </xdr:pic>
    <xdr:clientData/>
  </xdr:twoCellAnchor>
  <xdr:twoCellAnchor>
    <xdr:from>
      <xdr:col>7</xdr:col>
      <xdr:colOff>695325</xdr:colOff>
      <xdr:row>0</xdr:row>
      <xdr:rowOff>95250</xdr:rowOff>
    </xdr:from>
    <xdr:to>
      <xdr:col>7</xdr:col>
      <xdr:colOff>1885949</xdr:colOff>
      <xdr:row>2</xdr:row>
      <xdr:rowOff>66675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0A9C66-C45A-4F4B-9631-A17E28396F0F}"/>
            </a:ext>
          </a:extLst>
        </xdr:cNvPr>
        <xdr:cNvSpPr/>
      </xdr:nvSpPr>
      <xdr:spPr>
        <a:xfrm>
          <a:off x="8572500" y="95250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1663700</xdr:colOff>
      <xdr:row>3</xdr:row>
      <xdr:rowOff>44450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9C9E44-745F-BB4B-93EB-0B2A7DE1F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1663700" cy="520700"/>
        </a:xfrm>
        <a:prstGeom prst="rect">
          <a:avLst/>
        </a:prstGeom>
      </xdr:spPr>
    </xdr:pic>
    <xdr:clientData/>
  </xdr:twoCellAnchor>
  <xdr:twoCellAnchor>
    <xdr:from>
      <xdr:col>6</xdr:col>
      <xdr:colOff>485775</xdr:colOff>
      <xdr:row>0</xdr:row>
      <xdr:rowOff>133350</xdr:rowOff>
    </xdr:from>
    <xdr:to>
      <xdr:col>7</xdr:col>
      <xdr:colOff>742949</xdr:colOff>
      <xdr:row>2</xdr:row>
      <xdr:rowOff>104775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0A9A42-D7CA-4997-9F07-D232BD6782B7}"/>
            </a:ext>
          </a:extLst>
        </xdr:cNvPr>
        <xdr:cNvSpPr/>
      </xdr:nvSpPr>
      <xdr:spPr>
        <a:xfrm>
          <a:off x="8210550" y="133350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2527589</xdr:colOff>
      <xdr:row>3</xdr:row>
      <xdr:rowOff>163735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A1BF74-756C-4DE3-93B5-AE4C87FD3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27589" cy="706660"/>
        </a:xfrm>
        <a:prstGeom prst="rect">
          <a:avLst/>
        </a:prstGeom>
      </xdr:spPr>
    </xdr:pic>
    <xdr:clientData/>
  </xdr:twoCellAnchor>
  <xdr:twoCellAnchor>
    <xdr:from>
      <xdr:col>6</xdr:col>
      <xdr:colOff>342900</xdr:colOff>
      <xdr:row>0</xdr:row>
      <xdr:rowOff>104775</xdr:rowOff>
    </xdr:from>
    <xdr:to>
      <xdr:col>8</xdr:col>
      <xdr:colOff>9524</xdr:colOff>
      <xdr:row>2</xdr:row>
      <xdr:rowOff>76200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59B7D7-C172-4866-9F4B-4F4A7B971885}"/>
            </a:ext>
          </a:extLst>
        </xdr:cNvPr>
        <xdr:cNvSpPr/>
      </xdr:nvSpPr>
      <xdr:spPr>
        <a:xfrm>
          <a:off x="8181975" y="104775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0</xdr:row>
      <xdr:rowOff>104775</xdr:rowOff>
    </xdr:from>
    <xdr:to>
      <xdr:col>8</xdr:col>
      <xdr:colOff>533399</xdr:colOff>
      <xdr:row>1</xdr:row>
      <xdr:rowOff>180975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A5BA8-D6B1-4250-B6DB-A71DC5183FBE}"/>
            </a:ext>
          </a:extLst>
        </xdr:cNvPr>
        <xdr:cNvSpPr/>
      </xdr:nvSpPr>
      <xdr:spPr>
        <a:xfrm>
          <a:off x="6838950" y="104775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0</xdr:rowOff>
    </xdr:from>
    <xdr:to>
      <xdr:col>0</xdr:col>
      <xdr:colOff>2590799</xdr:colOff>
      <xdr:row>3</xdr:row>
      <xdr:rowOff>137758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C76421-D4F0-774E-8B30-DECB67793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" y="0"/>
          <a:ext cx="2524125" cy="709258"/>
        </a:xfrm>
        <a:prstGeom prst="rect">
          <a:avLst/>
        </a:prstGeom>
      </xdr:spPr>
    </xdr:pic>
    <xdr:clientData/>
  </xdr:twoCellAnchor>
  <xdr:twoCellAnchor>
    <xdr:from>
      <xdr:col>7</xdr:col>
      <xdr:colOff>276225</xdr:colOff>
      <xdr:row>0</xdr:row>
      <xdr:rowOff>161925</xdr:rowOff>
    </xdr:from>
    <xdr:to>
      <xdr:col>8</xdr:col>
      <xdr:colOff>704849</xdr:colOff>
      <xdr:row>2</xdr:row>
      <xdr:rowOff>114300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3A747-84FC-4C77-9983-ADE188971805}"/>
            </a:ext>
          </a:extLst>
        </xdr:cNvPr>
        <xdr:cNvSpPr/>
      </xdr:nvSpPr>
      <xdr:spPr>
        <a:xfrm>
          <a:off x="9705975" y="161925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85726</xdr:colOff>
      <xdr:row>0</xdr:row>
      <xdr:rowOff>114299</xdr:rowOff>
    </xdr:from>
    <xdr:to>
      <xdr:col>10</xdr:col>
      <xdr:colOff>514350</xdr:colOff>
      <xdr:row>2</xdr:row>
      <xdr:rowOff>85724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78D44-A139-4FB5-B348-1C3A34977880}"/>
            </a:ext>
          </a:extLst>
        </xdr:cNvPr>
        <xdr:cNvSpPr/>
      </xdr:nvSpPr>
      <xdr:spPr>
        <a:xfrm>
          <a:off x="10934701" y="114299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25</xdr:row>
      <xdr:rowOff>47625</xdr:rowOff>
    </xdr:from>
    <xdr:to>
      <xdr:col>8</xdr:col>
      <xdr:colOff>308769</xdr:colOff>
      <xdr:row>57</xdr:row>
      <xdr:rowOff>81877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53F7D7-265E-6049-B04D-C478538B23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13" t="11776" r="4448"/>
        <a:stretch/>
      </xdr:blipFill>
      <xdr:spPr>
        <a:xfrm>
          <a:off x="428625" y="5746750"/>
          <a:ext cx="9509125" cy="5622252"/>
        </a:xfrm>
        <a:prstGeom prst="rect">
          <a:avLst/>
        </a:prstGeom>
      </xdr:spPr>
    </xdr:pic>
    <xdr:clientData/>
  </xdr:twoCellAnchor>
  <xdr:twoCellAnchor>
    <xdr:from>
      <xdr:col>5</xdr:col>
      <xdr:colOff>971550</xdr:colOff>
      <xdr:row>2</xdr:row>
      <xdr:rowOff>95250</xdr:rowOff>
    </xdr:from>
    <xdr:to>
      <xdr:col>6</xdr:col>
      <xdr:colOff>561974</xdr:colOff>
      <xdr:row>4</xdr:row>
      <xdr:rowOff>66675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0F0BF-4210-467E-9A00-CE0274160680}"/>
            </a:ext>
          </a:extLst>
        </xdr:cNvPr>
        <xdr:cNvSpPr/>
      </xdr:nvSpPr>
      <xdr:spPr>
        <a:xfrm>
          <a:off x="9486900" y="466725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1</xdr:row>
      <xdr:rowOff>28575</xdr:rowOff>
    </xdr:from>
    <xdr:to>
      <xdr:col>8</xdr:col>
      <xdr:colOff>400049</xdr:colOff>
      <xdr:row>2</xdr:row>
      <xdr:rowOff>123825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79034-82C3-4487-88DB-63EE12A61782}"/>
            </a:ext>
          </a:extLst>
        </xdr:cNvPr>
        <xdr:cNvSpPr/>
      </xdr:nvSpPr>
      <xdr:spPr>
        <a:xfrm>
          <a:off x="9925050" y="133350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85725</xdr:rowOff>
    </xdr:from>
    <xdr:to>
      <xdr:col>6</xdr:col>
      <xdr:colOff>85724</xdr:colOff>
      <xdr:row>7</xdr:row>
      <xdr:rowOff>228600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D3217-D845-496E-BE41-E78301D8ABD6}"/>
            </a:ext>
          </a:extLst>
        </xdr:cNvPr>
        <xdr:cNvSpPr/>
      </xdr:nvSpPr>
      <xdr:spPr>
        <a:xfrm>
          <a:off x="10153650" y="85725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66262</xdr:colOff>
      <xdr:row>0</xdr:row>
      <xdr:rowOff>0</xdr:rowOff>
    </xdr:from>
    <xdr:to>
      <xdr:col>1</xdr:col>
      <xdr:colOff>1888022</xdr:colOff>
      <xdr:row>3</xdr:row>
      <xdr:rowOff>134593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8AD934-2C42-4A74-B335-33748D365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697" y="0"/>
          <a:ext cx="1821760" cy="681245"/>
        </a:xfrm>
        <a:prstGeom prst="rect">
          <a:avLst/>
        </a:prstGeom>
      </xdr:spPr>
    </xdr:pic>
    <xdr:clientData/>
  </xdr:twoCellAnchor>
  <xdr:twoCellAnchor>
    <xdr:from>
      <xdr:col>5</xdr:col>
      <xdr:colOff>796990</xdr:colOff>
      <xdr:row>0</xdr:row>
      <xdr:rowOff>116633</xdr:rowOff>
    </xdr:from>
    <xdr:to>
      <xdr:col>7</xdr:col>
      <xdr:colOff>199247</xdr:colOff>
      <xdr:row>2</xdr:row>
      <xdr:rowOff>80671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5A88A-71BF-46F2-BE22-301859F06ED9}"/>
            </a:ext>
          </a:extLst>
        </xdr:cNvPr>
        <xdr:cNvSpPr/>
      </xdr:nvSpPr>
      <xdr:spPr>
        <a:xfrm>
          <a:off x="8485026" y="116633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38100</xdr:rowOff>
    </xdr:from>
    <xdr:to>
      <xdr:col>1</xdr:col>
      <xdr:colOff>1349375</xdr:colOff>
      <xdr:row>3</xdr:row>
      <xdr:rowOff>173037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ACD641-D930-6F48-8B1A-20E2248C8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125" y="38100"/>
          <a:ext cx="1822450" cy="682625"/>
        </a:xfrm>
        <a:prstGeom prst="rect">
          <a:avLst/>
        </a:prstGeom>
      </xdr:spPr>
    </xdr:pic>
    <xdr:clientData/>
  </xdr:twoCellAnchor>
  <xdr:twoCellAnchor>
    <xdr:from>
      <xdr:col>5</xdr:col>
      <xdr:colOff>742950</xdr:colOff>
      <xdr:row>0</xdr:row>
      <xdr:rowOff>123825</xdr:rowOff>
    </xdr:from>
    <xdr:to>
      <xdr:col>6</xdr:col>
      <xdr:colOff>657224</xdr:colOff>
      <xdr:row>2</xdr:row>
      <xdr:rowOff>95250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4BBCF0-2516-4131-9E14-63D49813EA97}"/>
            </a:ext>
          </a:extLst>
        </xdr:cNvPr>
        <xdr:cNvSpPr/>
      </xdr:nvSpPr>
      <xdr:spPr>
        <a:xfrm>
          <a:off x="8677275" y="123825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1155700</xdr:colOff>
      <xdr:row>4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3EF1E-E0EC-4868-90D0-EFC6FA3BA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1917700" cy="685800"/>
        </a:xfrm>
        <a:prstGeom prst="rect">
          <a:avLst/>
        </a:prstGeom>
      </xdr:spPr>
    </xdr:pic>
    <xdr:clientData/>
  </xdr:twoCellAnchor>
  <xdr:twoCellAnchor>
    <xdr:from>
      <xdr:col>4</xdr:col>
      <xdr:colOff>123825</xdr:colOff>
      <xdr:row>0</xdr:row>
      <xdr:rowOff>133350</xdr:rowOff>
    </xdr:from>
    <xdr:to>
      <xdr:col>4</xdr:col>
      <xdr:colOff>1314449</xdr:colOff>
      <xdr:row>2</xdr:row>
      <xdr:rowOff>104775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2782D-5A42-4348-A09D-6AA00C9DF3CF}"/>
            </a:ext>
          </a:extLst>
        </xdr:cNvPr>
        <xdr:cNvSpPr/>
      </xdr:nvSpPr>
      <xdr:spPr>
        <a:xfrm>
          <a:off x="8543925" y="133350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0</xdr:col>
      <xdr:colOff>2089150</xdr:colOff>
      <xdr:row>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85E4D0-4080-C44C-8262-3CDC2F67D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76200"/>
          <a:ext cx="1917700" cy="685800"/>
        </a:xfrm>
        <a:prstGeom prst="rect">
          <a:avLst/>
        </a:prstGeom>
      </xdr:spPr>
    </xdr:pic>
    <xdr:clientData/>
  </xdr:twoCellAnchor>
  <xdr:twoCellAnchor>
    <xdr:from>
      <xdr:col>6</xdr:col>
      <xdr:colOff>238125</xdr:colOff>
      <xdr:row>0</xdr:row>
      <xdr:rowOff>123825</xdr:rowOff>
    </xdr:from>
    <xdr:to>
      <xdr:col>7</xdr:col>
      <xdr:colOff>400049</xdr:colOff>
      <xdr:row>2</xdr:row>
      <xdr:rowOff>76200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3E3FE-6C2F-47E9-9662-998CF429E9EA}"/>
            </a:ext>
          </a:extLst>
        </xdr:cNvPr>
        <xdr:cNvSpPr/>
      </xdr:nvSpPr>
      <xdr:spPr>
        <a:xfrm>
          <a:off x="9477375" y="123825"/>
          <a:ext cx="1190624" cy="333375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VOLVER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orero, Zaret" id="{E126659E-0030-4AD9-B879-772E4C36998A}" userId="S::zaret.forero@icumed.com::dde68d9a-be62-4833-aff9-9358404e161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3" dT="2020-11-11T17:41:39.56" personId="{E126659E-0030-4AD9-B879-772E4C36998A}" id="{83A16EF2-1F1F-484B-B5E2-9C536870E534}">
    <text>Caso Estonia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D64A7-227E-AE48-B961-5194047DB5B8}">
  <dimension ref="A1"/>
  <sheetViews>
    <sheetView showGridLines="0" showRowColHeaders="0" tabSelected="1" zoomScale="70" zoomScaleNormal="70" workbookViewId="0">
      <selection activeCell="G3" sqref="G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K32"/>
  <sheetViews>
    <sheetView showGridLines="0" workbookViewId="0"/>
  </sheetViews>
  <sheetFormatPr baseColWidth="10" defaultColWidth="11.42578125" defaultRowHeight="14.25" x14ac:dyDescent="0.2"/>
  <cols>
    <col min="1" max="1" width="33.42578125" style="2" bestFit="1" customWidth="1"/>
    <col min="2" max="2" width="15.42578125" style="2" bestFit="1" customWidth="1"/>
    <col min="3" max="3" width="11.42578125" style="2"/>
    <col min="4" max="4" width="13.85546875" style="2" bestFit="1" customWidth="1"/>
    <col min="5" max="5" width="25.85546875" style="2" bestFit="1" customWidth="1"/>
    <col min="6" max="6" width="13.85546875" style="2" bestFit="1" customWidth="1"/>
    <col min="7" max="7" width="5.7109375" style="2" customWidth="1"/>
    <col min="8" max="8" width="39.7109375" style="2" bestFit="1" customWidth="1"/>
    <col min="9" max="9" width="13.85546875" style="2" bestFit="1" customWidth="1"/>
    <col min="10" max="10" width="11.42578125" style="2" bestFit="1" customWidth="1"/>
    <col min="11" max="16384" width="11.42578125" style="2"/>
  </cols>
  <sheetData>
    <row r="8" spans="1:10" ht="15" x14ac:dyDescent="0.25">
      <c r="A8" s="332" t="s">
        <v>52</v>
      </c>
      <c r="B8" s="333"/>
      <c r="C8" s="334"/>
      <c r="E8" s="12" t="s">
        <v>52</v>
      </c>
      <c r="F8" s="13"/>
      <c r="G8" s="13"/>
      <c r="H8" s="13"/>
      <c r="I8" s="13"/>
    </row>
    <row r="9" spans="1:10" ht="15" x14ac:dyDescent="0.25">
      <c r="A9" s="332" t="s">
        <v>0</v>
      </c>
      <c r="B9" s="333"/>
      <c r="C9" s="334"/>
      <c r="E9" s="12" t="s">
        <v>10</v>
      </c>
      <c r="F9" s="13"/>
      <c r="G9" s="13"/>
      <c r="H9" s="13"/>
      <c r="I9" s="13"/>
    </row>
    <row r="10" spans="1:10" x14ac:dyDescent="0.2">
      <c r="A10" s="333" t="s">
        <v>319</v>
      </c>
      <c r="B10" s="333"/>
      <c r="C10" s="334"/>
      <c r="E10" s="13" t="s">
        <v>434</v>
      </c>
      <c r="F10" s="13"/>
      <c r="G10" s="13"/>
      <c r="H10" s="13"/>
      <c r="I10" s="13"/>
    </row>
    <row r="11" spans="1:10" x14ac:dyDescent="0.2">
      <c r="A11" s="334"/>
      <c r="B11" s="334"/>
      <c r="C11" s="334"/>
    </row>
    <row r="12" spans="1:10" ht="15" x14ac:dyDescent="0.25">
      <c r="A12" s="334" t="s">
        <v>1</v>
      </c>
      <c r="B12" s="335">
        <f>+'2.2 Cálculo Ingreso PPU'!C25</f>
        <v>1541014427.8304131</v>
      </c>
      <c r="C12" s="334"/>
      <c r="E12" s="423" t="s">
        <v>11</v>
      </c>
      <c r="F12" s="423"/>
      <c r="G12" s="16"/>
      <c r="H12" s="423" t="s">
        <v>32</v>
      </c>
      <c r="I12" s="423"/>
    </row>
    <row r="13" spans="1:10" x14ac:dyDescent="0.2">
      <c r="A13" s="334" t="s">
        <v>2</v>
      </c>
      <c r="B13" s="335">
        <v>0</v>
      </c>
      <c r="C13" s="334"/>
      <c r="D13" s="281" t="e">
        <f>+'2.1 Cálculo Ingreso por Fee'!#REF!</f>
        <v>#REF!</v>
      </c>
      <c r="E13" s="282" t="s">
        <v>12</v>
      </c>
      <c r="F13" s="115">
        <f>+'1.4 Base Otros Supuestos'!B25-F22</f>
        <v>327355400</v>
      </c>
      <c r="G13" s="16"/>
      <c r="H13" s="116" t="s">
        <v>17</v>
      </c>
      <c r="I13" s="115"/>
      <c r="J13" s="16">
        <f>SUM(I13:I15)</f>
        <v>0</v>
      </c>
    </row>
    <row r="14" spans="1:10" ht="15" x14ac:dyDescent="0.25">
      <c r="A14" s="336" t="s">
        <v>3</v>
      </c>
      <c r="B14" s="337">
        <f>+B12-B13</f>
        <v>1541014427.8304131</v>
      </c>
      <c r="C14" s="334"/>
      <c r="E14" s="282" t="s">
        <v>13</v>
      </c>
      <c r="F14" s="113"/>
      <c r="G14" s="16"/>
      <c r="H14" s="116" t="s">
        <v>18</v>
      </c>
      <c r="I14" s="115"/>
    </row>
    <row r="15" spans="1:10" x14ac:dyDescent="0.2">
      <c r="A15" s="334"/>
      <c r="B15" s="335"/>
      <c r="C15" s="334"/>
      <c r="E15" s="282" t="s">
        <v>14</v>
      </c>
      <c r="F15" s="113"/>
      <c r="G15" s="16"/>
      <c r="H15" s="116" t="s">
        <v>19</v>
      </c>
      <c r="I15" s="115"/>
    </row>
    <row r="16" spans="1:10" x14ac:dyDescent="0.2">
      <c r="A16" s="334" t="s">
        <v>4</v>
      </c>
      <c r="B16" s="335">
        <v>0</v>
      </c>
      <c r="C16" s="334"/>
      <c r="E16" s="282" t="s">
        <v>15</v>
      </c>
      <c r="F16" s="113"/>
      <c r="G16" s="16"/>
      <c r="H16" s="116" t="s">
        <v>20</v>
      </c>
      <c r="I16" s="113">
        <f>+'1.4 Base Otros Supuestos'!B25</f>
        <v>500000000</v>
      </c>
    </row>
    <row r="17" spans="1:11" ht="15" x14ac:dyDescent="0.25">
      <c r="A17" s="336" t="s">
        <v>5</v>
      </c>
      <c r="B17" s="337">
        <f>+B14-B16</f>
        <v>1541014427.8304131</v>
      </c>
      <c r="C17" s="334"/>
      <c r="E17" s="116" t="s">
        <v>16</v>
      </c>
      <c r="F17" s="113"/>
      <c r="G17" s="16"/>
      <c r="H17" s="116" t="s">
        <v>21</v>
      </c>
      <c r="I17" s="113"/>
    </row>
    <row r="18" spans="1:11" x14ac:dyDescent="0.2">
      <c r="A18" s="334"/>
      <c r="B18" s="335"/>
      <c r="C18" s="334"/>
      <c r="E18" s="116" t="s">
        <v>22</v>
      </c>
      <c r="F18" s="116"/>
      <c r="G18" s="16"/>
      <c r="H18" s="116" t="s">
        <v>29</v>
      </c>
      <c r="I18" s="116"/>
    </row>
    <row r="19" spans="1:11" x14ac:dyDescent="0.2">
      <c r="A19" s="334" t="s">
        <v>6</v>
      </c>
      <c r="B19" s="335">
        <v>0</v>
      </c>
      <c r="C19" s="334"/>
      <c r="E19" s="116" t="s">
        <v>23</v>
      </c>
      <c r="F19" s="116"/>
      <c r="G19" s="16"/>
      <c r="H19" s="116" t="s">
        <v>30</v>
      </c>
      <c r="I19" s="116"/>
    </row>
    <row r="20" spans="1:11" x14ac:dyDescent="0.2">
      <c r="A20" s="334" t="s">
        <v>7</v>
      </c>
      <c r="B20" s="335">
        <v>0</v>
      </c>
      <c r="C20" s="334"/>
      <c r="E20" s="116" t="s">
        <v>24</v>
      </c>
      <c r="F20" s="116"/>
      <c r="G20" s="16"/>
      <c r="H20" s="116"/>
      <c r="I20" s="116"/>
    </row>
    <row r="21" spans="1:11" ht="15" x14ac:dyDescent="0.25">
      <c r="A21" s="336" t="s">
        <v>8</v>
      </c>
      <c r="B21" s="337">
        <f>+B17-B19-B20</f>
        <v>1541014427.8304131</v>
      </c>
      <c r="C21" s="334"/>
      <c r="E21" s="116" t="s">
        <v>25</v>
      </c>
      <c r="F21" s="116"/>
      <c r="H21" s="110"/>
      <c r="I21" s="110"/>
    </row>
    <row r="22" spans="1:11" x14ac:dyDescent="0.2">
      <c r="A22" s="334"/>
      <c r="B22" s="335"/>
      <c r="C22" s="334"/>
      <c r="E22" s="116" t="s">
        <v>26</v>
      </c>
      <c r="F22" s="116">
        <f>+'2.3 Cálculo Gastos Admon &amp; Vtas'!C18/4</f>
        <v>172644600</v>
      </c>
      <c r="H22" s="110"/>
      <c r="I22" s="110"/>
    </row>
    <row r="23" spans="1:11" ht="15" x14ac:dyDescent="0.25">
      <c r="A23" s="336" t="s">
        <v>9</v>
      </c>
      <c r="B23" s="337">
        <f>+B21</f>
        <v>1541014427.8304131</v>
      </c>
      <c r="C23" s="334"/>
      <c r="E23" s="116" t="s">
        <v>27</v>
      </c>
      <c r="F23" s="116"/>
      <c r="H23" s="110"/>
      <c r="I23" s="110"/>
    </row>
    <row r="24" spans="1:11" x14ac:dyDescent="0.2">
      <c r="A24" s="334"/>
      <c r="B24" s="334"/>
      <c r="C24" s="334"/>
      <c r="E24" s="116" t="s">
        <v>28</v>
      </c>
      <c r="F24" s="116"/>
      <c r="H24" s="110"/>
      <c r="I24" s="110"/>
    </row>
    <row r="25" spans="1:11" ht="15" x14ac:dyDescent="0.25">
      <c r="A25" s="334"/>
      <c r="B25" s="334"/>
      <c r="C25" s="334"/>
      <c r="E25" s="343" t="s">
        <v>34</v>
      </c>
      <c r="F25" s="343">
        <f>SUM(F13:F24)</f>
        <v>500000000</v>
      </c>
      <c r="H25" s="344" t="s">
        <v>33</v>
      </c>
      <c r="I25" s="343">
        <f>SUM(I13:I24)</f>
        <v>500000000</v>
      </c>
    </row>
    <row r="26" spans="1:11" x14ac:dyDescent="0.2">
      <c r="A26" s="334"/>
      <c r="B26" s="338"/>
      <c r="C26" s="334"/>
    </row>
    <row r="27" spans="1:11" x14ac:dyDescent="0.2">
      <c r="A27" s="334"/>
      <c r="B27" s="334"/>
      <c r="C27" s="334"/>
    </row>
    <row r="28" spans="1:11" x14ac:dyDescent="0.2">
      <c r="A28" s="422" t="s">
        <v>380</v>
      </c>
      <c r="B28" s="422"/>
      <c r="C28" s="422"/>
      <c r="D28" s="422"/>
      <c r="E28" s="422"/>
      <c r="F28" s="422"/>
      <c r="G28" s="422"/>
      <c r="H28" s="422"/>
      <c r="I28" s="422"/>
    </row>
    <row r="29" spans="1:11" x14ac:dyDescent="0.2">
      <c r="A29" s="77"/>
      <c r="B29" s="77"/>
      <c r="C29" s="77"/>
      <c r="D29" s="77"/>
      <c r="E29" s="77"/>
      <c r="F29" s="77"/>
      <c r="G29" s="77"/>
      <c r="H29" s="77"/>
      <c r="I29" s="77"/>
      <c r="K29" s="2">
        <v>4</v>
      </c>
    </row>
    <row r="30" spans="1:11" x14ac:dyDescent="0.2">
      <c r="A30" s="77"/>
      <c r="B30" s="77"/>
      <c r="C30" s="77"/>
      <c r="D30" s="281">
        <f>+F13</f>
        <v>327355400</v>
      </c>
      <c r="E30" s="77"/>
      <c r="F30" s="77"/>
      <c r="G30" s="77"/>
      <c r="H30" s="77"/>
      <c r="I30" s="77"/>
    </row>
    <row r="31" spans="1:11" x14ac:dyDescent="0.2">
      <c r="A31" s="77"/>
      <c r="B31" s="77"/>
      <c r="C31" s="77"/>
      <c r="D31" s="77"/>
      <c r="E31" s="77"/>
      <c r="F31" s="77"/>
      <c r="G31" s="77"/>
      <c r="H31" s="77"/>
      <c r="I31" s="77"/>
    </row>
    <row r="32" spans="1:11" x14ac:dyDescent="0.2">
      <c r="B32" s="16"/>
    </row>
  </sheetData>
  <mergeCells count="3">
    <mergeCell ref="A28:I28"/>
    <mergeCell ref="E12:F12"/>
    <mergeCell ref="H12:I12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H59"/>
  <sheetViews>
    <sheetView showGridLines="0" zoomScaleNormal="100" workbookViewId="0">
      <selection activeCell="B14" sqref="B14"/>
    </sheetView>
  </sheetViews>
  <sheetFormatPr baseColWidth="10" defaultColWidth="11.42578125" defaultRowHeight="14.25" x14ac:dyDescent="0.2"/>
  <cols>
    <col min="1" max="1" width="40.85546875" style="2" bestFit="1" customWidth="1"/>
    <col min="2" max="6" width="15.42578125" style="2" bestFit="1" customWidth="1"/>
    <col min="7" max="7" width="14" style="2" bestFit="1" customWidth="1"/>
    <col min="8" max="16384" width="11.42578125" style="2"/>
  </cols>
  <sheetData>
    <row r="4" spans="1:6" ht="15" x14ac:dyDescent="0.25">
      <c r="A4" s="12" t="s">
        <v>52</v>
      </c>
      <c r="B4" s="13"/>
      <c r="C4" s="13"/>
      <c r="D4" s="13"/>
      <c r="E4" s="13"/>
      <c r="F4" s="13"/>
    </row>
    <row r="5" spans="1:6" ht="15" x14ac:dyDescent="0.25">
      <c r="A5" s="12" t="s">
        <v>305</v>
      </c>
      <c r="B5" s="13"/>
      <c r="C5" s="13"/>
      <c r="D5" s="13"/>
      <c r="E5" s="13"/>
      <c r="F5" s="13"/>
    </row>
    <row r="6" spans="1:6" x14ac:dyDescent="0.2">
      <c r="A6" s="13"/>
      <c r="B6" s="13"/>
      <c r="C6" s="13"/>
      <c r="D6" s="13"/>
    </row>
    <row r="7" spans="1:6" x14ac:dyDescent="0.2">
      <c r="A7" s="420" t="s">
        <v>365</v>
      </c>
      <c r="B7" s="420">
        <v>1</v>
      </c>
      <c r="C7" s="420">
        <v>2</v>
      </c>
      <c r="D7" s="420">
        <v>3</v>
      </c>
      <c r="E7" s="420">
        <v>4</v>
      </c>
      <c r="F7" s="420">
        <v>5</v>
      </c>
    </row>
    <row r="8" spans="1:6" x14ac:dyDescent="0.2">
      <c r="A8" s="420"/>
      <c r="B8" s="420"/>
      <c r="C8" s="420"/>
      <c r="D8" s="420"/>
      <c r="E8" s="420"/>
      <c r="F8" s="420"/>
    </row>
    <row r="9" spans="1:6" ht="15" x14ac:dyDescent="0.25">
      <c r="A9" s="284" t="s">
        <v>302</v>
      </c>
      <c r="B9" s="110"/>
      <c r="C9" s="110"/>
      <c r="D9" s="110"/>
      <c r="E9" s="110"/>
      <c r="F9" s="110"/>
    </row>
    <row r="10" spans="1:6" x14ac:dyDescent="0.2">
      <c r="A10" s="285" t="s">
        <v>306</v>
      </c>
      <c r="B10" s="113">
        <f>+'3 Proyecciones Otros Periodos'!F9</f>
        <v>1650726945</v>
      </c>
      <c r="C10" s="113">
        <f>+'3 Proyecciones Otros Periodos'!G9</f>
        <v>1700248753.3500001</v>
      </c>
      <c r="D10" s="113">
        <f>+'3 Proyecciones Otros Periodos'!H9</f>
        <v>1751256215.9505002</v>
      </c>
      <c r="E10" s="113">
        <f>+'3 Proyecciones Otros Periodos'!I9</f>
        <v>1803793902.4290154</v>
      </c>
      <c r="F10" s="113">
        <f>+'3 Proyecciones Otros Periodos'!J9</f>
        <v>1857907719.5018859</v>
      </c>
    </row>
    <row r="11" spans="1:6" x14ac:dyDescent="0.2">
      <c r="A11" s="285" t="s">
        <v>307</v>
      </c>
      <c r="B11" s="113">
        <f>+'3 Proyecciones Otros Periodos'!$B10*'3 Proyecciones Otros Periodos'!F10</f>
        <v>0</v>
      </c>
      <c r="C11" s="113">
        <f>+'3 Proyecciones Otros Periodos'!$B10*'3 Proyecciones Otros Periodos'!G10</f>
        <v>0</v>
      </c>
      <c r="D11" s="113">
        <f>+'3 Proyecciones Otros Periodos'!$B10*'3 Proyecciones Otros Periodos'!H10</f>
        <v>0</v>
      </c>
      <c r="E11" s="113">
        <f>+'3 Proyecciones Otros Periodos'!$B10*'3 Proyecciones Otros Periodos'!I10</f>
        <v>0</v>
      </c>
      <c r="F11" s="113">
        <f>+'3 Proyecciones Otros Periodos'!$B10*'3 Proyecciones Otros Periodos'!J10</f>
        <v>0</v>
      </c>
    </row>
    <row r="12" spans="1:6" x14ac:dyDescent="0.2">
      <c r="A12" s="285" t="s">
        <v>308</v>
      </c>
      <c r="B12" s="113">
        <f>+'3 Proyecciones Otros Periodos'!$B11*'3 Proyecciones Otros Periodos'!F11</f>
        <v>0</v>
      </c>
      <c r="C12" s="113">
        <f>+'3 Proyecciones Otros Periodos'!$B11*'3 Proyecciones Otros Periodos'!G11</f>
        <v>0</v>
      </c>
      <c r="D12" s="113">
        <f>+'3 Proyecciones Otros Periodos'!$B11*'3 Proyecciones Otros Periodos'!H11</f>
        <v>0</v>
      </c>
      <c r="E12" s="113">
        <f>+'3 Proyecciones Otros Periodos'!$B11*'3 Proyecciones Otros Periodos'!I11</f>
        <v>0</v>
      </c>
      <c r="F12" s="113">
        <f>+'3 Proyecciones Otros Periodos'!$B11*'3 Proyecciones Otros Periodos'!J11</f>
        <v>0</v>
      </c>
    </row>
    <row r="13" spans="1:6" x14ac:dyDescent="0.2">
      <c r="A13" s="111"/>
      <c r="B13" s="113"/>
      <c r="C13" s="113"/>
      <c r="D13" s="113"/>
      <c r="E13" s="113"/>
      <c r="F13" s="113"/>
    </row>
    <row r="14" spans="1:6" ht="15" x14ac:dyDescent="0.25">
      <c r="A14" s="286" t="s">
        <v>309</v>
      </c>
      <c r="B14" s="287">
        <f>+SUM(B10:B13)</f>
        <v>1650726945</v>
      </c>
      <c r="C14" s="287">
        <f t="shared" ref="C14:F14" si="0">+SUM(C10:C13)</f>
        <v>1700248753.3500001</v>
      </c>
      <c r="D14" s="287">
        <f t="shared" si="0"/>
        <v>1751256215.9505002</v>
      </c>
      <c r="E14" s="287">
        <f t="shared" si="0"/>
        <v>1803793902.4290154</v>
      </c>
      <c r="F14" s="287">
        <f t="shared" si="0"/>
        <v>1857907719.5018859</v>
      </c>
    </row>
    <row r="15" spans="1:6" x14ac:dyDescent="0.2">
      <c r="A15" s="110"/>
      <c r="B15" s="110"/>
      <c r="C15" s="110"/>
      <c r="D15" s="110"/>
      <c r="E15" s="110"/>
      <c r="F15" s="110"/>
    </row>
    <row r="16" spans="1:6" ht="15" x14ac:dyDescent="0.25">
      <c r="A16" s="284" t="s">
        <v>303</v>
      </c>
      <c r="B16" s="110"/>
      <c r="C16" s="110"/>
      <c r="D16" s="110"/>
      <c r="E16" s="110"/>
      <c r="F16" s="110"/>
    </row>
    <row r="17" spans="1:8" x14ac:dyDescent="0.2">
      <c r="A17" s="285" t="str">
        <f>+'3 Proyecciones Otros Periodos'!A21</f>
        <v xml:space="preserve">Licenciamiento  </v>
      </c>
      <c r="B17" s="113">
        <f>+'3 Proyecciones Otros Periodos'!F21</f>
        <v>214594502.84999999</v>
      </c>
      <c r="C17" s="113">
        <f>+'3 Proyecciones Otros Periodos'!G21</f>
        <v>221032337.93550003</v>
      </c>
      <c r="D17" s="113">
        <f>+'3 Proyecciones Otros Periodos'!H21</f>
        <v>227663308.07356504</v>
      </c>
      <c r="E17" s="113">
        <f>+'3 Proyecciones Otros Periodos'!I21</f>
        <v>234493207.315772</v>
      </c>
      <c r="F17" s="113">
        <f>+'3 Proyecciones Otros Periodos'!J21</f>
        <v>241528003.53524518</v>
      </c>
    </row>
    <row r="18" spans="1:8" x14ac:dyDescent="0.2">
      <c r="A18" s="285" t="s">
        <v>381</v>
      </c>
      <c r="B18" s="113">
        <f>+'3 Proyecciones Otros Periodos'!F22</f>
        <v>0</v>
      </c>
      <c r="C18" s="113">
        <f>+'3 Proyecciones Otros Periodos'!G22</f>
        <v>0</v>
      </c>
      <c r="D18" s="113">
        <f>+'3 Proyecciones Otros Periodos'!H22</f>
        <v>0</v>
      </c>
      <c r="E18" s="113">
        <f>+'3 Proyecciones Otros Periodos'!I22</f>
        <v>0</v>
      </c>
      <c r="F18" s="113">
        <f>+'3 Proyecciones Otros Periodos'!J22</f>
        <v>0</v>
      </c>
    </row>
    <row r="19" spans="1:8" x14ac:dyDescent="0.2">
      <c r="A19" s="285" t="s">
        <v>311</v>
      </c>
      <c r="B19" s="113">
        <f>+'3 Proyecciones Otros Periodos'!F24</f>
        <v>0</v>
      </c>
      <c r="C19" s="113">
        <f>+'3 Proyecciones Otros Periodos'!G24</f>
        <v>0</v>
      </c>
      <c r="D19" s="113">
        <f>+'3 Proyecciones Otros Periodos'!H24</f>
        <v>0</v>
      </c>
      <c r="E19" s="113">
        <f>+'3 Proyecciones Otros Periodos'!I24</f>
        <v>0</v>
      </c>
      <c r="F19" s="113">
        <f>+'3 Proyecciones Otros Periodos'!J24</f>
        <v>0</v>
      </c>
    </row>
    <row r="20" spans="1:8" x14ac:dyDescent="0.2">
      <c r="A20" s="111"/>
      <c r="B20" s="113"/>
      <c r="C20" s="113"/>
      <c r="D20" s="113"/>
      <c r="E20" s="113"/>
      <c r="F20" s="113"/>
    </row>
    <row r="21" spans="1:8" ht="15" x14ac:dyDescent="0.25">
      <c r="A21" s="286" t="s">
        <v>382</v>
      </c>
      <c r="B21" s="287">
        <f>+SUM(B17:B20)</f>
        <v>214594502.84999999</v>
      </c>
      <c r="C21" s="287">
        <f t="shared" ref="C21" si="1">+SUM(C17:C20)</f>
        <v>221032337.93550003</v>
      </c>
      <c r="D21" s="287">
        <f t="shared" ref="D21" si="2">+SUM(D17:D20)</f>
        <v>227663308.07356504</v>
      </c>
      <c r="E21" s="287">
        <f t="shared" ref="E21" si="3">+SUM(E17:E20)</f>
        <v>234493207.315772</v>
      </c>
      <c r="F21" s="287">
        <f t="shared" ref="F21" si="4">+SUM(F17:F20)</f>
        <v>241528003.53524518</v>
      </c>
    </row>
    <row r="22" spans="1:8" x14ac:dyDescent="0.2">
      <c r="A22" s="110"/>
      <c r="B22" s="110"/>
      <c r="C22" s="110"/>
      <c r="D22" s="110"/>
      <c r="E22" s="110"/>
      <c r="F22" s="110"/>
    </row>
    <row r="23" spans="1:8" ht="15" x14ac:dyDescent="0.25">
      <c r="A23" s="286" t="s">
        <v>383</v>
      </c>
      <c r="B23" s="287">
        <f>+B14-B21</f>
        <v>1436132442.1500001</v>
      </c>
      <c r="C23" s="287">
        <f t="shared" ref="C23:F23" si="5">+C14-C21</f>
        <v>1479216415.4145002</v>
      </c>
      <c r="D23" s="287">
        <f t="shared" si="5"/>
        <v>1523592907.8769352</v>
      </c>
      <c r="E23" s="287">
        <f t="shared" si="5"/>
        <v>1569300695.1132433</v>
      </c>
      <c r="F23" s="287">
        <f t="shared" si="5"/>
        <v>1616379715.9666407</v>
      </c>
    </row>
    <row r="24" spans="1:8" x14ac:dyDescent="0.2">
      <c r="A24" s="110"/>
      <c r="B24" s="110"/>
      <c r="C24" s="110"/>
      <c r="D24" s="110"/>
      <c r="E24" s="110"/>
      <c r="F24" s="110"/>
    </row>
    <row r="25" spans="1:8" ht="15" x14ac:dyDescent="0.25">
      <c r="A25" s="284" t="s">
        <v>384</v>
      </c>
      <c r="B25" s="110"/>
      <c r="C25" s="110"/>
      <c r="D25" s="110"/>
      <c r="E25" s="110"/>
      <c r="F25" s="110"/>
    </row>
    <row r="26" spans="1:8" x14ac:dyDescent="0.2">
      <c r="A26" s="285" t="s">
        <v>272</v>
      </c>
      <c r="B26" s="113">
        <f>+'3 Proyecciones Otros Periodos'!B34</f>
        <v>690578400</v>
      </c>
      <c r="C26" s="113">
        <f t="shared" ref="C26:F34" si="6">+B26*(1+Increase_in_expenses)</f>
        <v>718201536</v>
      </c>
      <c r="D26" s="113">
        <f t="shared" si="6"/>
        <v>746929597.44000006</v>
      </c>
      <c r="E26" s="113">
        <f t="shared" si="6"/>
        <v>776806781.33760011</v>
      </c>
      <c r="F26" s="113">
        <f t="shared" si="6"/>
        <v>807879052.59110415</v>
      </c>
      <c r="G26" s="14"/>
      <c r="H26" s="14"/>
    </row>
    <row r="27" spans="1:8" hidden="1" x14ac:dyDescent="0.2">
      <c r="A27" s="285" t="s">
        <v>59</v>
      </c>
      <c r="B27" s="113">
        <f>+'3 Proyecciones Otros Periodos'!B35</f>
        <v>0</v>
      </c>
      <c r="C27" s="113">
        <f t="shared" si="6"/>
        <v>0</v>
      </c>
      <c r="D27" s="113">
        <f t="shared" si="6"/>
        <v>0</v>
      </c>
      <c r="E27" s="113">
        <f t="shared" si="6"/>
        <v>0</v>
      </c>
      <c r="F27" s="113">
        <f t="shared" si="6"/>
        <v>0</v>
      </c>
      <c r="G27" s="14"/>
      <c r="H27" s="14"/>
    </row>
    <row r="28" spans="1:8" hidden="1" x14ac:dyDescent="0.2">
      <c r="A28" s="285" t="s">
        <v>60</v>
      </c>
      <c r="B28" s="113"/>
      <c r="C28" s="113"/>
      <c r="D28" s="113"/>
      <c r="E28" s="113"/>
      <c r="F28" s="113"/>
      <c r="G28" s="14"/>
      <c r="H28" s="14"/>
    </row>
    <row r="29" spans="1:8" x14ac:dyDescent="0.2">
      <c r="A29" s="285" t="s">
        <v>385</v>
      </c>
      <c r="B29" s="113">
        <f>+'3 Proyecciones Otros Periodos'!B37+'3 Proyecciones Otros Periodos'!B38</f>
        <v>396704807.95850313</v>
      </c>
      <c r="C29" s="113">
        <f t="shared" si="6"/>
        <v>412573000.27684325</v>
      </c>
      <c r="D29" s="113">
        <f t="shared" si="6"/>
        <v>429075920.28791702</v>
      </c>
      <c r="E29" s="113">
        <f t="shared" si="6"/>
        <v>446238957.09943372</v>
      </c>
      <c r="F29" s="113">
        <f t="shared" si="6"/>
        <v>464088515.38341111</v>
      </c>
      <c r="G29" s="14"/>
      <c r="H29" s="14"/>
    </row>
    <row r="30" spans="1:8" x14ac:dyDescent="0.2">
      <c r="A30" s="285" t="s">
        <v>391</v>
      </c>
      <c r="B30" s="113">
        <f>+'3 Proyecciones Otros Periodos'!B39</f>
        <v>48000000</v>
      </c>
      <c r="C30" s="113">
        <f t="shared" si="6"/>
        <v>49920000</v>
      </c>
      <c r="D30" s="113">
        <f t="shared" si="6"/>
        <v>51916800</v>
      </c>
      <c r="E30" s="113">
        <f t="shared" si="6"/>
        <v>53993472</v>
      </c>
      <c r="F30" s="113">
        <f t="shared" si="6"/>
        <v>56153210.880000003</v>
      </c>
      <c r="G30" s="14"/>
      <c r="H30" s="14"/>
    </row>
    <row r="31" spans="1:8" x14ac:dyDescent="0.2">
      <c r="A31" s="285" t="s">
        <v>397</v>
      </c>
      <c r="B31" s="113">
        <f>+'3 Proyecciones Otros Periodos'!B40</f>
        <v>0</v>
      </c>
      <c r="C31" s="113">
        <f t="shared" si="6"/>
        <v>0</v>
      </c>
      <c r="D31" s="113">
        <f t="shared" si="6"/>
        <v>0</v>
      </c>
      <c r="E31" s="113">
        <f t="shared" si="6"/>
        <v>0</v>
      </c>
      <c r="F31" s="113">
        <f t="shared" si="6"/>
        <v>0</v>
      </c>
      <c r="G31" s="14"/>
      <c r="H31" s="14"/>
    </row>
    <row r="32" spans="1:8" x14ac:dyDescent="0.2">
      <c r="A32" s="285" t="s">
        <v>314</v>
      </c>
      <c r="B32" s="113">
        <f>+'3 Proyecciones Otros Periodos'!B41</f>
        <v>10000000</v>
      </c>
      <c r="C32" s="113">
        <f t="shared" si="6"/>
        <v>10400000</v>
      </c>
      <c r="D32" s="113">
        <f t="shared" si="6"/>
        <v>10816000</v>
      </c>
      <c r="E32" s="113">
        <f t="shared" si="6"/>
        <v>11248640</v>
      </c>
      <c r="F32" s="113">
        <f t="shared" si="6"/>
        <v>11698585.6</v>
      </c>
      <c r="G32" s="14"/>
      <c r="H32" s="14"/>
    </row>
    <row r="33" spans="1:8" x14ac:dyDescent="0.2">
      <c r="A33" s="285" t="s">
        <v>429</v>
      </c>
      <c r="B33" s="113">
        <f>+'3 Proyecciones Otros Periodos'!B42</f>
        <v>10000000</v>
      </c>
      <c r="C33" s="113">
        <f t="shared" si="6"/>
        <v>10400000</v>
      </c>
      <c r="D33" s="113">
        <f t="shared" si="6"/>
        <v>10816000</v>
      </c>
      <c r="E33" s="113">
        <f t="shared" si="6"/>
        <v>11248640</v>
      </c>
      <c r="F33" s="113">
        <f t="shared" si="6"/>
        <v>11698585.6</v>
      </c>
      <c r="G33" s="14"/>
      <c r="H33" s="14"/>
    </row>
    <row r="34" spans="1:8" x14ac:dyDescent="0.2">
      <c r="A34" s="285" t="s">
        <v>390</v>
      </c>
      <c r="B34" s="113">
        <f>+'3 Proyecciones Otros Periodos'!B43</f>
        <v>4759248.5118340133</v>
      </c>
      <c r="C34" s="113">
        <f t="shared" si="6"/>
        <v>4949618.4523073742</v>
      </c>
      <c r="D34" s="113">
        <f t="shared" si="6"/>
        <v>5147603.1903996691</v>
      </c>
      <c r="E34" s="113">
        <f t="shared" si="6"/>
        <v>5353507.3180156564</v>
      </c>
      <c r="F34" s="113">
        <f t="shared" si="6"/>
        <v>5567647.6107362825</v>
      </c>
      <c r="G34" s="14"/>
      <c r="H34" s="14"/>
    </row>
    <row r="35" spans="1:8" x14ac:dyDescent="0.2">
      <c r="A35" s="285" t="s">
        <v>392</v>
      </c>
      <c r="B35" s="113"/>
      <c r="C35" s="113"/>
      <c r="D35" s="113"/>
      <c r="E35" s="113"/>
      <c r="F35" s="113"/>
      <c r="G35" s="14"/>
      <c r="H35" s="14"/>
    </row>
    <row r="36" spans="1:8" x14ac:dyDescent="0.2">
      <c r="A36" s="285" t="s">
        <v>488</v>
      </c>
      <c r="B36" s="113">
        <f>+'3 Proyecciones Otros Periodos'!$D$51</f>
        <v>0</v>
      </c>
      <c r="C36" s="113">
        <f>+'3 Proyecciones Otros Periodos'!$D$51</f>
        <v>0</v>
      </c>
      <c r="D36" s="113">
        <f>+'3 Proyecciones Otros Periodos'!$D$51</f>
        <v>0</v>
      </c>
      <c r="E36" s="113">
        <f>+'3 Proyecciones Otros Periodos'!$D$51</f>
        <v>0</v>
      </c>
      <c r="F36" s="113">
        <f>+'3 Proyecciones Otros Periodos'!$D$51</f>
        <v>0</v>
      </c>
      <c r="G36" s="14"/>
      <c r="H36" s="14"/>
    </row>
    <row r="37" spans="1:8" x14ac:dyDescent="0.2">
      <c r="A37" s="285" t="s">
        <v>393</v>
      </c>
      <c r="B37" s="113">
        <f>+'4.0 Balance Base'!$F$22*12.5%</f>
        <v>21580575</v>
      </c>
      <c r="C37" s="113">
        <f>+'4.0 Balance Base'!$F$22*12.5%</f>
        <v>21580575</v>
      </c>
      <c r="D37" s="113">
        <f>+'4.0 Balance Base'!$F$22*12.5%</f>
        <v>21580575</v>
      </c>
      <c r="E37" s="113">
        <f>+'4.0 Balance Base'!$F$22*12.5%</f>
        <v>21580575</v>
      </c>
      <c r="F37" s="113">
        <f>+'4.0 Balance Base'!$F$22*12.5%</f>
        <v>21580575</v>
      </c>
      <c r="G37" s="14"/>
      <c r="H37" s="14"/>
    </row>
    <row r="38" spans="1:8" x14ac:dyDescent="0.2">
      <c r="A38" s="285" t="s">
        <v>386</v>
      </c>
      <c r="B38" s="113">
        <f>-('4.2 Balance Proyectado'!B13-'4.0 Balance Base'!F15)</f>
        <v>0</v>
      </c>
      <c r="C38" s="113">
        <f>-('4.2 Balance Proyectado'!C13-'4.2 Balance Proyectado'!B13)</f>
        <v>0</v>
      </c>
      <c r="D38" s="113">
        <f>-('4.2 Balance Proyectado'!D13-'4.2 Balance Proyectado'!C13)</f>
        <v>0</v>
      </c>
      <c r="E38" s="113">
        <f>-('4.2 Balance Proyectado'!E13-'4.2 Balance Proyectado'!D13)</f>
        <v>0</v>
      </c>
      <c r="F38" s="113">
        <f>-('4.2 Balance Proyectado'!F13-'4.2 Balance Proyectado'!E13)</f>
        <v>0</v>
      </c>
      <c r="G38" s="14"/>
      <c r="H38" s="14"/>
    </row>
    <row r="39" spans="1:8" ht="15" x14ac:dyDescent="0.25">
      <c r="A39" s="286" t="s">
        <v>387</v>
      </c>
      <c r="B39" s="287">
        <f>SUM(B26:B38)</f>
        <v>1181623031.4703372</v>
      </c>
      <c r="C39" s="287">
        <f t="shared" ref="C39:F39" si="7">SUM(C26:C38)</f>
        <v>1228024729.7291508</v>
      </c>
      <c r="D39" s="287">
        <f t="shared" si="7"/>
        <v>1276282495.9183168</v>
      </c>
      <c r="E39" s="287">
        <f t="shared" si="7"/>
        <v>1326470572.7550495</v>
      </c>
      <c r="F39" s="287">
        <f t="shared" si="7"/>
        <v>1378666172.6652515</v>
      </c>
      <c r="G39" s="14"/>
      <c r="H39" s="14"/>
    </row>
    <row r="40" spans="1:8" x14ac:dyDescent="0.2">
      <c r="A40" s="110"/>
      <c r="B40" s="113"/>
      <c r="C40" s="113"/>
      <c r="D40" s="113"/>
      <c r="E40" s="113"/>
      <c r="F40" s="113"/>
      <c r="G40" s="14"/>
      <c r="H40" s="14"/>
    </row>
    <row r="41" spans="1:8" ht="15" x14ac:dyDescent="0.25">
      <c r="A41" s="286" t="s">
        <v>388</v>
      </c>
      <c r="B41" s="287">
        <f>+B23-B39</f>
        <v>254509410.67966294</v>
      </c>
      <c r="C41" s="287">
        <f t="shared" ref="C41:F41" si="8">+C23-C39</f>
        <v>251191685.68534946</v>
      </c>
      <c r="D41" s="287">
        <f t="shared" si="8"/>
        <v>247310411.9586184</v>
      </c>
      <c r="E41" s="287">
        <f t="shared" si="8"/>
        <v>242830122.35819387</v>
      </c>
      <c r="F41" s="287">
        <f t="shared" si="8"/>
        <v>237713543.30138922</v>
      </c>
      <c r="G41" s="14"/>
      <c r="H41" s="14"/>
    </row>
    <row r="42" spans="1:8" x14ac:dyDescent="0.2">
      <c r="A42" s="110"/>
      <c r="B42" s="113"/>
      <c r="C42" s="113"/>
      <c r="D42" s="113"/>
      <c r="E42" s="113"/>
      <c r="F42" s="113"/>
      <c r="G42" s="14"/>
      <c r="H42" s="14"/>
    </row>
    <row r="43" spans="1:8" x14ac:dyDescent="0.2">
      <c r="A43" s="285" t="s">
        <v>398</v>
      </c>
      <c r="B43" s="113">
        <f>+SUM('3 Proyecciones Otros Periodos'!E64:E67)</f>
        <v>0</v>
      </c>
      <c r="C43" s="113">
        <f>+SUM('3 Proyecciones Otros Periodos'!E68:E71)</f>
        <v>0</v>
      </c>
      <c r="D43" s="113">
        <f>+SUM('3 Proyecciones Otros Periodos'!E72:E75)</f>
        <v>0</v>
      </c>
      <c r="E43" s="113">
        <f>+SUM('3 Proyecciones Otros Periodos'!E76:E79)</f>
        <v>0</v>
      </c>
      <c r="F43" s="113">
        <f>+SUM('3 Proyecciones Otros Periodos'!E80:E83)</f>
        <v>0</v>
      </c>
      <c r="G43" s="14"/>
      <c r="H43" s="14"/>
    </row>
    <row r="44" spans="1:8" x14ac:dyDescent="0.2">
      <c r="A44" s="110"/>
      <c r="B44" s="113"/>
      <c r="C44" s="113"/>
      <c r="D44" s="113"/>
      <c r="E44" s="113"/>
      <c r="F44" s="113"/>
      <c r="G44" s="14"/>
      <c r="H44" s="14"/>
    </row>
    <row r="45" spans="1:8" ht="15" x14ac:dyDescent="0.25">
      <c r="A45" s="286" t="s">
        <v>8</v>
      </c>
      <c r="B45" s="287">
        <f>+B41-B43</f>
        <v>254509410.67966294</v>
      </c>
      <c r="C45" s="287">
        <f t="shared" ref="C45:F45" si="9">+C41-C43</f>
        <v>251191685.68534946</v>
      </c>
      <c r="D45" s="287">
        <f t="shared" si="9"/>
        <v>247310411.9586184</v>
      </c>
      <c r="E45" s="287">
        <f t="shared" si="9"/>
        <v>242830122.35819387</v>
      </c>
      <c r="F45" s="287">
        <f t="shared" si="9"/>
        <v>237713543.30138922</v>
      </c>
      <c r="G45" s="14"/>
      <c r="H45" s="14"/>
    </row>
    <row r="46" spans="1:8" ht="15" x14ac:dyDescent="0.25">
      <c r="A46" s="285" t="s">
        <v>29</v>
      </c>
      <c r="B46" s="113">
        <f>+'4.0 Balance Base'!I18+'4.0 Balance Base'!I19</f>
        <v>0</v>
      </c>
      <c r="C46" s="283"/>
      <c r="D46" s="283"/>
      <c r="E46" s="283"/>
      <c r="F46" s="283"/>
      <c r="G46" s="14"/>
      <c r="H46" s="14"/>
    </row>
    <row r="47" spans="1:8" ht="15" x14ac:dyDescent="0.25">
      <c r="A47" s="286" t="s">
        <v>8</v>
      </c>
      <c r="B47" s="287">
        <f>+SUM(B45:B46)</f>
        <v>254509410.67966294</v>
      </c>
      <c r="C47" s="287">
        <f t="shared" ref="C47:F47" si="10">+SUM(C45:C46)</f>
        <v>251191685.68534946</v>
      </c>
      <c r="D47" s="287">
        <f t="shared" si="10"/>
        <v>247310411.9586184</v>
      </c>
      <c r="E47" s="287">
        <f t="shared" si="10"/>
        <v>242830122.35819387</v>
      </c>
      <c r="F47" s="287">
        <f t="shared" si="10"/>
        <v>237713543.30138922</v>
      </c>
      <c r="G47" s="14"/>
      <c r="H47" s="14"/>
    </row>
    <row r="48" spans="1:8" x14ac:dyDescent="0.2">
      <c r="A48" s="110"/>
      <c r="B48" s="113"/>
      <c r="C48" s="113"/>
      <c r="D48" s="113"/>
      <c r="E48" s="113"/>
      <c r="F48" s="113"/>
      <c r="G48" s="14"/>
      <c r="H48" s="14"/>
    </row>
    <row r="49" spans="1:7" x14ac:dyDescent="0.2">
      <c r="A49" s="285" t="s">
        <v>437</v>
      </c>
      <c r="B49" s="113">
        <f>+B47*35%</f>
        <v>89078293.737882018</v>
      </c>
      <c r="C49" s="113">
        <f t="shared" ref="C49:F49" si="11">+C45*35%</f>
        <v>87917089.989872307</v>
      </c>
      <c r="D49" s="113">
        <f t="shared" si="11"/>
        <v>86558644.185516432</v>
      </c>
      <c r="E49" s="113">
        <f t="shared" si="11"/>
        <v>84990542.825367853</v>
      </c>
      <c r="F49" s="113">
        <f t="shared" si="11"/>
        <v>83199740.155486226</v>
      </c>
    </row>
    <row r="50" spans="1:7" x14ac:dyDescent="0.2">
      <c r="A50" s="110"/>
      <c r="B50" s="113"/>
      <c r="C50" s="113"/>
      <c r="D50" s="113"/>
      <c r="E50" s="113"/>
      <c r="F50" s="113"/>
    </row>
    <row r="51" spans="1:7" ht="15" x14ac:dyDescent="0.25">
      <c r="A51" s="286" t="s">
        <v>9</v>
      </c>
      <c r="B51" s="287">
        <f>+B45-B49</f>
        <v>165431116.94178092</v>
      </c>
      <c r="C51" s="287">
        <f t="shared" ref="C51:F51" si="12">+C45-C49</f>
        <v>163274595.69547716</v>
      </c>
      <c r="D51" s="287">
        <f t="shared" si="12"/>
        <v>160751767.77310199</v>
      </c>
      <c r="E51" s="287">
        <f t="shared" si="12"/>
        <v>157839579.53282601</v>
      </c>
      <c r="F51" s="287">
        <f t="shared" si="12"/>
        <v>154513803.14590299</v>
      </c>
    </row>
    <row r="52" spans="1:7" x14ac:dyDescent="0.2">
      <c r="A52" s="110"/>
      <c r="B52" s="110"/>
      <c r="C52" s="110"/>
      <c r="D52" s="110"/>
      <c r="E52" s="110"/>
      <c r="F52" s="110"/>
    </row>
    <row r="53" spans="1:7" x14ac:dyDescent="0.2">
      <c r="A53" s="110" t="s">
        <v>436</v>
      </c>
      <c r="B53" s="113">
        <f>+B51*10%</f>
        <v>16543111.694178093</v>
      </c>
      <c r="C53" s="113">
        <f t="shared" ref="C53:F53" si="13">+C51*10%</f>
        <v>16327459.569547717</v>
      </c>
      <c r="D53" s="113">
        <f t="shared" si="13"/>
        <v>16075176.7773102</v>
      </c>
      <c r="E53" s="113">
        <f t="shared" si="13"/>
        <v>15783957.953282602</v>
      </c>
      <c r="F53" s="113">
        <f t="shared" si="13"/>
        <v>15451380.3145903</v>
      </c>
    </row>
    <row r="54" spans="1:7" x14ac:dyDescent="0.2">
      <c r="A54" s="110"/>
      <c r="B54" s="110"/>
      <c r="C54" s="110"/>
      <c r="D54" s="110"/>
      <c r="E54" s="110"/>
      <c r="F54" s="110"/>
    </row>
    <row r="55" spans="1:7" x14ac:dyDescent="0.2">
      <c r="A55" s="110" t="s">
        <v>435</v>
      </c>
      <c r="B55" s="116">
        <f>+B51-B53</f>
        <v>148888005.24760282</v>
      </c>
      <c r="C55" s="116">
        <f t="shared" ref="C55:F55" si="14">+C51-C53</f>
        <v>146947136.12592945</v>
      </c>
      <c r="D55" s="116">
        <f t="shared" si="14"/>
        <v>144676590.99579179</v>
      </c>
      <c r="E55" s="116">
        <f t="shared" si="14"/>
        <v>142055621.57954341</v>
      </c>
      <c r="F55" s="116">
        <f t="shared" si="14"/>
        <v>139062422.83131269</v>
      </c>
      <c r="G55" s="16"/>
    </row>
    <row r="56" spans="1:7" x14ac:dyDescent="0.2">
      <c r="G56" s="4"/>
    </row>
    <row r="57" spans="1:7" x14ac:dyDescent="0.2">
      <c r="B57" s="16"/>
      <c r="G57" s="16"/>
    </row>
    <row r="59" spans="1:7" x14ac:dyDescent="0.2">
      <c r="B59" s="16"/>
    </row>
  </sheetData>
  <mergeCells count="6">
    <mergeCell ref="F7:F8"/>
    <mergeCell ref="A7:A8"/>
    <mergeCell ref="B7:B8"/>
    <mergeCell ref="C7:C8"/>
    <mergeCell ref="D7:D8"/>
    <mergeCell ref="E7:E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5:F47"/>
  <sheetViews>
    <sheetView showGridLines="0" topLeftCell="A26" zoomScaleNormal="100" workbookViewId="0">
      <selection activeCell="F42" sqref="F42"/>
    </sheetView>
  </sheetViews>
  <sheetFormatPr baseColWidth="10" defaultColWidth="11.42578125" defaultRowHeight="14.25" x14ac:dyDescent="0.2"/>
  <cols>
    <col min="1" max="1" width="42.42578125" style="2" bestFit="1" customWidth="1"/>
    <col min="2" max="5" width="15.7109375" style="2" bestFit="1" customWidth="1"/>
    <col min="6" max="6" width="17" style="2" bestFit="1" customWidth="1"/>
    <col min="7" max="16384" width="11.42578125" style="2"/>
  </cols>
  <sheetData>
    <row r="5" spans="1:6" ht="15" x14ac:dyDescent="0.25">
      <c r="A5" s="12" t="s">
        <v>344</v>
      </c>
      <c r="B5" s="13"/>
      <c r="C5" s="13"/>
      <c r="D5" s="13"/>
      <c r="E5" s="13"/>
      <c r="F5" s="13"/>
    </row>
    <row r="6" spans="1:6" ht="15" x14ac:dyDescent="0.25">
      <c r="A6" s="12" t="s">
        <v>343</v>
      </c>
      <c r="B6" s="13"/>
      <c r="C6" s="13"/>
      <c r="D6" s="13"/>
      <c r="E6" s="13"/>
      <c r="F6" s="13"/>
    </row>
    <row r="7" spans="1:6" x14ac:dyDescent="0.2">
      <c r="A7" s="13"/>
      <c r="B7" s="13"/>
      <c r="C7" s="13"/>
      <c r="D7" s="13"/>
    </row>
    <row r="8" spans="1:6" x14ac:dyDescent="0.2">
      <c r="A8" s="416" t="s">
        <v>342</v>
      </c>
      <c r="B8" s="416">
        <v>1</v>
      </c>
      <c r="C8" s="416">
        <v>2</v>
      </c>
      <c r="D8" s="416">
        <v>3</v>
      </c>
      <c r="E8" s="416">
        <v>4</v>
      </c>
      <c r="F8" s="416">
        <v>5</v>
      </c>
    </row>
    <row r="9" spans="1:6" x14ac:dyDescent="0.2">
      <c r="A9" s="433"/>
      <c r="B9" s="433"/>
      <c r="C9" s="433"/>
      <c r="D9" s="433"/>
      <c r="E9" s="433"/>
      <c r="F9" s="433"/>
    </row>
    <row r="10" spans="1:6" ht="15" x14ac:dyDescent="0.25">
      <c r="A10" s="345" t="s">
        <v>438</v>
      </c>
      <c r="B10" s="346"/>
      <c r="C10" s="346"/>
      <c r="D10" s="346"/>
      <c r="E10" s="346"/>
      <c r="F10" s="346"/>
    </row>
    <row r="11" spans="1:6" x14ac:dyDescent="0.2">
      <c r="A11" s="288" t="s">
        <v>345</v>
      </c>
      <c r="B11" s="113">
        <f>+'6. Flujo de Caja &amp; VPN'!C38</f>
        <v>621328260.91716313</v>
      </c>
      <c r="C11" s="113">
        <f>+'6. Flujo de Caja &amp; VPN'!D38</f>
        <v>738749993.81834412</v>
      </c>
      <c r="D11" s="113">
        <f>+'6. Flujo de Caja &amp; VPN'!E38</f>
        <v>921147374.44293642</v>
      </c>
      <c r="E11" s="113">
        <f>+'6. Flujo de Caja &amp; VPN'!F38</f>
        <v>1100587420.2390649</v>
      </c>
      <c r="F11" s="113">
        <f>+'6. Flujo de Caja &amp; VPN'!G38</f>
        <v>1276653304.7534871</v>
      </c>
    </row>
    <row r="12" spans="1:6" x14ac:dyDescent="0.2">
      <c r="A12" s="288" t="s">
        <v>346</v>
      </c>
      <c r="B12" s="113">
        <f>+'4.1 Resultados Proyectados'!B14*'1.4 Base Otros Supuestos'!$B$11/360</f>
        <v>0</v>
      </c>
      <c r="C12" s="113">
        <f>+'4.1 Resultados Proyectados'!C14*'1.4 Base Otros Supuestos'!$B$11/360</f>
        <v>0</v>
      </c>
      <c r="D12" s="113">
        <f>+'4.1 Resultados Proyectados'!D14*'1.4 Base Otros Supuestos'!$B$11/360</f>
        <v>0</v>
      </c>
      <c r="E12" s="113">
        <f>+'4.1 Resultados Proyectados'!E14*'1.4 Base Otros Supuestos'!$B$11/360</f>
        <v>0</v>
      </c>
      <c r="F12" s="113">
        <f>+'4.1 Resultados Proyectados'!F14*'1.4 Base Otros Supuestos'!$B$11/360</f>
        <v>0</v>
      </c>
    </row>
    <row r="13" spans="1:6" x14ac:dyDescent="0.2">
      <c r="A13" s="288" t="s">
        <v>347</v>
      </c>
      <c r="B13" s="113">
        <f>-'4.0 Balance Base'!F14*5%</f>
        <v>0</v>
      </c>
      <c r="C13" s="113">
        <f>-B12*5%</f>
        <v>0</v>
      </c>
      <c r="D13" s="113">
        <f t="shared" ref="D13:F13" si="0">-C12*5%</f>
        <v>0</v>
      </c>
      <c r="E13" s="113">
        <f t="shared" si="0"/>
        <v>0</v>
      </c>
      <c r="F13" s="113">
        <f t="shared" si="0"/>
        <v>0</v>
      </c>
    </row>
    <row r="14" spans="1:6" x14ac:dyDescent="0.2">
      <c r="A14" s="288" t="s">
        <v>348</v>
      </c>
      <c r="B14" s="113">
        <v>0</v>
      </c>
      <c r="C14" s="113">
        <f>+'6. Flujo de Caja &amp; VPN'!D32</f>
        <v>66808720.303411514</v>
      </c>
      <c r="D14" s="113">
        <f>+'6. Flujo de Caja &amp; VPN'!E32</f>
        <v>65937817.49240423</v>
      </c>
      <c r="E14" s="113">
        <f>+'6. Flujo de Caja &amp; VPN'!F32</f>
        <v>64918983.139137328</v>
      </c>
      <c r="F14" s="113">
        <f>+'6. Flujo de Caja &amp; VPN'!G32</f>
        <v>63742907.119025886</v>
      </c>
    </row>
    <row r="15" spans="1:6" hidden="1" x14ac:dyDescent="0.2">
      <c r="A15" s="288" t="s">
        <v>76</v>
      </c>
      <c r="B15" s="113">
        <f>+'4.1 Resultados Proyectados'!B21*'1.4 Base Otros Supuestos'!$B$14/360</f>
        <v>0</v>
      </c>
      <c r="C15" s="113">
        <f>+'4.1 Resultados Proyectados'!C21*'1.4 Base Otros Supuestos'!$B$14/360</f>
        <v>0</v>
      </c>
      <c r="D15" s="113">
        <f>+'4.1 Resultados Proyectados'!D21*'1.4 Base Otros Supuestos'!$B$14/360</f>
        <v>0</v>
      </c>
      <c r="E15" s="113">
        <f>+'4.1 Resultados Proyectados'!E21*'1.4 Base Otros Supuestos'!$B$14/360</f>
        <v>0</v>
      </c>
      <c r="F15" s="113">
        <f>+'4.1 Resultados Proyectados'!F21*'1.4 Base Otros Supuestos'!$B$14/360</f>
        <v>0</v>
      </c>
    </row>
    <row r="16" spans="1:6" hidden="1" x14ac:dyDescent="0.2">
      <c r="A16" s="288" t="s">
        <v>77</v>
      </c>
      <c r="B16" s="113">
        <f>+'4.0 Balance Base'!$F$17</f>
        <v>0</v>
      </c>
      <c r="C16" s="113">
        <f>+'4.0 Balance Base'!$F$17</f>
        <v>0</v>
      </c>
      <c r="D16" s="113">
        <f>+'4.0 Balance Base'!$F$17</f>
        <v>0</v>
      </c>
      <c r="E16" s="113">
        <f>+'4.0 Balance Base'!$F$17</f>
        <v>0</v>
      </c>
      <c r="F16" s="113">
        <f>+'4.0 Balance Base'!$F$17</f>
        <v>0</v>
      </c>
    </row>
    <row r="17" spans="1:6" hidden="1" x14ac:dyDescent="0.2">
      <c r="A17" s="288" t="s">
        <v>78</v>
      </c>
      <c r="B17" s="113">
        <f>+'4.0 Balance Base'!$F$18</f>
        <v>0</v>
      </c>
      <c r="C17" s="113">
        <f>+'4.0 Balance Base'!$F$18</f>
        <v>0</v>
      </c>
      <c r="D17" s="113">
        <f>+'4.0 Balance Base'!$F$18</f>
        <v>0</v>
      </c>
      <c r="E17" s="113">
        <f>+'4.0 Balance Base'!$F$18</f>
        <v>0</v>
      </c>
      <c r="F17" s="113">
        <f>+'4.0 Balance Base'!$F$18</f>
        <v>0</v>
      </c>
    </row>
    <row r="18" spans="1:6" hidden="1" x14ac:dyDescent="0.2">
      <c r="A18" s="288" t="s">
        <v>79</v>
      </c>
      <c r="B18" s="113">
        <f>+'4.0 Balance Base'!$F$19</f>
        <v>0</v>
      </c>
      <c r="C18" s="113">
        <f>+'4.0 Balance Base'!$F$19</f>
        <v>0</v>
      </c>
      <c r="D18" s="113">
        <f>+'4.0 Balance Base'!$F$19</f>
        <v>0</v>
      </c>
      <c r="E18" s="113">
        <f>+'4.0 Balance Base'!$F$19</f>
        <v>0</v>
      </c>
      <c r="F18" s="113">
        <f>+'4.0 Balance Base'!$F$19</f>
        <v>0</v>
      </c>
    </row>
    <row r="19" spans="1:6" hidden="1" x14ac:dyDescent="0.2">
      <c r="A19" s="288" t="s">
        <v>80</v>
      </c>
      <c r="B19" s="113">
        <f>+'4.0 Balance Base'!$F$20</f>
        <v>0</v>
      </c>
      <c r="C19" s="113">
        <f>+'4.0 Balance Base'!$F$20</f>
        <v>0</v>
      </c>
      <c r="D19" s="113">
        <f>+'4.0 Balance Base'!$F$20</f>
        <v>0</v>
      </c>
      <c r="E19" s="113">
        <f>+'4.0 Balance Base'!$F$20</f>
        <v>0</v>
      </c>
      <c r="F19" s="113">
        <f>+'4.0 Balance Base'!$F$20</f>
        <v>0</v>
      </c>
    </row>
    <row r="20" spans="1:6" hidden="1" x14ac:dyDescent="0.2">
      <c r="A20" s="288" t="s">
        <v>81</v>
      </c>
      <c r="B20" s="113">
        <f>+'4.0 Balance Base'!F21-'4.1 Resultados Proyectados'!B36</f>
        <v>0</v>
      </c>
      <c r="C20" s="113">
        <f>+B20-'4.1 Resultados Proyectados'!C36</f>
        <v>0</v>
      </c>
      <c r="D20" s="113">
        <f>+C20-'4.1 Resultados Proyectados'!D36</f>
        <v>0</v>
      </c>
      <c r="E20" s="113">
        <f>+D20-'4.1 Resultados Proyectados'!E36</f>
        <v>0</v>
      </c>
      <c r="F20" s="113">
        <f>+E20-'4.1 Resultados Proyectados'!F36</f>
        <v>0</v>
      </c>
    </row>
    <row r="21" spans="1:6" x14ac:dyDescent="0.2">
      <c r="A21" s="288" t="s">
        <v>26</v>
      </c>
      <c r="B21" s="113">
        <f>+'4.0 Balance Base'!$F$22</f>
        <v>172644600</v>
      </c>
      <c r="C21" s="113">
        <f>+'4.0 Balance Base'!$F$22</f>
        <v>172644600</v>
      </c>
      <c r="D21" s="113">
        <f>+'4.0 Balance Base'!$F$22</f>
        <v>172644600</v>
      </c>
      <c r="E21" s="113">
        <f>+'4.0 Balance Base'!$F$22</f>
        <v>172644600</v>
      </c>
      <c r="F21" s="113">
        <f>+'4.0 Balance Base'!$F$22</f>
        <v>172644600</v>
      </c>
    </row>
    <row r="22" spans="1:6" x14ac:dyDescent="0.2">
      <c r="A22" s="288" t="s">
        <v>393</v>
      </c>
      <c r="B22" s="113">
        <f>+'4.0 Balance Base'!F23-'4.1 Resultados Proyectados'!B37</f>
        <v>-21580575</v>
      </c>
      <c r="C22" s="113">
        <f>+B22-'4.1 Resultados Proyectados'!C37</f>
        <v>-43161150</v>
      </c>
      <c r="D22" s="113">
        <f>+C22-'4.1 Resultados Proyectados'!D37</f>
        <v>-64741725</v>
      </c>
      <c r="E22" s="113">
        <f>+D22-'4.1 Resultados Proyectados'!E37</f>
        <v>-86322300</v>
      </c>
      <c r="F22" s="113">
        <f>+E22-'4.1 Resultados Proyectados'!F37</f>
        <v>-107902875</v>
      </c>
    </row>
    <row r="23" spans="1:6" hidden="1" x14ac:dyDescent="0.2">
      <c r="A23" s="288" t="s">
        <v>82</v>
      </c>
      <c r="B23" s="113">
        <f>+'4.0 Balance Base'!F24</f>
        <v>0</v>
      </c>
      <c r="C23" s="113">
        <v>0</v>
      </c>
      <c r="D23" s="113">
        <v>0</v>
      </c>
      <c r="E23" s="113">
        <v>0</v>
      </c>
      <c r="F23" s="113">
        <v>0</v>
      </c>
    </row>
    <row r="24" spans="1:6" ht="15" x14ac:dyDescent="0.25">
      <c r="A24" s="348" t="s">
        <v>439</v>
      </c>
      <c r="B24" s="348">
        <f>+SUM(B11:B23)</f>
        <v>772392285.91716313</v>
      </c>
      <c r="C24" s="348">
        <f t="shared" ref="C24:F24" si="1">+SUM(C11:C23)</f>
        <v>935042164.1217556</v>
      </c>
      <c r="D24" s="348">
        <f t="shared" si="1"/>
        <v>1094988066.9353406</v>
      </c>
      <c r="E24" s="348">
        <f t="shared" si="1"/>
        <v>1251828703.3782022</v>
      </c>
      <c r="F24" s="348">
        <f t="shared" si="1"/>
        <v>1405137936.8725131</v>
      </c>
    </row>
    <row r="25" spans="1:6" x14ac:dyDescent="0.2">
      <c r="A25" s="424"/>
      <c r="B25" s="425"/>
      <c r="C25" s="425"/>
      <c r="D25" s="425"/>
      <c r="E25" s="425"/>
      <c r="F25" s="426"/>
    </row>
    <row r="26" spans="1:6" x14ac:dyDescent="0.2">
      <c r="A26" s="427"/>
      <c r="B26" s="428"/>
      <c r="C26" s="428"/>
      <c r="D26" s="428"/>
      <c r="E26" s="428"/>
      <c r="F26" s="429"/>
    </row>
    <row r="27" spans="1:6" ht="15" x14ac:dyDescent="0.2">
      <c r="A27" s="350" t="s">
        <v>32</v>
      </c>
      <c r="B27" s="351"/>
      <c r="C27" s="352"/>
      <c r="D27" s="352"/>
      <c r="E27" s="352"/>
      <c r="F27" s="352"/>
    </row>
    <row r="28" spans="1:6" x14ac:dyDescent="0.2">
      <c r="A28" s="116" t="s">
        <v>340</v>
      </c>
      <c r="B28" s="113">
        <f>+'4.0 Balance Base'!I13-'6. Flujo de Caja &amp; VPN'!C30</f>
        <v>0</v>
      </c>
      <c r="C28" s="113">
        <f>+B28-'6. Flujo de Caja &amp; VPN'!D30</f>
        <v>0</v>
      </c>
      <c r="D28" s="113">
        <f>+C28-'6. Flujo de Caja &amp; VPN'!E30</f>
        <v>0</v>
      </c>
      <c r="E28" s="113">
        <f>+D28-'6. Flujo de Caja &amp; VPN'!F30</f>
        <v>0</v>
      </c>
      <c r="F28" s="113">
        <f>+E28-'6. Flujo de Caja &amp; VPN'!G30</f>
        <v>0</v>
      </c>
    </row>
    <row r="29" spans="1:6" x14ac:dyDescent="0.2">
      <c r="A29" s="116" t="s">
        <v>18</v>
      </c>
      <c r="B29" s="113">
        <f>+'3 Proyecciones Otros Periodos'!F27*'1.4 Base Otros Supuestos'!$B$15/360</f>
        <v>17882875.237500001</v>
      </c>
      <c r="C29" s="113">
        <f>+'3 Proyecciones Otros Periodos'!G27*'1.4 Base Otros Supuestos'!$B$15/360</f>
        <v>18419361.494625002</v>
      </c>
      <c r="D29" s="113">
        <f>+'3 Proyecciones Otros Periodos'!H27*'1.4 Base Otros Supuestos'!$B$15/360</f>
        <v>18971942.339463752</v>
      </c>
      <c r="E29" s="113">
        <f>+'3 Proyecciones Otros Periodos'!I27*'1.4 Base Otros Supuestos'!$B$15/360</f>
        <v>19541100.609647665</v>
      </c>
      <c r="F29" s="113">
        <f>+'3 Proyecciones Otros Periodos'!J27*'1.4 Base Otros Supuestos'!$B$15/360</f>
        <v>20127333.627937101</v>
      </c>
    </row>
    <row r="30" spans="1:6" x14ac:dyDescent="0.2">
      <c r="A30" s="116" t="s">
        <v>349</v>
      </c>
      <c r="B30" s="113">
        <f>+'4.1 Resultados Proyectados'!B49</f>
        <v>89078293.737882018</v>
      </c>
      <c r="C30" s="113">
        <f>+'4.1 Resultados Proyectados'!C49</f>
        <v>87917089.989872307</v>
      </c>
      <c r="D30" s="113">
        <f>+'4.1 Resultados Proyectados'!D49</f>
        <v>86558644.185516432</v>
      </c>
      <c r="E30" s="113">
        <f>+'4.1 Resultados Proyectados'!E49</f>
        <v>84990542.825367853</v>
      </c>
      <c r="F30" s="113">
        <f>+'4.1 Resultados Proyectados'!F49</f>
        <v>83199740.155486226</v>
      </c>
    </row>
    <row r="31" spans="1:6" x14ac:dyDescent="0.2">
      <c r="A31" s="116" t="s">
        <v>350</v>
      </c>
      <c r="B31" s="113">
        <f>+'4.1 Resultados Proyectados'!B27</f>
        <v>0</v>
      </c>
      <c r="C31" s="113">
        <f>+'4.1 Resultados Proyectados'!C27</f>
        <v>0</v>
      </c>
      <c r="D31" s="113">
        <f>+'4.1 Resultados Proyectados'!D27</f>
        <v>0</v>
      </c>
      <c r="E31" s="113">
        <f>+'4.1 Resultados Proyectados'!E27</f>
        <v>0</v>
      </c>
      <c r="F31" s="113">
        <f>+'4.1 Resultados Proyectados'!F27</f>
        <v>0</v>
      </c>
    </row>
    <row r="32" spans="1:6" x14ac:dyDescent="0.2">
      <c r="A32" s="116" t="s">
        <v>351</v>
      </c>
      <c r="B32" s="113">
        <f>+'1.4 Base Otros Supuestos'!B25</f>
        <v>500000000</v>
      </c>
      <c r="C32" s="113">
        <f>+B32</f>
        <v>500000000</v>
      </c>
      <c r="D32" s="113">
        <f>+C32</f>
        <v>500000000</v>
      </c>
      <c r="E32" s="113">
        <f>+D32</f>
        <v>500000000</v>
      </c>
      <c r="F32" s="113">
        <f>+E32</f>
        <v>500000000</v>
      </c>
    </row>
    <row r="33" spans="1:6" x14ac:dyDescent="0.2">
      <c r="A33" s="116" t="s">
        <v>352</v>
      </c>
      <c r="B33" s="113">
        <f>+'4.0 Balance Base'!I17+'4.1 Resultados Proyectados'!B53</f>
        <v>16543111.694178093</v>
      </c>
      <c r="C33" s="113">
        <f>+B33+'4.1 Resultados Proyectados'!C53</f>
        <v>32870571.26372581</v>
      </c>
      <c r="D33" s="113">
        <f>+C33+'4.1 Resultados Proyectados'!D53</f>
        <v>48945748.04103601</v>
      </c>
      <c r="E33" s="113">
        <f>+D33+'4.1 Resultados Proyectados'!E53</f>
        <v>64729705.994318612</v>
      </c>
      <c r="F33" s="113">
        <f>+E33+'4.1 Resultados Proyectados'!F53</f>
        <v>80181086.30890891</v>
      </c>
    </row>
    <row r="34" spans="1:6" x14ac:dyDescent="0.2">
      <c r="A34" s="116" t="s">
        <v>353</v>
      </c>
      <c r="B34" s="113">
        <f>+'4.0 Balance Base'!I18+'4.0 Balance Base'!I19</f>
        <v>0</v>
      </c>
      <c r="C34" s="113">
        <f>+B34+B35</f>
        <v>148888005.24760282</v>
      </c>
      <c r="D34" s="113">
        <f t="shared" ref="D34:F34" si="2">+C34+C35</f>
        <v>295835141.3735323</v>
      </c>
      <c r="E34" s="113">
        <f t="shared" si="2"/>
        <v>440511732.36932409</v>
      </c>
      <c r="F34" s="113">
        <f t="shared" si="2"/>
        <v>582567353.94886756</v>
      </c>
    </row>
    <row r="35" spans="1:6" x14ac:dyDescent="0.2">
      <c r="A35" s="116" t="s">
        <v>354</v>
      </c>
      <c r="B35" s="113">
        <f>+'4.1 Resultados Proyectados'!B55</f>
        <v>148888005.24760282</v>
      </c>
      <c r="C35" s="113">
        <f>+'4.1 Resultados Proyectados'!C55</f>
        <v>146947136.12592945</v>
      </c>
      <c r="D35" s="113">
        <f>+'4.1 Resultados Proyectados'!D55</f>
        <v>144676590.99579179</v>
      </c>
      <c r="E35" s="113">
        <f>+'4.1 Resultados Proyectados'!E55</f>
        <v>142055621.57954341</v>
      </c>
      <c r="F35" s="113">
        <f>+'4.1 Resultados Proyectados'!F55</f>
        <v>139062422.83131269</v>
      </c>
    </row>
    <row r="36" spans="1:6" x14ac:dyDescent="0.2">
      <c r="A36" s="430"/>
      <c r="B36" s="431"/>
      <c r="C36" s="431"/>
      <c r="D36" s="431"/>
      <c r="E36" s="431"/>
      <c r="F36" s="432"/>
    </row>
    <row r="37" spans="1:6" hidden="1" x14ac:dyDescent="0.2">
      <c r="A37" s="110"/>
      <c r="B37" s="110"/>
      <c r="C37" s="110"/>
      <c r="D37" s="110"/>
      <c r="E37" s="110"/>
      <c r="F37" s="110"/>
    </row>
    <row r="38" spans="1:6" hidden="1" x14ac:dyDescent="0.2">
      <c r="A38" s="110"/>
      <c r="B38" s="110"/>
      <c r="C38" s="110"/>
      <c r="D38" s="110"/>
      <c r="E38" s="110"/>
      <c r="F38" s="110"/>
    </row>
    <row r="39" spans="1:6" hidden="1" x14ac:dyDescent="0.2">
      <c r="A39" s="110"/>
      <c r="B39" s="110"/>
      <c r="C39" s="110"/>
      <c r="D39" s="110"/>
      <c r="E39" s="110"/>
      <c r="F39" s="110"/>
    </row>
    <row r="40" spans="1:6" hidden="1" x14ac:dyDescent="0.2">
      <c r="A40" s="110"/>
      <c r="B40" s="110"/>
      <c r="C40" s="110"/>
      <c r="D40" s="110"/>
      <c r="E40" s="110"/>
      <c r="F40" s="110"/>
    </row>
    <row r="41" spans="1:6" ht="15" x14ac:dyDescent="0.25">
      <c r="A41" s="353" t="s">
        <v>355</v>
      </c>
      <c r="B41" s="347">
        <f>SUM(B28:B40)</f>
        <v>772392285.9171629</v>
      </c>
      <c r="C41" s="347">
        <f t="shared" ref="C41:F41" si="3">SUM(C28:C40)</f>
        <v>935042164.12175536</v>
      </c>
      <c r="D41" s="347">
        <f t="shared" si="3"/>
        <v>1094988066.9353404</v>
      </c>
      <c r="E41" s="347">
        <f t="shared" si="3"/>
        <v>1251828703.3782017</v>
      </c>
      <c r="F41" s="347">
        <f t="shared" si="3"/>
        <v>1405137936.8725123</v>
      </c>
    </row>
    <row r="43" spans="1:6" x14ac:dyDescent="0.2">
      <c r="A43" s="2" t="s">
        <v>341</v>
      </c>
      <c r="B43" s="16">
        <f>+B32+B33+B34+B35</f>
        <v>665431116.94178092</v>
      </c>
      <c r="C43" s="16">
        <f t="shared" ref="C43:F43" si="4">+C32+C33+C34+C35</f>
        <v>828705712.63725817</v>
      </c>
      <c r="D43" s="16">
        <f t="shared" si="4"/>
        <v>989457480.4103601</v>
      </c>
      <c r="E43" s="16">
        <f t="shared" si="4"/>
        <v>1147297059.943186</v>
      </c>
      <c r="F43" s="16">
        <f t="shared" si="4"/>
        <v>1301810863.0890892</v>
      </c>
    </row>
    <row r="44" spans="1:6" x14ac:dyDescent="0.2">
      <c r="A44" s="2" t="s">
        <v>356</v>
      </c>
      <c r="B44" s="16">
        <f>+B41-B43</f>
        <v>106961168.97538197</v>
      </c>
      <c r="C44" s="16">
        <f t="shared" ref="C44:F44" si="5">+C41-C43</f>
        <v>106336451.48449719</v>
      </c>
      <c r="D44" s="16">
        <f t="shared" si="5"/>
        <v>105530586.52498031</v>
      </c>
      <c r="E44" s="16">
        <f t="shared" si="5"/>
        <v>104531643.43501568</v>
      </c>
      <c r="F44" s="16">
        <f t="shared" si="5"/>
        <v>103327073.78342319</v>
      </c>
    </row>
    <row r="46" spans="1:6" x14ac:dyDescent="0.2">
      <c r="B46" s="21"/>
    </row>
    <row r="47" spans="1:6" x14ac:dyDescent="0.2">
      <c r="B47" s="21"/>
    </row>
  </sheetData>
  <mergeCells count="8">
    <mergeCell ref="A25:F26"/>
    <mergeCell ref="A36:F36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F189-306A-F148-BB01-90CACA2E47C6}">
  <dimension ref="A1:F30"/>
  <sheetViews>
    <sheetView showGridLines="0" topLeftCell="A8" workbookViewId="0">
      <selection activeCell="A29" sqref="A29"/>
    </sheetView>
  </sheetViews>
  <sheetFormatPr baseColWidth="10" defaultColWidth="11.42578125" defaultRowHeight="14.25" x14ac:dyDescent="0.2"/>
  <cols>
    <col min="1" max="1" width="50.28515625" style="2" bestFit="1" customWidth="1"/>
    <col min="2" max="16384" width="11.42578125" style="2"/>
  </cols>
  <sheetData>
    <row r="1" spans="1:6" ht="27.75" customHeight="1" x14ac:dyDescent="0.2">
      <c r="A1" s="440" t="s">
        <v>440</v>
      </c>
      <c r="B1" s="440"/>
      <c r="C1" s="440"/>
      <c r="D1" s="440"/>
      <c r="E1" s="440"/>
      <c r="F1" s="440"/>
    </row>
    <row r="2" spans="1:6" ht="30" customHeight="1" x14ac:dyDescent="0.2">
      <c r="A2" s="354" t="s">
        <v>342</v>
      </c>
      <c r="B2" s="354">
        <v>1</v>
      </c>
      <c r="C2" s="354">
        <v>2</v>
      </c>
      <c r="D2" s="354">
        <v>3</v>
      </c>
      <c r="E2" s="354">
        <v>4</v>
      </c>
      <c r="F2" s="354">
        <v>5</v>
      </c>
    </row>
    <row r="3" spans="1:6" ht="18" x14ac:dyDescent="0.25">
      <c r="A3" s="434" t="s">
        <v>328</v>
      </c>
      <c r="B3" s="435"/>
      <c r="C3" s="435"/>
      <c r="D3" s="435"/>
      <c r="E3" s="435"/>
      <c r="F3" s="436"/>
    </row>
    <row r="4" spans="1:6" x14ac:dyDescent="0.2">
      <c r="A4" s="437"/>
      <c r="B4" s="438"/>
      <c r="C4" s="438"/>
      <c r="D4" s="438"/>
      <c r="E4" s="438"/>
      <c r="F4" s="439"/>
    </row>
    <row r="5" spans="1:6" ht="15" x14ac:dyDescent="0.25">
      <c r="A5" s="258" t="s">
        <v>339</v>
      </c>
      <c r="B5" s="176">
        <f>+'4.1 Resultados Proyectados'!B10/'4.2 Balance Proyectado'!B24</f>
        <v>2.1371613558256533</v>
      </c>
      <c r="C5" s="176">
        <f>+'4.1 Resultados Proyectados'!C10/'4.2 Balance Proyectado'!C24</f>
        <v>1.8183658647596601</v>
      </c>
      <c r="D5" s="176">
        <f>+'4.1 Resultados Proyectados'!D10/'4.2 Balance Proyectado'!D24</f>
        <v>1.5993381743893584</v>
      </c>
      <c r="E5" s="176">
        <f>+'4.1 Resultados Proyectados'!E10/'4.2 Balance Proyectado'!E24</f>
        <v>1.4409270993397678</v>
      </c>
      <c r="F5" s="176">
        <f>+'4.1 Resultados Proyectados'!F10/'4.2 Balance Proyectado'!F24</f>
        <v>1.322224438432803</v>
      </c>
    </row>
    <row r="6" spans="1:6" x14ac:dyDescent="0.2">
      <c r="A6" s="437"/>
      <c r="B6" s="438"/>
      <c r="C6" s="438"/>
      <c r="D6" s="438"/>
      <c r="E6" s="438"/>
      <c r="F6" s="439"/>
    </row>
    <row r="7" spans="1:6" ht="15" x14ac:dyDescent="0.25">
      <c r="A7" s="258" t="s">
        <v>329</v>
      </c>
      <c r="B7" s="176">
        <f>+'4.1 Resultados Proyectados'!B10/'4.2 Balance Proyectado'!B43</f>
        <v>2.480687937447962</v>
      </c>
      <c r="C7" s="176">
        <f>+'4.1 Resultados Proyectados'!C10/'4.2 Balance Proyectado'!C43</f>
        <v>2.0516918459982123</v>
      </c>
      <c r="D7" s="176">
        <f>+'4.1 Resultados Proyectados'!D10/'4.2 Balance Proyectado'!D43</f>
        <v>1.769915585684589</v>
      </c>
      <c r="E7" s="176">
        <f>+'4.1 Resultados Proyectados'!E10/'4.2 Balance Proyectado'!E43</f>
        <v>1.5722117360941716</v>
      </c>
      <c r="F7" s="176">
        <f>+'4.1 Resultados Proyectados'!F10/'4.2 Balance Proyectado'!F43</f>
        <v>1.4271717744720804</v>
      </c>
    </row>
    <row r="8" spans="1:6" x14ac:dyDescent="0.2">
      <c r="A8" s="437"/>
      <c r="B8" s="438"/>
      <c r="C8" s="438"/>
      <c r="D8" s="438"/>
      <c r="E8" s="438"/>
      <c r="F8" s="439"/>
    </row>
    <row r="9" spans="1:6" ht="15" x14ac:dyDescent="0.25">
      <c r="A9" s="258" t="s">
        <v>330</v>
      </c>
      <c r="B9" s="176">
        <f>+'4.1 Resultados Proyectados'!B39/'4.1 Resultados Proyectados'!B10</f>
        <v>0.71581979990660249</v>
      </c>
      <c r="C9" s="176">
        <f>+'4.1 Resultados Proyectados'!C39/'4.1 Resultados Proyectados'!C10</f>
        <v>0.72226180275655172</v>
      </c>
      <c r="D9" s="176">
        <f>+'4.1 Resultados Proyectados'!D39/'4.1 Resultados Proyectados'!D10</f>
        <v>0.72878113681704204</v>
      </c>
      <c r="E9" s="176">
        <f>+'4.1 Resultados Proyectados'!E39/'4.1 Resultados Proyectados'!E10</f>
        <v>0.7353781221728295</v>
      </c>
      <c r="F9" s="176">
        <f>+'4.1 Resultados Proyectados'!F39/'4.1 Resultados Proyectados'!F10</f>
        <v>0.74205309456105739</v>
      </c>
    </row>
    <row r="10" spans="1:6" x14ac:dyDescent="0.2">
      <c r="A10" s="437"/>
      <c r="B10" s="438"/>
      <c r="C10" s="438"/>
      <c r="D10" s="438"/>
      <c r="E10" s="438"/>
      <c r="F10" s="439"/>
    </row>
    <row r="11" spans="1:6" ht="18" x14ac:dyDescent="0.25">
      <c r="A11" s="434" t="s">
        <v>331</v>
      </c>
      <c r="B11" s="435"/>
      <c r="C11" s="435"/>
      <c r="D11" s="435"/>
      <c r="E11" s="435"/>
      <c r="F11" s="436"/>
    </row>
    <row r="12" spans="1:6" x14ac:dyDescent="0.2">
      <c r="A12" s="437"/>
      <c r="B12" s="438"/>
      <c r="C12" s="438"/>
      <c r="D12" s="438"/>
      <c r="E12" s="438"/>
      <c r="F12" s="439"/>
    </row>
    <row r="13" spans="1:6" ht="15" x14ac:dyDescent="0.25">
      <c r="A13" s="258" t="s">
        <v>332</v>
      </c>
      <c r="B13" s="176">
        <f>+'4.2 Balance Proyectado'!B24/'4.2 Balance Proyectado'!B44</f>
        <v>7.2212401314998331</v>
      </c>
      <c r="C13" s="176">
        <f>+'4.2 Balance Proyectado'!C24/'4.2 Balance Proyectado'!C44</f>
        <v>8.7932421203473723</v>
      </c>
      <c r="D13" s="176">
        <f>+'4.2 Balance Proyectado'!D24/'4.2 Balance Proyectado'!D44</f>
        <v>10.376025595917108</v>
      </c>
      <c r="E13" s="176">
        <f>+'4.2 Balance Proyectado'!E24/'4.2 Balance Proyectado'!E44</f>
        <v>11.975595735815903</v>
      </c>
      <c r="F13" s="176">
        <f>+'4.2 Balance Proyectado'!F24/'4.2 Balance Proyectado'!F44</f>
        <v>13.598932839400122</v>
      </c>
    </row>
    <row r="14" spans="1:6" x14ac:dyDescent="0.2">
      <c r="A14" s="437"/>
      <c r="B14" s="438"/>
      <c r="C14" s="438"/>
      <c r="D14" s="438"/>
      <c r="E14" s="438"/>
      <c r="F14" s="439"/>
    </row>
    <row r="15" spans="1:6" ht="15" x14ac:dyDescent="0.25">
      <c r="A15" s="258" t="s">
        <v>333</v>
      </c>
      <c r="B15" s="176">
        <f>+'4.2 Balance Proyectado'!B24/'4.2 Balance Proyectado'!B44</f>
        <v>7.2212401314998331</v>
      </c>
      <c r="C15" s="176">
        <f>+'4.2 Balance Proyectado'!C24/'4.2 Balance Proyectado'!C44</f>
        <v>8.7932421203473723</v>
      </c>
      <c r="D15" s="176">
        <f>+'4.2 Balance Proyectado'!D24/'4.2 Balance Proyectado'!D44</f>
        <v>10.376025595917108</v>
      </c>
      <c r="E15" s="176">
        <f>+'4.2 Balance Proyectado'!E24/'4.2 Balance Proyectado'!E44</f>
        <v>11.975595735815903</v>
      </c>
      <c r="F15" s="176">
        <f>+'4.2 Balance Proyectado'!F24/'4.2 Balance Proyectado'!F44</f>
        <v>13.598932839400122</v>
      </c>
    </row>
    <row r="16" spans="1:6" x14ac:dyDescent="0.2">
      <c r="A16" s="437"/>
      <c r="B16" s="438"/>
      <c r="C16" s="438"/>
      <c r="D16" s="438"/>
      <c r="E16" s="438"/>
      <c r="F16" s="439"/>
    </row>
    <row r="17" spans="1:6" ht="18" x14ac:dyDescent="0.25">
      <c r="A17" s="434" t="s">
        <v>334</v>
      </c>
      <c r="B17" s="435"/>
      <c r="C17" s="435"/>
      <c r="D17" s="435"/>
      <c r="E17" s="435"/>
      <c r="F17" s="436"/>
    </row>
    <row r="18" spans="1:6" x14ac:dyDescent="0.2">
      <c r="A18" s="437"/>
      <c r="B18" s="438"/>
      <c r="C18" s="438"/>
      <c r="D18" s="438"/>
      <c r="E18" s="438"/>
      <c r="F18" s="439"/>
    </row>
    <row r="19" spans="1:6" ht="15" x14ac:dyDescent="0.25">
      <c r="A19" s="258" t="s">
        <v>335</v>
      </c>
      <c r="B19" s="176">
        <f>+'4.2 Balance Proyectado'!B44/'4.2 Balance Proyectado'!B43</f>
        <v>0.16073965622010442</v>
      </c>
      <c r="C19" s="176">
        <f>+'4.2 Balance Proyectado'!C44/'4.2 Balance Proyectado'!C43</f>
        <v>0.12831630078438094</v>
      </c>
      <c r="D19" s="176">
        <f>+'4.2 Balance Proyectado'!D44/'4.2 Balance Proyectado'!D43</f>
        <v>0.10665499894064508</v>
      </c>
      <c r="E19" s="176">
        <f>+'4.2 Balance Proyectado'!E44/'4.2 Balance Proyectado'!E43</f>
        <v>9.1111227496906574E-2</v>
      </c>
      <c r="F19" s="176">
        <f>+'4.2 Balance Proyectado'!F44/'4.2 Balance Proyectado'!F43</f>
        <v>7.9371801782508258E-2</v>
      </c>
    </row>
    <row r="20" spans="1:6" x14ac:dyDescent="0.2">
      <c r="A20" s="437"/>
      <c r="B20" s="438"/>
      <c r="C20" s="438"/>
      <c r="D20" s="438"/>
      <c r="E20" s="438"/>
      <c r="F20" s="439"/>
    </row>
    <row r="21" spans="1:6" ht="18" x14ac:dyDescent="0.25">
      <c r="A21" s="434" t="s">
        <v>336</v>
      </c>
      <c r="B21" s="435"/>
      <c r="C21" s="435"/>
      <c r="D21" s="435"/>
      <c r="E21" s="435"/>
      <c r="F21" s="436"/>
    </row>
    <row r="22" spans="1:6" x14ac:dyDescent="0.2">
      <c r="A22" s="437"/>
      <c r="B22" s="438"/>
      <c r="C22" s="438"/>
      <c r="D22" s="438"/>
      <c r="E22" s="438"/>
      <c r="F22" s="439"/>
    </row>
    <row r="23" spans="1:6" ht="15" x14ac:dyDescent="0.25">
      <c r="A23" s="258" t="s">
        <v>337</v>
      </c>
      <c r="B23" s="176">
        <f>+'4.1 Resultados Proyectados'!B41/'4.1 Resultados Proyectados'!B10</f>
        <v>0.15418020009339761</v>
      </c>
      <c r="C23" s="176">
        <f>+'4.1 Resultados Proyectados'!C41/'4.1 Resultados Proyectados'!C10</f>
        <v>0.14773819724344833</v>
      </c>
      <c r="D23" s="176">
        <f>+'4.1 Resultados Proyectados'!D41/'4.1 Resultados Proyectados'!D10</f>
        <v>0.14121886318295798</v>
      </c>
      <c r="E23" s="176">
        <f>+'4.1 Resultados Proyectados'!E41/'4.1 Resultados Proyectados'!E10</f>
        <v>0.13462187782717042</v>
      </c>
      <c r="F23" s="176">
        <f>+'4.1 Resultados Proyectados'!F41/'4.1 Resultados Proyectados'!F10</f>
        <v>0.12794690543894258</v>
      </c>
    </row>
    <row r="24" spans="1:6" x14ac:dyDescent="0.2">
      <c r="A24" s="437"/>
      <c r="B24" s="438"/>
      <c r="C24" s="438"/>
      <c r="D24" s="438"/>
      <c r="E24" s="438"/>
      <c r="F24" s="439"/>
    </row>
    <row r="25" spans="1:6" ht="15" x14ac:dyDescent="0.25">
      <c r="A25" s="258" t="s">
        <v>338</v>
      </c>
      <c r="B25" s="176">
        <f>+'4.1 Resultados Proyectados'!B55/'4.1 Resultados Proyectados'!B10</f>
        <v>9.01954170546376E-2</v>
      </c>
      <c r="C25" s="176">
        <f>+'4.1 Resultados Proyectados'!C55/'4.1 Resultados Proyectados'!C10</f>
        <v>8.6426845387417281E-2</v>
      </c>
      <c r="D25" s="176">
        <f>+'4.1 Resultados Proyectados'!D55/'4.1 Resultados Proyectados'!D10</f>
        <v>8.2613034962030429E-2</v>
      </c>
      <c r="E25" s="176">
        <f>+'4.1 Resultados Proyectados'!E55/'4.1 Resultados Proyectados'!E10</f>
        <v>7.8753798528894692E-2</v>
      </c>
      <c r="F25" s="176">
        <f>+'4.1 Resultados Proyectados'!F55/'4.1 Resultados Proyectados'!F10</f>
        <v>7.4848939681781398E-2</v>
      </c>
    </row>
    <row r="26" spans="1:6" x14ac:dyDescent="0.2">
      <c r="A26" s="437"/>
      <c r="B26" s="438"/>
      <c r="C26" s="438"/>
      <c r="D26" s="438"/>
      <c r="E26" s="438"/>
      <c r="F26" s="439"/>
    </row>
    <row r="27" spans="1:6" ht="18" x14ac:dyDescent="0.25">
      <c r="A27" s="434" t="s">
        <v>487</v>
      </c>
      <c r="B27" s="435"/>
      <c r="C27" s="435"/>
      <c r="D27" s="435"/>
      <c r="E27" s="435"/>
      <c r="F27" s="436"/>
    </row>
    <row r="28" spans="1:6" x14ac:dyDescent="0.2">
      <c r="A28" s="437"/>
      <c r="B28" s="438"/>
      <c r="C28" s="438"/>
      <c r="D28" s="438"/>
      <c r="E28" s="438"/>
      <c r="F28" s="439"/>
    </row>
    <row r="29" spans="1:6" ht="15" x14ac:dyDescent="0.25">
      <c r="A29" s="258" t="s">
        <v>485</v>
      </c>
      <c r="B29" s="173">
        <f>(+'4.1 Resultados Proyectados'!B29+'2.3 Cálculo Gastos Admon &amp; Vtas'!G12)/'1.3 Base Part.Mercado Fee'!F28</f>
        <v>2651392.6339471703</v>
      </c>
      <c r="C29" s="173">
        <f>+('4.1 Resultados Proyectados'!C29+'2.3 Cálculo Gastos Admon &amp; Vtas'!G13)/'1.3 Base Part.Mercado Fee'!F28</f>
        <v>2783038.7117503318</v>
      </c>
      <c r="D29" s="173">
        <f>+('4.1 Resultados Proyectados'!D29+'2.3 Cálculo Gastos Admon &amp; Vtas'!G14)/'1.3 Base Part.Mercado Fee'!F28</f>
        <v>2921486.055012336</v>
      </c>
      <c r="E29" s="173">
        <f>+('4.1 Resultados Proyectados'!E29+'2.3 Cálculo Gastos Admon &amp; Vtas'!G16)/'1.3 Base Part.Mercado Fee'!F28</f>
        <v>3158534.4687771825</v>
      </c>
      <c r="F29" s="173">
        <f>+('4.1 Resultados Proyectados'!F29+'2.3 Cálculo Gastos Admon &amp; Vtas'!G16)/'1.3 Base Part.Mercado Fee'!F28</f>
        <v>3220261.3363083145</v>
      </c>
    </row>
    <row r="30" spans="1:6" x14ac:dyDescent="0.2">
      <c r="A30" s="437"/>
      <c r="B30" s="438"/>
      <c r="C30" s="438"/>
      <c r="D30" s="438"/>
      <c r="E30" s="438"/>
      <c r="F30" s="439"/>
    </row>
  </sheetData>
  <mergeCells count="20">
    <mergeCell ref="A27:F27"/>
    <mergeCell ref="A28:F28"/>
    <mergeCell ref="A30:F30"/>
    <mergeCell ref="A26:F26"/>
    <mergeCell ref="A22:F22"/>
    <mergeCell ref="A24:F24"/>
    <mergeCell ref="A3:F3"/>
    <mergeCell ref="A1:F1"/>
    <mergeCell ref="A16:F16"/>
    <mergeCell ref="A18:F18"/>
    <mergeCell ref="A20:F20"/>
    <mergeCell ref="A17:F17"/>
    <mergeCell ref="A11:F11"/>
    <mergeCell ref="A21:F21"/>
    <mergeCell ref="A4:F4"/>
    <mergeCell ref="A6:F6"/>
    <mergeCell ref="A8:F8"/>
    <mergeCell ref="A10:F10"/>
    <mergeCell ref="A12:F12"/>
    <mergeCell ref="A14:F14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G47"/>
  <sheetViews>
    <sheetView showGridLines="0" zoomScaleNormal="100" workbookViewId="0">
      <selection activeCell="D11" sqref="D11"/>
    </sheetView>
  </sheetViews>
  <sheetFormatPr baseColWidth="10" defaultRowHeight="15" x14ac:dyDescent="0.25"/>
  <cols>
    <col min="1" max="1" width="48.140625" bestFit="1" customWidth="1"/>
    <col min="2" max="2" width="16.42578125" hidden="1" customWidth="1"/>
    <col min="3" max="3" width="19.42578125" bestFit="1" customWidth="1"/>
    <col min="4" max="6" width="15.42578125" bestFit="1" customWidth="1"/>
    <col min="7" max="7" width="16.85546875" bestFit="1" customWidth="1"/>
  </cols>
  <sheetData>
    <row r="5" spans="1:7" x14ac:dyDescent="0.25">
      <c r="A5" s="12" t="s">
        <v>52</v>
      </c>
      <c r="B5" s="12"/>
      <c r="C5" s="13"/>
      <c r="D5" s="13"/>
      <c r="E5" s="13"/>
      <c r="F5" s="13"/>
      <c r="G5" s="13"/>
    </row>
    <row r="6" spans="1:7" x14ac:dyDescent="0.25">
      <c r="A6" s="12" t="s">
        <v>441</v>
      </c>
      <c r="B6" s="12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2"/>
      <c r="G7" s="2"/>
    </row>
    <row r="8" spans="1:7" x14ac:dyDescent="0.25">
      <c r="A8" s="345" t="s">
        <v>365</v>
      </c>
      <c r="B8" s="345"/>
      <c r="C8" s="345">
        <v>1</v>
      </c>
      <c r="D8" s="345">
        <v>2</v>
      </c>
      <c r="E8" s="345">
        <v>3</v>
      </c>
      <c r="F8" s="345">
        <v>4</v>
      </c>
      <c r="G8" s="345">
        <v>5</v>
      </c>
    </row>
    <row r="9" spans="1:7" x14ac:dyDescent="0.25">
      <c r="A9" s="437"/>
      <c r="B9" s="438"/>
      <c r="C9" s="438"/>
      <c r="D9" s="438"/>
      <c r="E9" s="438"/>
      <c r="F9" s="438"/>
      <c r="G9" s="439"/>
    </row>
    <row r="10" spans="1:7" x14ac:dyDescent="0.25">
      <c r="A10" s="353" t="s">
        <v>302</v>
      </c>
      <c r="B10" s="355"/>
      <c r="C10" s="349"/>
      <c r="D10" s="349"/>
      <c r="E10" s="349"/>
      <c r="F10" s="349"/>
      <c r="G10" s="349"/>
    </row>
    <row r="11" spans="1:7" x14ac:dyDescent="0.25">
      <c r="A11" s="111" t="s">
        <v>366</v>
      </c>
      <c r="B11" s="111"/>
      <c r="C11" s="113">
        <f>+'4.1 Resultados Proyectados'!B14-'4.2 Balance Proyectado'!B12</f>
        <v>1650726945</v>
      </c>
      <c r="D11" s="113">
        <f>+'4.1 Resultados Proyectados'!C14-'4.2 Balance Proyectado'!C12</f>
        <v>1700248753.3500001</v>
      </c>
      <c r="E11" s="113">
        <f>+'4.1 Resultados Proyectados'!D14-'4.2 Balance Proyectado'!D12</f>
        <v>1751256215.9505002</v>
      </c>
      <c r="F11" s="113">
        <f>+'4.1 Resultados Proyectados'!E14-'4.2 Balance Proyectado'!E12</f>
        <v>1803793902.4290154</v>
      </c>
      <c r="G11" s="113">
        <f>+'4.1 Resultados Proyectados'!F14-'4.2 Balance Proyectado'!F12</f>
        <v>1857907719.5018859</v>
      </c>
    </row>
    <row r="12" spans="1:7" hidden="1" x14ac:dyDescent="0.25">
      <c r="A12" s="111" t="s">
        <v>367</v>
      </c>
      <c r="B12" s="111"/>
      <c r="C12" s="113">
        <f>+'4.0 Balance Base'!F14</f>
        <v>0</v>
      </c>
      <c r="D12" s="113">
        <f>+'4.2 Balance Proyectado'!B12</f>
        <v>0</v>
      </c>
      <c r="E12" s="113">
        <f>+'4.2 Balance Proyectado'!C12</f>
        <v>0</v>
      </c>
      <c r="F12" s="113">
        <f>+'4.2 Balance Proyectado'!D12</f>
        <v>0</v>
      </c>
      <c r="G12" s="113">
        <f>+'4.2 Balance Proyectado'!E12</f>
        <v>0</v>
      </c>
    </row>
    <row r="13" spans="1:7" x14ac:dyDescent="0.25">
      <c r="A13" s="111" t="s">
        <v>28</v>
      </c>
      <c r="B13" s="111"/>
      <c r="C13" s="113"/>
      <c r="D13" s="113">
        <f>+'4.0 Balance Base'!F24</f>
        <v>0</v>
      </c>
      <c r="E13" s="113"/>
      <c r="F13" s="113"/>
      <c r="G13" s="113"/>
    </row>
    <row r="14" spans="1:7" x14ac:dyDescent="0.25">
      <c r="A14" s="353" t="s">
        <v>368</v>
      </c>
      <c r="B14" s="353"/>
      <c r="C14" s="356">
        <f>+SUM(C11:C13)</f>
        <v>1650726945</v>
      </c>
      <c r="D14" s="356">
        <f>+SUM(D11:D13)</f>
        <v>1700248753.3500001</v>
      </c>
      <c r="E14" s="356">
        <f>+SUM(E11:E13)</f>
        <v>1751256215.9505002</v>
      </c>
      <c r="F14" s="356">
        <f>+SUM(F11:F13)</f>
        <v>1803793902.4290154</v>
      </c>
      <c r="G14" s="356">
        <f>+SUM(G11:G13)</f>
        <v>1857907719.5018859</v>
      </c>
    </row>
    <row r="15" spans="1:7" x14ac:dyDescent="0.25">
      <c r="A15" s="437"/>
      <c r="B15" s="438"/>
      <c r="C15" s="438"/>
      <c r="D15" s="438"/>
      <c r="E15" s="438"/>
      <c r="F15" s="438"/>
      <c r="G15" s="439"/>
    </row>
    <row r="16" spans="1:7" x14ac:dyDescent="0.25">
      <c r="A16" s="353" t="s">
        <v>375</v>
      </c>
      <c r="B16" s="353"/>
      <c r="C16" s="357"/>
      <c r="D16" s="357"/>
      <c r="E16" s="357"/>
      <c r="F16" s="357"/>
      <c r="G16" s="357"/>
    </row>
    <row r="17" spans="1:7" x14ac:dyDescent="0.25">
      <c r="A17" s="111" t="s">
        <v>369</v>
      </c>
      <c r="B17" s="111"/>
      <c r="C17" s="113">
        <f>+'3 Proyecciones Otros Periodos'!F27-'4.2 Balance Proyectado'!B29</f>
        <v>196711627.61249998</v>
      </c>
      <c r="D17" s="113">
        <f>+'3 Proyecciones Otros Periodos'!G27-'4.2 Balance Proyectado'!C29</f>
        <v>202612976.44087502</v>
      </c>
      <c r="E17" s="113">
        <f>+'3 Proyecciones Otros Periodos'!H27-'4.2 Balance Proyectado'!D29</f>
        <v>208691365.7341013</v>
      </c>
      <c r="F17" s="113">
        <f>+'3 Proyecciones Otros Periodos'!I27-'4.2 Balance Proyectado'!E29</f>
        <v>214952106.70612434</v>
      </c>
      <c r="G17" s="113">
        <f>+'3 Proyecciones Otros Periodos'!J27-'4.2 Balance Proyectado'!F29</f>
        <v>221400669.90730807</v>
      </c>
    </row>
    <row r="18" spans="1:7" x14ac:dyDescent="0.25">
      <c r="A18" s="111" t="s">
        <v>18</v>
      </c>
      <c r="B18" s="111"/>
      <c r="C18" s="113">
        <f>+'4.0 Balance Base'!I14</f>
        <v>0</v>
      </c>
      <c r="D18" s="113">
        <f>+'4.2 Balance Proyectado'!B29</f>
        <v>17882875.237500001</v>
      </c>
      <c r="E18" s="113">
        <f>+'4.2 Balance Proyectado'!C29</f>
        <v>18419361.494625002</v>
      </c>
      <c r="F18" s="113">
        <f>+'4.2 Balance Proyectado'!D29</f>
        <v>18971942.339463752</v>
      </c>
      <c r="G18" s="113">
        <f>+'4.2 Balance Proyectado'!E29</f>
        <v>19541100.609647665</v>
      </c>
    </row>
    <row r="19" spans="1:7" x14ac:dyDescent="0.25">
      <c r="A19" s="111" t="s">
        <v>272</v>
      </c>
      <c r="B19" s="111"/>
      <c r="C19" s="113">
        <f>+'4.1 Resultados Proyectados'!B26</f>
        <v>690578400</v>
      </c>
      <c r="D19" s="113">
        <f>+'4.1 Resultados Proyectados'!C26</f>
        <v>718201536</v>
      </c>
      <c r="E19" s="113">
        <f>+'4.1 Resultados Proyectados'!D26</f>
        <v>746929597.44000006</v>
      </c>
      <c r="F19" s="113">
        <f>+'4.1 Resultados Proyectados'!E26</f>
        <v>776806781.33760011</v>
      </c>
      <c r="G19" s="113">
        <f>+'4.1 Resultados Proyectados'!F26</f>
        <v>807879052.59110415</v>
      </c>
    </row>
    <row r="20" spans="1:7" hidden="1" x14ac:dyDescent="0.25">
      <c r="A20" s="111" t="s">
        <v>396</v>
      </c>
      <c r="B20" s="111"/>
      <c r="C20" s="113">
        <f>+'4.0 Balance Base'!I15</f>
        <v>0</v>
      </c>
      <c r="D20" s="113">
        <f>+'4.2 Balance Proyectado'!B31</f>
        <v>0</v>
      </c>
      <c r="E20" s="113">
        <f>+'4.2 Balance Proyectado'!C31</f>
        <v>0</v>
      </c>
      <c r="F20" s="113">
        <f>+'4.2 Balance Proyectado'!D31</f>
        <v>0</v>
      </c>
      <c r="G20" s="113">
        <f>+'4.2 Balance Proyectado'!E31</f>
        <v>0</v>
      </c>
    </row>
    <row r="21" spans="1:7" hidden="1" x14ac:dyDescent="0.25">
      <c r="A21" s="111" t="s">
        <v>393</v>
      </c>
      <c r="B21" s="111"/>
      <c r="C21" s="113">
        <f>+'4.1 Resultados Proyectados'!B28</f>
        <v>0</v>
      </c>
      <c r="D21" s="113">
        <f>+'4.1 Resultados Proyectados'!C28</f>
        <v>0</v>
      </c>
      <c r="E21" s="113">
        <f>+'4.1 Resultados Proyectados'!D28</f>
        <v>0</v>
      </c>
      <c r="F21" s="113">
        <f>+'4.1 Resultados Proyectados'!E28</f>
        <v>0</v>
      </c>
      <c r="G21" s="113">
        <f>+'4.1 Resultados Proyectados'!F28</f>
        <v>0</v>
      </c>
    </row>
    <row r="22" spans="1:7" x14ac:dyDescent="0.25">
      <c r="A22" s="111" t="s">
        <v>370</v>
      </c>
      <c r="B22" s="111"/>
      <c r="C22" s="113">
        <f>+'4.1 Resultados Proyectados'!B29</f>
        <v>396704807.95850313</v>
      </c>
      <c r="D22" s="113">
        <f>+'4.1 Resultados Proyectados'!C29</f>
        <v>412573000.27684325</v>
      </c>
      <c r="E22" s="113">
        <f>+'4.1 Resultados Proyectados'!D29</f>
        <v>429075920.28791702</v>
      </c>
      <c r="F22" s="113">
        <f>+'4.1 Resultados Proyectados'!E29</f>
        <v>446238957.09943372</v>
      </c>
      <c r="G22" s="113">
        <f>+'4.1 Resultados Proyectados'!F29</f>
        <v>464088515.38341111</v>
      </c>
    </row>
    <row r="23" spans="1:7" x14ac:dyDescent="0.25">
      <c r="A23" s="111" t="s">
        <v>394</v>
      </c>
      <c r="B23" s="111"/>
      <c r="C23" s="113">
        <f>+'4.1 Resultados Proyectados'!B30</f>
        <v>48000000</v>
      </c>
      <c r="D23" s="113">
        <f>+'4.1 Resultados Proyectados'!C30</f>
        <v>49920000</v>
      </c>
      <c r="E23" s="113">
        <f>+'4.1 Resultados Proyectados'!D30</f>
        <v>51916800</v>
      </c>
      <c r="F23" s="113">
        <f>+'4.1 Resultados Proyectados'!E30</f>
        <v>53993472</v>
      </c>
      <c r="G23" s="113">
        <f>+'4.1 Resultados Proyectados'!F30</f>
        <v>56153210.880000003</v>
      </c>
    </row>
    <row r="24" spans="1:7" hidden="1" x14ac:dyDescent="0.25">
      <c r="A24" s="111" t="s">
        <v>397</v>
      </c>
      <c r="B24" s="111"/>
      <c r="C24" s="113">
        <f>+'4.1 Resultados Proyectados'!B31</f>
        <v>0</v>
      </c>
      <c r="D24" s="113">
        <f>+'4.1 Resultados Proyectados'!C31</f>
        <v>0</v>
      </c>
      <c r="E24" s="113">
        <f>+'4.1 Resultados Proyectados'!D31</f>
        <v>0</v>
      </c>
      <c r="F24" s="113">
        <f>+'4.1 Resultados Proyectados'!E31</f>
        <v>0</v>
      </c>
      <c r="G24" s="113">
        <f>+'4.1 Resultados Proyectados'!F31</f>
        <v>0</v>
      </c>
    </row>
    <row r="25" spans="1:7" x14ac:dyDescent="0.25">
      <c r="A25" s="111" t="s">
        <v>314</v>
      </c>
      <c r="B25" s="111"/>
      <c r="C25" s="113">
        <f>+'4.1 Resultados Proyectados'!B32</f>
        <v>10000000</v>
      </c>
      <c r="D25" s="113">
        <f>+'4.1 Resultados Proyectados'!C32</f>
        <v>10400000</v>
      </c>
      <c r="E25" s="113">
        <f>+'4.1 Resultados Proyectados'!D32</f>
        <v>10816000</v>
      </c>
      <c r="F25" s="113">
        <f>+'4.1 Resultados Proyectados'!E32</f>
        <v>11248640</v>
      </c>
      <c r="G25" s="113">
        <f>+'4.1 Resultados Proyectados'!F32</f>
        <v>11698585.6</v>
      </c>
    </row>
    <row r="26" spans="1:7" x14ac:dyDescent="0.25">
      <c r="A26" s="111" t="s">
        <v>429</v>
      </c>
      <c r="B26" s="111"/>
      <c r="C26" s="113">
        <f>+'4.1 Resultados Proyectados'!B33</f>
        <v>10000000</v>
      </c>
      <c r="D26" s="113">
        <f>+'4.1 Resultados Proyectados'!C33</f>
        <v>10400000</v>
      </c>
      <c r="E26" s="113">
        <f>+'4.1 Resultados Proyectados'!D33</f>
        <v>10816000</v>
      </c>
      <c r="F26" s="113">
        <f>+'4.1 Resultados Proyectados'!E33</f>
        <v>11248640</v>
      </c>
      <c r="G26" s="113">
        <f>+'4.1 Resultados Proyectados'!F33</f>
        <v>11698585.6</v>
      </c>
    </row>
    <row r="27" spans="1:7" x14ac:dyDescent="0.25">
      <c r="A27" s="111" t="s">
        <v>313</v>
      </c>
      <c r="B27" s="111"/>
      <c r="C27" s="113">
        <f>+'4.1 Resultados Proyectados'!B34</f>
        <v>4759248.5118340133</v>
      </c>
      <c r="D27" s="113">
        <f>+'4.1 Resultados Proyectados'!C34</f>
        <v>4949618.4523073742</v>
      </c>
      <c r="E27" s="113">
        <f>+'4.1 Resultados Proyectados'!D34</f>
        <v>5147603.1903996691</v>
      </c>
      <c r="F27" s="113">
        <f>+'4.1 Resultados Proyectados'!E34</f>
        <v>5353507.3180156564</v>
      </c>
      <c r="G27" s="113">
        <f>+'4.1 Resultados Proyectados'!F34</f>
        <v>5567647.6107362825</v>
      </c>
    </row>
    <row r="28" spans="1:7" hidden="1" x14ac:dyDescent="0.25">
      <c r="A28" s="111" t="s">
        <v>371</v>
      </c>
      <c r="B28" s="111"/>
      <c r="C28" s="113">
        <f>+'4.1 Resultados Proyectados'!B35</f>
        <v>0</v>
      </c>
      <c r="D28" s="113">
        <f>+'4.1 Resultados Proyectados'!C35</f>
        <v>0</v>
      </c>
      <c r="E28" s="113">
        <f>+'4.1 Resultados Proyectados'!D35</f>
        <v>0</v>
      </c>
      <c r="F28" s="113">
        <f>+'4.1 Resultados Proyectados'!E35</f>
        <v>0</v>
      </c>
      <c r="G28" s="113">
        <f>+'4.1 Resultados Proyectados'!F35</f>
        <v>0</v>
      </c>
    </row>
    <row r="29" spans="1:7" hidden="1" x14ac:dyDescent="0.25">
      <c r="A29" s="111" t="s">
        <v>399</v>
      </c>
      <c r="B29" s="111"/>
      <c r="C29" s="113">
        <f>+'4.1 Resultados Proyectados'!B43</f>
        <v>0</v>
      </c>
      <c r="D29" s="113">
        <f>+'4.1 Resultados Proyectados'!C43</f>
        <v>0</v>
      </c>
      <c r="E29" s="113">
        <f>+'4.1 Resultados Proyectados'!D43</f>
        <v>0</v>
      </c>
      <c r="F29" s="113">
        <f>+'4.1 Resultados Proyectados'!E43</f>
        <v>0</v>
      </c>
      <c r="G29" s="113">
        <f>+'4.1 Resultados Proyectados'!F43</f>
        <v>0</v>
      </c>
    </row>
    <row r="30" spans="1:7" hidden="1" x14ac:dyDescent="0.25">
      <c r="A30" s="111" t="s">
        <v>395</v>
      </c>
      <c r="B30" s="111"/>
      <c r="C30" s="113">
        <f>+SUM('3 Proyecciones Otros Periodos'!D64:D67)</f>
        <v>0</v>
      </c>
      <c r="D30" s="113">
        <f>+SUM('3 Proyecciones Otros Periodos'!D68:D71)</f>
        <v>0</v>
      </c>
      <c r="E30" s="113">
        <f>+SUM('3 Proyecciones Otros Periodos'!D72:D75)</f>
        <v>0</v>
      </c>
      <c r="F30" s="113">
        <f>+SUM('3 Proyecciones Otros Periodos'!D76:D79)</f>
        <v>0</v>
      </c>
      <c r="G30" s="113">
        <f>+SUM('3 Proyecciones Otros Periodos'!D80:D83)</f>
        <v>0</v>
      </c>
    </row>
    <row r="31" spans="1:7" x14ac:dyDescent="0.25">
      <c r="A31" s="111" t="s">
        <v>372</v>
      </c>
      <c r="B31" s="111"/>
      <c r="C31" s="113"/>
      <c r="D31" s="113">
        <f>'4.1 Resultados Proyectados'!B49-C32</f>
        <v>89078293.737882018</v>
      </c>
      <c r="E31" s="113">
        <f>'4.1 Resultados Proyectados'!C49-D32</f>
        <v>21108369.686460793</v>
      </c>
      <c r="F31" s="113">
        <f>'4.1 Resultados Proyectados'!D49-E32</f>
        <v>20620826.693112202</v>
      </c>
      <c r="G31" s="113">
        <f>'4.1 Resultados Proyectados'!E49-F32</f>
        <v>20071559.686230525</v>
      </c>
    </row>
    <row r="32" spans="1:7" x14ac:dyDescent="0.25">
      <c r="A32" s="111" t="s">
        <v>373</v>
      </c>
      <c r="B32" s="111"/>
      <c r="C32" s="113"/>
      <c r="D32" s="113">
        <f>+'4.1 Resultados Proyectados'!B49*75%</f>
        <v>66808720.303411514</v>
      </c>
      <c r="E32" s="113">
        <f>+'4.1 Resultados Proyectados'!C49*75%</f>
        <v>65937817.49240423</v>
      </c>
      <c r="F32" s="113">
        <f>+'4.1 Resultados Proyectados'!D49*75%</f>
        <v>64918983.139137328</v>
      </c>
      <c r="G32" s="113">
        <f>+'4.1 Resultados Proyectados'!E49*75%</f>
        <v>63742907.119025886</v>
      </c>
    </row>
    <row r="33" spans="1:7" x14ac:dyDescent="0.25">
      <c r="A33" s="358" t="s">
        <v>374</v>
      </c>
      <c r="B33" s="358"/>
      <c r="C33" s="347">
        <f>SUM(C17:C32)</f>
        <v>1356754084.0828369</v>
      </c>
      <c r="D33" s="347">
        <f t="shared" ref="D33:G33" si="0">SUM(D17:D32)</f>
        <v>1582827020.4488192</v>
      </c>
      <c r="E33" s="347">
        <f t="shared" si="0"/>
        <v>1568858835.3259079</v>
      </c>
      <c r="F33" s="347">
        <f t="shared" si="0"/>
        <v>1624353856.6328869</v>
      </c>
      <c r="G33" s="347">
        <f t="shared" si="0"/>
        <v>1681841834.9874637</v>
      </c>
    </row>
    <row r="34" spans="1:7" x14ac:dyDescent="0.25">
      <c r="A34" s="437"/>
      <c r="B34" s="438"/>
      <c r="C34" s="438"/>
      <c r="D34" s="438"/>
      <c r="E34" s="438"/>
      <c r="F34" s="438"/>
      <c r="G34" s="439"/>
    </row>
    <row r="35" spans="1:7" x14ac:dyDescent="0.25">
      <c r="A35" s="111" t="s">
        <v>376</v>
      </c>
      <c r="B35" s="289">
        <v>-500000000</v>
      </c>
      <c r="C35" s="116">
        <f>+C14-C33</f>
        <v>293972860.91716313</v>
      </c>
      <c r="D35" s="116">
        <f t="shared" ref="D35:G35" si="1">+D14-D33</f>
        <v>117421732.90118098</v>
      </c>
      <c r="E35" s="116">
        <f t="shared" si="1"/>
        <v>182397380.6245923</v>
      </c>
      <c r="F35" s="116">
        <f t="shared" si="1"/>
        <v>179440045.79612851</v>
      </c>
      <c r="G35" s="116">
        <f t="shared" si="1"/>
        <v>176065884.51442218</v>
      </c>
    </row>
    <row r="36" spans="1:7" x14ac:dyDescent="0.25">
      <c r="A36" s="110"/>
      <c r="B36" s="110"/>
      <c r="C36" s="116">
        <f>+'4.0 Balance Base'!F13</f>
        <v>327355400</v>
      </c>
      <c r="D36" s="116">
        <f>+C38</f>
        <v>621328260.91716313</v>
      </c>
      <c r="E36" s="116">
        <f t="shared" ref="E36:G36" si="2">+D38</f>
        <v>738749993.81834412</v>
      </c>
      <c r="F36" s="116">
        <f t="shared" si="2"/>
        <v>921147374.44293642</v>
      </c>
      <c r="G36" s="116">
        <f t="shared" si="2"/>
        <v>1100587420.2390649</v>
      </c>
    </row>
    <row r="37" spans="1:7" x14ac:dyDescent="0.25">
      <c r="A37" s="437"/>
      <c r="B37" s="438"/>
      <c r="C37" s="438"/>
      <c r="D37" s="438"/>
      <c r="E37" s="438"/>
      <c r="F37" s="438"/>
      <c r="G37" s="439"/>
    </row>
    <row r="38" spans="1:7" x14ac:dyDescent="0.25">
      <c r="A38" s="353" t="s">
        <v>442</v>
      </c>
      <c r="B38" s="359"/>
      <c r="C38" s="347">
        <f>+C35+C36</f>
        <v>621328260.91716313</v>
      </c>
      <c r="D38" s="347">
        <f>+D35+D36</f>
        <v>738749993.81834412</v>
      </c>
      <c r="E38" s="347">
        <f t="shared" ref="E38:G38" si="3">+E35+E36</f>
        <v>921147374.44293642</v>
      </c>
      <c r="F38" s="347">
        <f t="shared" si="3"/>
        <v>1100587420.2390649</v>
      </c>
      <c r="G38" s="347">
        <f t="shared" si="3"/>
        <v>1276653304.7534871</v>
      </c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353" t="s">
        <v>377</v>
      </c>
      <c r="B41" s="258"/>
      <c r="C41" s="290">
        <f>NPV(C43,B35:G35)</f>
        <v>134327654.95143464</v>
      </c>
      <c r="D41" s="2"/>
      <c r="E41" s="2"/>
      <c r="F41" s="2"/>
      <c r="G41" s="2"/>
    </row>
    <row r="42" spans="1:7" x14ac:dyDescent="0.25">
      <c r="A42" s="437"/>
      <c r="B42" s="438"/>
      <c r="C42" s="439"/>
      <c r="D42" s="2"/>
      <c r="E42" s="2"/>
      <c r="F42" s="2"/>
      <c r="G42" s="2"/>
    </row>
    <row r="43" spans="1:7" x14ac:dyDescent="0.25">
      <c r="A43" s="353" t="s">
        <v>378</v>
      </c>
      <c r="B43" s="258"/>
      <c r="C43" s="292">
        <v>0.15</v>
      </c>
      <c r="D43" s="2"/>
      <c r="E43" s="2"/>
      <c r="F43" s="2"/>
      <c r="G43" s="2"/>
    </row>
    <row r="44" spans="1:7" x14ac:dyDescent="0.25">
      <c r="A44" s="437"/>
      <c r="B44" s="438"/>
      <c r="C44" s="439"/>
      <c r="D44" s="2"/>
      <c r="E44" s="2"/>
      <c r="F44" s="2"/>
      <c r="G44" s="2"/>
    </row>
    <row r="45" spans="1:7" x14ac:dyDescent="0.25">
      <c r="A45" s="353" t="s">
        <v>379</v>
      </c>
      <c r="B45" s="258"/>
      <c r="C45" s="291">
        <f>IRR(B35:G35,C43)</f>
        <v>0.28715634473157015</v>
      </c>
      <c r="D45" s="2"/>
      <c r="E45" s="2"/>
      <c r="F45" s="2"/>
      <c r="G45" s="2"/>
    </row>
    <row r="47" spans="1:7" x14ac:dyDescent="0.25">
      <c r="A47" s="1"/>
      <c r="B47" s="1"/>
    </row>
  </sheetData>
  <mergeCells count="6">
    <mergeCell ref="A44:C44"/>
    <mergeCell ref="A9:G9"/>
    <mergeCell ref="A34:G34"/>
    <mergeCell ref="A37:G37"/>
    <mergeCell ref="A15:G15"/>
    <mergeCell ref="A42:C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6839-DCB3-5F4B-AEFD-AE5DD2A2499C}">
  <dimension ref="A3:I23"/>
  <sheetViews>
    <sheetView showGridLines="0" zoomScaleNormal="100" workbookViewId="0">
      <selection activeCell="C4" sqref="C4"/>
    </sheetView>
  </sheetViews>
  <sheetFormatPr baseColWidth="10" defaultColWidth="11.42578125" defaultRowHeight="14.25" x14ac:dyDescent="0.2"/>
  <cols>
    <col min="1" max="1" width="10.140625" style="120" customWidth="1"/>
    <col min="2" max="2" width="34.85546875" style="165" customWidth="1"/>
    <col min="3" max="3" width="55.42578125" style="165" customWidth="1"/>
    <col min="4" max="4" width="15.42578125" style="120" bestFit="1" customWidth="1"/>
    <col min="5" max="5" width="0" style="120" hidden="1" customWidth="1"/>
    <col min="6" max="6" width="11.42578125" style="120" bestFit="1" customWidth="1"/>
    <col min="7" max="7" width="12.140625" style="120" customWidth="1"/>
    <col min="8" max="8" width="11.42578125" style="120" bestFit="1" customWidth="1"/>
    <col min="9" max="16384" width="11.42578125" style="120"/>
  </cols>
  <sheetData>
    <row r="3" spans="1:9" ht="15" thickBot="1" x14ac:dyDescent="0.25"/>
    <row r="4" spans="1:9" ht="60.75" thickBot="1" x14ac:dyDescent="0.25">
      <c r="A4" s="166" t="s">
        <v>208</v>
      </c>
      <c r="B4" s="167" t="s">
        <v>195</v>
      </c>
      <c r="C4" s="167" t="s">
        <v>196</v>
      </c>
      <c r="D4" s="168" t="s">
        <v>198</v>
      </c>
      <c r="E4" s="169" t="s">
        <v>197</v>
      </c>
      <c r="F4" s="167" t="s">
        <v>199</v>
      </c>
      <c r="G4" s="167" t="s">
        <v>200</v>
      </c>
      <c r="H4" s="167" t="s">
        <v>201</v>
      </c>
      <c r="I4" s="170" t="s">
        <v>202</v>
      </c>
    </row>
    <row r="5" spans="1:9" ht="64.5" customHeight="1" thickBot="1" x14ac:dyDescent="0.25">
      <c r="A5" s="121"/>
      <c r="B5" s="122" t="s">
        <v>204</v>
      </c>
      <c r="C5" s="122" t="s">
        <v>203</v>
      </c>
      <c r="D5" s="150">
        <v>1670000</v>
      </c>
      <c r="E5" s="123">
        <f>D5/3476</f>
        <v>480.43728423475261</v>
      </c>
      <c r="F5" s="124">
        <v>765000</v>
      </c>
      <c r="G5" s="124">
        <v>7800</v>
      </c>
      <c r="H5" s="125">
        <v>1.019607843137255E-2</v>
      </c>
      <c r="I5" s="126" t="s">
        <v>143</v>
      </c>
    </row>
    <row r="6" spans="1:9" ht="37.5" customHeight="1" thickBot="1" x14ac:dyDescent="0.25">
      <c r="A6" s="127"/>
      <c r="B6" s="122" t="s">
        <v>204</v>
      </c>
      <c r="C6" s="128" t="s">
        <v>205</v>
      </c>
      <c r="D6" s="341">
        <v>1670000</v>
      </c>
      <c r="E6" s="123">
        <f t="shared" ref="E6:E11" si="0">D6/3476</f>
        <v>480.43728423475261</v>
      </c>
      <c r="F6" s="129">
        <v>765000</v>
      </c>
      <c r="G6" s="129">
        <v>7800</v>
      </c>
      <c r="H6" s="130">
        <v>1.019607843137255E-2</v>
      </c>
      <c r="I6" s="126" t="s">
        <v>143</v>
      </c>
    </row>
    <row r="7" spans="1:9" ht="39" customHeight="1" thickBot="1" x14ac:dyDescent="0.25">
      <c r="A7" s="363"/>
      <c r="B7" s="365" t="s">
        <v>206</v>
      </c>
      <c r="C7" s="131" t="s">
        <v>207</v>
      </c>
      <c r="D7" s="144">
        <v>6200000</v>
      </c>
      <c r="E7" s="123">
        <f t="shared" si="0"/>
        <v>1783.6593785960874</v>
      </c>
      <c r="F7" s="133">
        <v>7500</v>
      </c>
      <c r="G7" s="133">
        <v>300</v>
      </c>
      <c r="H7" s="134">
        <v>0.04</v>
      </c>
      <c r="I7" s="126" t="s">
        <v>143</v>
      </c>
    </row>
    <row r="8" spans="1:9" ht="39" customHeight="1" thickBot="1" x14ac:dyDescent="0.25">
      <c r="A8" s="363"/>
      <c r="B8" s="366"/>
      <c r="C8" s="131" t="s">
        <v>144</v>
      </c>
      <c r="D8" s="144">
        <v>3400000</v>
      </c>
      <c r="E8" s="123">
        <f t="shared" si="0"/>
        <v>978.13578826237051</v>
      </c>
      <c r="F8" s="133">
        <v>7500</v>
      </c>
      <c r="G8" s="133">
        <v>1000</v>
      </c>
      <c r="H8" s="134">
        <v>0.13333333333333333</v>
      </c>
      <c r="I8" s="126" t="s">
        <v>143</v>
      </c>
    </row>
    <row r="9" spans="1:9" ht="39" customHeight="1" thickBot="1" x14ac:dyDescent="0.25">
      <c r="A9" s="364"/>
      <c r="B9" s="367"/>
      <c r="C9" s="135" t="s">
        <v>145</v>
      </c>
      <c r="D9" s="342">
        <v>7000000</v>
      </c>
      <c r="E9" s="123">
        <f t="shared" si="0"/>
        <v>2013.8089758342924</v>
      </c>
      <c r="F9" s="136">
        <v>1250000</v>
      </c>
      <c r="G9" s="136">
        <v>320000</v>
      </c>
      <c r="H9" s="137">
        <v>0.25600000000000001</v>
      </c>
      <c r="I9" s="126" t="s">
        <v>143</v>
      </c>
    </row>
    <row r="10" spans="1:9" ht="39" customHeight="1" thickBot="1" x14ac:dyDescent="0.25">
      <c r="A10" s="368"/>
      <c r="B10" s="365" t="s">
        <v>209</v>
      </c>
      <c r="C10" s="131" t="s">
        <v>207</v>
      </c>
      <c r="D10" s="144">
        <v>6200000</v>
      </c>
      <c r="E10" s="123">
        <f t="shared" si="0"/>
        <v>1783.6593785960874</v>
      </c>
      <c r="F10" s="133">
        <v>7500</v>
      </c>
      <c r="G10" s="133">
        <v>300</v>
      </c>
      <c r="H10" s="134">
        <v>0.04</v>
      </c>
      <c r="I10" s="126" t="s">
        <v>143</v>
      </c>
    </row>
    <row r="11" spans="1:9" ht="39" customHeight="1" thickBot="1" x14ac:dyDescent="0.25">
      <c r="A11" s="369"/>
      <c r="B11" s="367"/>
      <c r="C11" s="135" t="s">
        <v>144</v>
      </c>
      <c r="D11" s="342">
        <v>3400000</v>
      </c>
      <c r="E11" s="123">
        <f t="shared" si="0"/>
        <v>978.13578826237051</v>
      </c>
      <c r="F11" s="136">
        <v>7500</v>
      </c>
      <c r="G11" s="136">
        <v>1000</v>
      </c>
      <c r="H11" s="137">
        <v>0.13333333333333333</v>
      </c>
      <c r="I11" s="126" t="s">
        <v>143</v>
      </c>
    </row>
    <row r="12" spans="1:9" ht="60.75" thickBot="1" x14ac:dyDescent="0.25">
      <c r="A12" s="166" t="s">
        <v>208</v>
      </c>
      <c r="B12" s="167" t="s">
        <v>195</v>
      </c>
      <c r="C12" s="167" t="s">
        <v>196</v>
      </c>
      <c r="D12" s="168" t="s">
        <v>198</v>
      </c>
      <c r="E12" s="169" t="s">
        <v>197</v>
      </c>
      <c r="F12" s="167" t="s">
        <v>199</v>
      </c>
      <c r="G12" s="167" t="s">
        <v>200</v>
      </c>
      <c r="H12" s="167" t="s">
        <v>201</v>
      </c>
      <c r="I12" s="170" t="s">
        <v>202</v>
      </c>
    </row>
    <row r="13" spans="1:9" ht="39" customHeight="1" thickBot="1" x14ac:dyDescent="0.25">
      <c r="A13" s="138"/>
      <c r="B13" s="139" t="s">
        <v>146</v>
      </c>
      <c r="C13" s="139" t="s">
        <v>400</v>
      </c>
      <c r="D13" s="340">
        <v>448000</v>
      </c>
      <c r="E13" s="123">
        <f>D13/3476</f>
        <v>128.88377445339469</v>
      </c>
      <c r="F13" s="140">
        <v>8000</v>
      </c>
      <c r="G13" s="140"/>
      <c r="H13" s="141"/>
      <c r="I13" s="142" t="s">
        <v>147</v>
      </c>
    </row>
    <row r="14" spans="1:9" ht="39" customHeight="1" thickBot="1" x14ac:dyDescent="0.25">
      <c r="A14" s="143"/>
      <c r="B14" s="131" t="s">
        <v>146</v>
      </c>
      <c r="C14" s="131" t="s">
        <v>211</v>
      </c>
      <c r="D14" s="144">
        <v>420000</v>
      </c>
      <c r="E14" s="123">
        <f t="shared" ref="E14:E15" si="1">D14/3476</f>
        <v>120.82853855005754</v>
      </c>
      <c r="F14" s="133">
        <v>20000</v>
      </c>
      <c r="G14" s="133"/>
      <c r="H14" s="134"/>
      <c r="I14" s="145" t="s">
        <v>147</v>
      </c>
    </row>
    <row r="15" spans="1:9" ht="39" customHeight="1" thickBot="1" x14ac:dyDescent="0.25">
      <c r="A15" s="146"/>
      <c r="B15" s="147" t="s">
        <v>210</v>
      </c>
      <c r="C15" s="131" t="s">
        <v>212</v>
      </c>
      <c r="D15" s="144">
        <v>30000000</v>
      </c>
      <c r="E15" s="123">
        <f t="shared" si="1"/>
        <v>8630.6098964326811</v>
      </c>
      <c r="F15" s="133">
        <v>10000</v>
      </c>
      <c r="G15" s="133">
        <v>1000</v>
      </c>
      <c r="H15" s="134">
        <v>0.1</v>
      </c>
      <c r="I15" s="145" t="s">
        <v>148</v>
      </c>
    </row>
    <row r="16" spans="1:9" s="154" customFormat="1" ht="39" customHeight="1" thickBot="1" x14ac:dyDescent="0.25">
      <c r="A16" s="148"/>
      <c r="B16" s="149" t="s">
        <v>149</v>
      </c>
      <c r="C16" s="149" t="s">
        <v>358</v>
      </c>
      <c r="D16" s="144"/>
      <c r="E16" s="150">
        <f>D16/3476</f>
        <v>0</v>
      </c>
      <c r="F16" s="151"/>
      <c r="G16" s="151"/>
      <c r="H16" s="152"/>
      <c r="I16" s="153"/>
    </row>
    <row r="17" spans="1:9" ht="39" customHeight="1" thickBot="1" x14ac:dyDescent="0.25">
      <c r="A17" s="370"/>
      <c r="B17" s="372" t="s">
        <v>150</v>
      </c>
      <c r="C17" s="131" t="s">
        <v>363</v>
      </c>
      <c r="D17" s="132">
        <v>100000000</v>
      </c>
      <c r="E17" s="123">
        <f t="shared" ref="E17:E18" si="2">D17/3500</f>
        <v>28571.428571428572</v>
      </c>
      <c r="F17" s="133"/>
      <c r="G17" s="133"/>
      <c r="H17" s="134"/>
      <c r="I17" s="145"/>
    </row>
    <row r="18" spans="1:9" ht="39" customHeight="1" thickBot="1" x14ac:dyDescent="0.25">
      <c r="A18" s="371"/>
      <c r="B18" s="366"/>
      <c r="C18" s="147" t="s">
        <v>364</v>
      </c>
      <c r="D18" s="155">
        <v>150000000</v>
      </c>
      <c r="E18" s="156">
        <f t="shared" si="2"/>
        <v>42857.142857142855</v>
      </c>
      <c r="F18" s="157"/>
      <c r="G18" s="157"/>
      <c r="H18" s="158"/>
      <c r="I18" s="159"/>
    </row>
    <row r="19" spans="1:9" ht="20.25" customHeight="1" thickBot="1" x14ac:dyDescent="0.3">
      <c r="A19" s="360" t="s">
        <v>31</v>
      </c>
      <c r="B19" s="361"/>
      <c r="C19" s="362"/>
      <c r="D19" s="161">
        <f>SUM(D5:D11,D13:D18)</f>
        <v>310408000</v>
      </c>
      <c r="E19" s="161">
        <f>SUM(E5:E11,E13:E18)</f>
        <v>88807.167516028276</v>
      </c>
      <c r="F19" s="160"/>
      <c r="G19" s="160"/>
      <c r="H19" s="160"/>
      <c r="I19" s="162"/>
    </row>
    <row r="21" spans="1:9" x14ac:dyDescent="0.2">
      <c r="E21" s="163">
        <f>+E19-E16</f>
        <v>88807.167516028276</v>
      </c>
    </row>
    <row r="23" spans="1:9" x14ac:dyDescent="0.2">
      <c r="E23" s="164">
        <v>100000</v>
      </c>
    </row>
  </sheetData>
  <mergeCells count="7">
    <mergeCell ref="A19:C19"/>
    <mergeCell ref="A7:A9"/>
    <mergeCell ref="B7:B9"/>
    <mergeCell ref="A10:A11"/>
    <mergeCell ref="B10:B11"/>
    <mergeCell ref="A17:A18"/>
    <mergeCell ref="B17:B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BBE3-94A8-4345-B393-D6C4D79E5BA2}">
  <dimension ref="A2:U115"/>
  <sheetViews>
    <sheetView showGridLines="0" zoomScale="79" zoomScaleNormal="80" workbookViewId="0"/>
  </sheetViews>
  <sheetFormatPr baseColWidth="10" defaultColWidth="11.42578125" defaultRowHeight="14.25" x14ac:dyDescent="0.2"/>
  <cols>
    <col min="1" max="1" width="20.85546875" style="2" customWidth="1"/>
    <col min="2" max="2" width="12.42578125" style="2" customWidth="1"/>
    <col min="3" max="3" width="19.140625" style="4" customWidth="1"/>
    <col min="4" max="4" width="17.7109375" style="4" customWidth="1"/>
    <col min="5" max="5" width="17.28515625" style="4" customWidth="1"/>
    <col min="6" max="6" width="20.85546875" style="2" customWidth="1"/>
    <col min="7" max="7" width="17" style="2" customWidth="1"/>
    <col min="8" max="8" width="18.7109375" style="2" customWidth="1"/>
    <col min="9" max="9" width="17" style="2" customWidth="1"/>
    <col min="10" max="10" width="12.7109375" style="2" customWidth="1"/>
    <col min="11" max="11" width="16.85546875" style="2" customWidth="1"/>
    <col min="12" max="12" width="16" style="2" customWidth="1"/>
    <col min="13" max="13" width="17.7109375" style="2" customWidth="1"/>
    <col min="14" max="14" width="13.42578125" style="2" customWidth="1"/>
    <col min="15" max="15" width="17.7109375" style="2" customWidth="1"/>
    <col min="16" max="16" width="19" style="2" bestFit="1" customWidth="1"/>
    <col min="17" max="17" width="21.42578125" style="2" bestFit="1" customWidth="1"/>
    <col min="18" max="18" width="12.42578125" style="2" bestFit="1" customWidth="1"/>
    <col min="19" max="19" width="17.140625" style="2" customWidth="1"/>
    <col min="20" max="20" width="16.85546875" style="2" customWidth="1"/>
    <col min="21" max="16384" width="11.42578125" style="2"/>
  </cols>
  <sheetData>
    <row r="2" spans="1:20" ht="15" x14ac:dyDescent="0.25">
      <c r="B2" s="382" t="s">
        <v>124</v>
      </c>
      <c r="C2" s="382"/>
      <c r="E2" s="257"/>
      <c r="F2" s="96"/>
      <c r="G2" s="96"/>
      <c r="H2" s="96"/>
      <c r="I2" s="96"/>
      <c r="J2" s="96"/>
      <c r="K2" s="96"/>
      <c r="L2" s="95"/>
      <c r="M2" s="95"/>
      <c r="N2" s="95"/>
      <c r="O2" s="95"/>
      <c r="P2" s="95"/>
    </row>
    <row r="3" spans="1:20" ht="15" x14ac:dyDescent="0.25">
      <c r="A3" s="258" t="s">
        <v>85</v>
      </c>
      <c r="B3" s="110"/>
      <c r="C3" s="173"/>
      <c r="D3" s="173"/>
      <c r="E3" s="173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</row>
    <row r="4" spans="1:20" ht="15" x14ac:dyDescent="0.25">
      <c r="A4" s="258" t="s">
        <v>86</v>
      </c>
      <c r="B4" s="110"/>
      <c r="C4" s="173"/>
      <c r="D4" s="173">
        <v>6400000</v>
      </c>
      <c r="E4" s="173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</row>
    <row r="5" spans="1:20" ht="15" x14ac:dyDescent="0.25">
      <c r="A5" s="258" t="s">
        <v>91</v>
      </c>
      <c r="B5" s="110"/>
      <c r="C5" s="173"/>
      <c r="D5" s="173"/>
      <c r="E5" s="173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</row>
    <row r="6" spans="1:20" ht="15" x14ac:dyDescent="0.25">
      <c r="A6" s="258" t="s">
        <v>93</v>
      </c>
      <c r="B6" s="251"/>
      <c r="C6" s="174"/>
      <c r="D6" s="174">
        <v>5500000</v>
      </c>
      <c r="E6" s="174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</row>
    <row r="7" spans="1:20" ht="15" x14ac:dyDescent="0.25">
      <c r="A7" s="297" t="s">
        <v>423</v>
      </c>
      <c r="B7" s="389" t="s">
        <v>423</v>
      </c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90"/>
    </row>
    <row r="8" spans="1:20" s="30" customFormat="1" ht="69" customHeight="1" x14ac:dyDescent="0.2">
      <c r="A8" s="298" t="s">
        <v>90</v>
      </c>
      <c r="B8" s="385" t="s">
        <v>90</v>
      </c>
      <c r="C8" s="385"/>
      <c r="D8" s="385"/>
      <c r="E8" s="386"/>
      <c r="F8" s="383" t="s">
        <v>87</v>
      </c>
      <c r="G8" s="383" t="s">
        <v>416</v>
      </c>
      <c r="H8" s="395" t="s">
        <v>401</v>
      </c>
      <c r="I8" s="395" t="s">
        <v>416</v>
      </c>
      <c r="J8" s="383" t="s">
        <v>88</v>
      </c>
      <c r="K8" s="383" t="s">
        <v>416</v>
      </c>
      <c r="L8" s="395" t="s">
        <v>402</v>
      </c>
      <c r="M8" s="395" t="s">
        <v>416</v>
      </c>
      <c r="N8" s="383" t="s">
        <v>89</v>
      </c>
      <c r="O8" s="383" t="s">
        <v>416</v>
      </c>
      <c r="P8" s="395" t="s">
        <v>418</v>
      </c>
      <c r="Q8" s="395" t="s">
        <v>419</v>
      </c>
      <c r="R8" s="383" t="s">
        <v>420</v>
      </c>
      <c r="S8" s="383" t="s">
        <v>421</v>
      </c>
      <c r="T8" s="391" t="s">
        <v>422</v>
      </c>
    </row>
    <row r="9" spans="1:20" ht="14.25" customHeight="1" x14ac:dyDescent="0.2">
      <c r="A9" s="298"/>
      <c r="B9" s="387"/>
      <c r="C9" s="387"/>
      <c r="D9" s="387"/>
      <c r="E9" s="388"/>
      <c r="F9" s="384"/>
      <c r="G9" s="384"/>
      <c r="H9" s="396"/>
      <c r="I9" s="396"/>
      <c r="J9" s="384"/>
      <c r="K9" s="384"/>
      <c r="L9" s="396"/>
      <c r="M9" s="396"/>
      <c r="N9" s="384"/>
      <c r="O9" s="384"/>
      <c r="P9" s="396"/>
      <c r="Q9" s="396"/>
      <c r="R9" s="384"/>
      <c r="S9" s="384"/>
      <c r="T9" s="392"/>
    </row>
    <row r="10" spans="1:20" x14ac:dyDescent="0.2">
      <c r="A10" s="299"/>
      <c r="B10" s="266"/>
      <c r="C10" s="173"/>
      <c r="D10" s="263" t="s">
        <v>31</v>
      </c>
      <c r="E10" s="261" t="s">
        <v>92</v>
      </c>
      <c r="F10" s="250">
        <v>8160</v>
      </c>
      <c r="G10" s="173"/>
      <c r="H10" s="250">
        <v>507</v>
      </c>
      <c r="I10" s="173"/>
      <c r="J10" s="250">
        <v>4793</v>
      </c>
      <c r="K10" s="173"/>
      <c r="L10" s="250">
        <v>14853</v>
      </c>
      <c r="M10" s="173"/>
      <c r="N10" s="250">
        <v>51712</v>
      </c>
      <c r="O10" s="173"/>
      <c r="P10" s="250">
        <v>27563</v>
      </c>
      <c r="Q10" s="250">
        <v>1300787</v>
      </c>
      <c r="R10" s="262">
        <f>+Q10-(P10+N10+L10+J10+H10+F10)</f>
        <v>1193199</v>
      </c>
      <c r="S10" s="175"/>
      <c r="T10" s="110"/>
    </row>
    <row r="11" spans="1:20" x14ac:dyDescent="0.2">
      <c r="A11" s="299"/>
      <c r="B11" s="266" t="s">
        <v>83</v>
      </c>
      <c r="C11" s="173">
        <v>1000000</v>
      </c>
      <c r="D11" s="173"/>
      <c r="E11" s="261">
        <f>+C11</f>
        <v>1000000</v>
      </c>
      <c r="F11" s="173">
        <v>952</v>
      </c>
      <c r="G11" s="173">
        <f>+(F11/F$10)*$E11</f>
        <v>116666.66666666667</v>
      </c>
      <c r="H11" s="173">
        <v>29</v>
      </c>
      <c r="I11" s="173">
        <f>+(H11/H$10)*$E11</f>
        <v>57199.211045364893</v>
      </c>
      <c r="J11" s="173">
        <v>607</v>
      </c>
      <c r="K11" s="173">
        <f>+(J11/J$10)*$E11</f>
        <v>126643.02107239726</v>
      </c>
      <c r="L11" s="173">
        <v>4912</v>
      </c>
      <c r="M11" s="173">
        <f>+(L11/L$10)*$E11</f>
        <v>330707.60115801526</v>
      </c>
      <c r="N11" s="173">
        <v>12027</v>
      </c>
      <c r="O11" s="173">
        <f>+(N11/N$10)*$E11</f>
        <v>232576.57797029702</v>
      </c>
      <c r="P11" s="173">
        <v>5093</v>
      </c>
      <c r="Q11" s="173">
        <v>177971</v>
      </c>
      <c r="R11" s="175">
        <f t="shared" ref="R11:R19" si="0">+Q11-(P11+N11+L11+J11+H11+F11)</f>
        <v>154351</v>
      </c>
      <c r="S11" s="176">
        <f>+Q11/$Q$10</f>
        <v>0.13681794175372294</v>
      </c>
      <c r="T11" s="173">
        <f>+E11*S11</f>
        <v>136817.94175372293</v>
      </c>
    </row>
    <row r="12" spans="1:20" x14ac:dyDescent="0.2">
      <c r="A12" s="299"/>
      <c r="B12" s="266" t="s">
        <v>84</v>
      </c>
      <c r="C12" s="173">
        <v>1000000</v>
      </c>
      <c r="D12" s="173">
        <v>1500000</v>
      </c>
      <c r="E12" s="261">
        <f>+(D12+C12)/2</f>
        <v>1250000</v>
      </c>
      <c r="F12" s="173">
        <v>3529</v>
      </c>
      <c r="G12" s="173">
        <f t="shared" ref="G12:I19" si="1">+(F12/F$10)*$E12</f>
        <v>540594.36274509807</v>
      </c>
      <c r="H12" s="173">
        <v>167</v>
      </c>
      <c r="I12" s="173">
        <f t="shared" si="1"/>
        <v>411735.70019723871</v>
      </c>
      <c r="J12" s="173">
        <v>1650</v>
      </c>
      <c r="K12" s="173">
        <f t="shared" ref="K12:M12" si="2">+(J12/J$10)*$E12</f>
        <v>430315.04277070728</v>
      </c>
      <c r="L12" s="173">
        <v>7032</v>
      </c>
      <c r="M12" s="173">
        <f t="shared" si="2"/>
        <v>591799.63643708336</v>
      </c>
      <c r="N12" s="173">
        <v>22305</v>
      </c>
      <c r="O12" s="173">
        <f t="shared" ref="O12" si="3">+(N12/N$10)*$E12</f>
        <v>539164.02382425743</v>
      </c>
      <c r="P12" s="173">
        <v>10328</v>
      </c>
      <c r="Q12" s="173">
        <v>417793</v>
      </c>
      <c r="R12" s="175">
        <f t="shared" si="0"/>
        <v>372782</v>
      </c>
      <c r="S12" s="176">
        <f t="shared" ref="S12:S19" si="4">+Q12/$Q$10</f>
        <v>0.32118479043840381</v>
      </c>
      <c r="T12" s="173">
        <f t="shared" ref="T12:T19" si="5">+E12*S12</f>
        <v>401480.98804800474</v>
      </c>
    </row>
    <row r="13" spans="1:20" x14ac:dyDescent="0.2">
      <c r="A13" s="299"/>
      <c r="B13" s="266" t="s">
        <v>84</v>
      </c>
      <c r="C13" s="173">
        <f>+D12</f>
        <v>1500000</v>
      </c>
      <c r="D13" s="173">
        <v>2000000</v>
      </c>
      <c r="E13" s="261">
        <f t="shared" ref="E13:E19" si="6">+(D13+C13)/2</f>
        <v>1750000</v>
      </c>
      <c r="F13" s="173">
        <v>1686</v>
      </c>
      <c r="G13" s="173">
        <f t="shared" si="1"/>
        <v>361580.88235294115</v>
      </c>
      <c r="H13" s="173">
        <v>139</v>
      </c>
      <c r="I13" s="173">
        <f t="shared" si="1"/>
        <v>479783.03747534519</v>
      </c>
      <c r="J13" s="173">
        <v>806</v>
      </c>
      <c r="K13" s="173">
        <f t="shared" ref="K13:M13" si="7">+(J13/J$10)*$E13</f>
        <v>294283.32985604001</v>
      </c>
      <c r="L13" s="173">
        <v>980</v>
      </c>
      <c r="M13" s="173">
        <f t="shared" si="7"/>
        <v>115464.88924796337</v>
      </c>
      <c r="N13" s="173">
        <v>5847</v>
      </c>
      <c r="O13" s="173">
        <f t="shared" ref="O13" si="8">+(N13/N$10)*$E13</f>
        <v>197869.93347772278</v>
      </c>
      <c r="P13" s="173">
        <v>4118</v>
      </c>
      <c r="Q13" s="173">
        <v>184049</v>
      </c>
      <c r="R13" s="175">
        <f t="shared" si="0"/>
        <v>170473</v>
      </c>
      <c r="S13" s="176">
        <f t="shared" si="4"/>
        <v>0.1414904976756379</v>
      </c>
      <c r="T13" s="173">
        <f t="shared" si="5"/>
        <v>247608.37093236632</v>
      </c>
    </row>
    <row r="14" spans="1:20" x14ac:dyDescent="0.2">
      <c r="A14" s="299"/>
      <c r="B14" s="266" t="s">
        <v>84</v>
      </c>
      <c r="C14" s="173">
        <f t="shared" ref="C14:C19" si="9">+D13</f>
        <v>2000000</v>
      </c>
      <c r="D14" s="173">
        <v>2500000</v>
      </c>
      <c r="E14" s="261">
        <f t="shared" si="6"/>
        <v>2250000</v>
      </c>
      <c r="F14" s="173">
        <v>680</v>
      </c>
      <c r="G14" s="173">
        <f t="shared" si="1"/>
        <v>187500</v>
      </c>
      <c r="H14" s="173">
        <v>59</v>
      </c>
      <c r="I14" s="173">
        <f t="shared" si="1"/>
        <v>261834.31952662722</v>
      </c>
      <c r="J14" s="173">
        <v>450</v>
      </c>
      <c r="K14" s="173">
        <f t="shared" ref="K14:M14" si="10">+(J14/J$10)*$E14</f>
        <v>211245.56645107447</v>
      </c>
      <c r="L14" s="173">
        <v>236</v>
      </c>
      <c r="M14" s="173">
        <f t="shared" si="10"/>
        <v>35750.353463946674</v>
      </c>
      <c r="N14" s="173">
        <v>2341</v>
      </c>
      <c r="O14" s="173">
        <f t="shared" ref="O14" si="11">+(N14/N$10)*$E14</f>
        <v>101857.4025371287</v>
      </c>
      <c r="P14" s="173">
        <v>2000</v>
      </c>
      <c r="Q14" s="173">
        <v>101285</v>
      </c>
      <c r="R14" s="175">
        <f t="shared" si="0"/>
        <v>95519</v>
      </c>
      <c r="S14" s="176">
        <f t="shared" si="4"/>
        <v>7.7864400551358529E-2</v>
      </c>
      <c r="T14" s="173">
        <f t="shared" si="5"/>
        <v>175194.90124055668</v>
      </c>
    </row>
    <row r="15" spans="1:20" x14ac:dyDescent="0.2">
      <c r="A15" s="299"/>
      <c r="B15" s="266" t="s">
        <v>84</v>
      </c>
      <c r="C15" s="173">
        <f t="shared" si="9"/>
        <v>2500000</v>
      </c>
      <c r="D15" s="173">
        <v>3000000</v>
      </c>
      <c r="E15" s="261">
        <f t="shared" si="6"/>
        <v>2750000</v>
      </c>
      <c r="F15" s="173">
        <v>364</v>
      </c>
      <c r="G15" s="173">
        <f t="shared" si="1"/>
        <v>122671.56862745098</v>
      </c>
      <c r="H15" s="173">
        <v>32</v>
      </c>
      <c r="I15" s="173">
        <f t="shared" si="1"/>
        <v>173570.01972386587</v>
      </c>
      <c r="J15" s="173">
        <v>330</v>
      </c>
      <c r="K15" s="173">
        <f t="shared" ref="K15:M15" si="12">+(J15/J$10)*$E15</f>
        <v>189338.61881911117</v>
      </c>
      <c r="L15" s="173">
        <v>142</v>
      </c>
      <c r="M15" s="173">
        <f t="shared" si="12"/>
        <v>26290.984986198077</v>
      </c>
      <c r="N15" s="173">
        <v>1582</v>
      </c>
      <c r="O15" s="173">
        <f t="shared" ref="O15" si="13">+(N15/N$10)*$E15</f>
        <v>84129.409034653465</v>
      </c>
      <c r="P15" s="173">
        <v>1423</v>
      </c>
      <c r="Q15" s="173">
        <v>74063</v>
      </c>
      <c r="R15" s="175">
        <f t="shared" si="0"/>
        <v>70190</v>
      </c>
      <c r="S15" s="176">
        <f t="shared" si="4"/>
        <v>5.6937069635536026E-2</v>
      </c>
      <c r="T15" s="173">
        <f t="shared" si="5"/>
        <v>156576.94149772407</v>
      </c>
    </row>
    <row r="16" spans="1:20" x14ac:dyDescent="0.2">
      <c r="A16" s="299"/>
      <c r="B16" s="266" t="s">
        <v>84</v>
      </c>
      <c r="C16" s="173">
        <f t="shared" si="9"/>
        <v>3000000</v>
      </c>
      <c r="D16" s="173">
        <v>3500000</v>
      </c>
      <c r="E16" s="261">
        <f t="shared" si="6"/>
        <v>3250000</v>
      </c>
      <c r="F16" s="173">
        <v>185</v>
      </c>
      <c r="G16" s="173">
        <f t="shared" si="1"/>
        <v>73682.598039215678</v>
      </c>
      <c r="H16" s="173">
        <v>17</v>
      </c>
      <c r="I16" s="173">
        <f t="shared" si="1"/>
        <v>108974.35897435897</v>
      </c>
      <c r="J16" s="173">
        <v>196</v>
      </c>
      <c r="K16" s="173">
        <f t="shared" ref="K16:M16" si="14">+(J16/J$10)*$E16</f>
        <v>132902.14896724391</v>
      </c>
      <c r="L16" s="173">
        <v>77</v>
      </c>
      <c r="M16" s="173">
        <f t="shared" si="14"/>
        <v>16848.448124957922</v>
      </c>
      <c r="N16" s="173">
        <v>966</v>
      </c>
      <c r="O16" s="173">
        <f t="shared" ref="O16" si="15">+(N16/N$10)*$E16</f>
        <v>60711.246905940592</v>
      </c>
      <c r="P16" s="173">
        <v>759</v>
      </c>
      <c r="Q16" s="173">
        <v>50074</v>
      </c>
      <c r="R16" s="175">
        <f t="shared" si="0"/>
        <v>47874</v>
      </c>
      <c r="S16" s="176">
        <f t="shared" si="4"/>
        <v>3.8495157162548518E-2</v>
      </c>
      <c r="T16" s="173">
        <f t="shared" si="5"/>
        <v>125109.26077828268</v>
      </c>
    </row>
    <row r="17" spans="1:21" x14ac:dyDescent="0.2">
      <c r="A17" s="299"/>
      <c r="B17" s="266" t="s">
        <v>84</v>
      </c>
      <c r="C17" s="173">
        <f t="shared" si="9"/>
        <v>3500000</v>
      </c>
      <c r="D17" s="173">
        <v>4000000</v>
      </c>
      <c r="E17" s="261">
        <f t="shared" si="6"/>
        <v>3750000</v>
      </c>
      <c r="F17" s="173">
        <v>124</v>
      </c>
      <c r="G17" s="173">
        <f t="shared" si="1"/>
        <v>56985.294117647056</v>
      </c>
      <c r="H17" s="173">
        <v>16</v>
      </c>
      <c r="I17" s="173">
        <f t="shared" si="1"/>
        <v>118343.19526627219</v>
      </c>
      <c r="J17" s="173">
        <v>149</v>
      </c>
      <c r="K17" s="173">
        <f t="shared" ref="K17:M17" si="16">+(J17/J$10)*$E17</f>
        <v>116576.25704151888</v>
      </c>
      <c r="L17" s="173">
        <v>63</v>
      </c>
      <c r="M17" s="173">
        <f t="shared" si="16"/>
        <v>15905.87760048475</v>
      </c>
      <c r="N17" s="173">
        <v>750</v>
      </c>
      <c r="O17" s="173">
        <f t="shared" ref="O17" si="17">+(N17/N$10)*$E17</f>
        <v>54387.76299504951</v>
      </c>
      <c r="P17" s="173">
        <v>575</v>
      </c>
      <c r="Q17" s="173">
        <v>38305</v>
      </c>
      <c r="R17" s="175">
        <f t="shared" si="0"/>
        <v>36628</v>
      </c>
      <c r="S17" s="176">
        <f t="shared" si="4"/>
        <v>2.9447557517103106E-2</v>
      </c>
      <c r="T17" s="173">
        <f t="shared" si="5"/>
        <v>110428.34068913665</v>
      </c>
    </row>
    <row r="18" spans="1:21" x14ac:dyDescent="0.2">
      <c r="A18" s="299"/>
      <c r="B18" s="266" t="s">
        <v>84</v>
      </c>
      <c r="C18" s="173">
        <f t="shared" si="9"/>
        <v>4000000</v>
      </c>
      <c r="D18" s="173">
        <v>4500000</v>
      </c>
      <c r="E18" s="261">
        <f t="shared" si="6"/>
        <v>4250000</v>
      </c>
      <c r="F18" s="173">
        <v>83</v>
      </c>
      <c r="G18" s="173">
        <f t="shared" si="1"/>
        <v>43229.166666666672</v>
      </c>
      <c r="H18" s="173">
        <v>6</v>
      </c>
      <c r="I18" s="173">
        <f t="shared" si="1"/>
        <v>50295.857988165677</v>
      </c>
      <c r="J18" s="173">
        <v>88</v>
      </c>
      <c r="K18" s="173">
        <f t="shared" ref="K18:M18" si="18">+(J18/J$10)*$E18</f>
        <v>78030.461089088261</v>
      </c>
      <c r="L18" s="173">
        <v>40</v>
      </c>
      <c r="M18" s="173">
        <f t="shared" si="18"/>
        <v>11445.499225745642</v>
      </c>
      <c r="N18" s="173">
        <v>503</v>
      </c>
      <c r="O18" s="173">
        <f t="shared" ref="O18" si="19">+(N18/N$10)*$E18</f>
        <v>41339.534344059408</v>
      </c>
      <c r="P18" s="173">
        <v>374</v>
      </c>
      <c r="Q18" s="173">
        <v>26628</v>
      </c>
      <c r="R18" s="175">
        <f t="shared" si="0"/>
        <v>25534</v>
      </c>
      <c r="S18" s="176">
        <f t="shared" si="4"/>
        <v>2.0470684285743938E-2</v>
      </c>
      <c r="T18" s="173">
        <f t="shared" si="5"/>
        <v>87000.408214411742</v>
      </c>
    </row>
    <row r="19" spans="1:21" x14ac:dyDescent="0.2">
      <c r="A19" s="299"/>
      <c r="B19" s="266" t="s">
        <v>84</v>
      </c>
      <c r="C19" s="173">
        <f t="shared" si="9"/>
        <v>4500000</v>
      </c>
      <c r="D19" s="173">
        <v>5500000</v>
      </c>
      <c r="E19" s="261">
        <f t="shared" si="6"/>
        <v>5000000</v>
      </c>
      <c r="F19" s="173">
        <v>63</v>
      </c>
      <c r="G19" s="173">
        <f t="shared" si="1"/>
        <v>38602.941176470587</v>
      </c>
      <c r="H19" s="173">
        <v>13</v>
      </c>
      <c r="I19" s="173">
        <f t="shared" si="1"/>
        <v>128205.1282051282</v>
      </c>
      <c r="J19" s="173">
        <v>84</v>
      </c>
      <c r="K19" s="173">
        <f t="shared" ref="K19:M19" si="20">+(J19/J$10)*$E19</f>
        <v>87627.790527853125</v>
      </c>
      <c r="L19" s="173">
        <v>47</v>
      </c>
      <c r="M19" s="173">
        <f t="shared" si="20"/>
        <v>15821.719517942502</v>
      </c>
      <c r="N19" s="173">
        <v>552</v>
      </c>
      <c r="O19" s="173">
        <f t="shared" ref="O19" si="21">+(N19/N$10)*$E19</f>
        <v>53372.524752475249</v>
      </c>
      <c r="P19" s="173">
        <v>357</v>
      </c>
      <c r="Q19" s="173">
        <v>27625</v>
      </c>
      <c r="R19" s="175">
        <f t="shared" si="0"/>
        <v>26509</v>
      </c>
      <c r="S19" s="176">
        <f t="shared" si="4"/>
        <v>2.1237143360135057E-2</v>
      </c>
      <c r="T19" s="173">
        <f t="shared" si="5"/>
        <v>106185.71680067529</v>
      </c>
    </row>
    <row r="20" spans="1:21" x14ac:dyDescent="0.2">
      <c r="A20" s="299"/>
      <c r="B20" s="266"/>
      <c r="C20" s="173"/>
      <c r="D20" s="173"/>
      <c r="E20" s="173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</row>
    <row r="21" spans="1:21" ht="15" x14ac:dyDescent="0.25">
      <c r="A21" s="299"/>
      <c r="B21" s="296"/>
      <c r="C21" s="174"/>
      <c r="D21" s="174"/>
      <c r="E21" s="174"/>
      <c r="F21" s="251"/>
      <c r="G21" s="259">
        <f>SUM(G11:G20)</f>
        <v>1541513.4803921569</v>
      </c>
      <c r="H21" s="251"/>
      <c r="I21" s="259">
        <f>SUM(I11:I20)</f>
        <v>1789940.828402367</v>
      </c>
      <c r="J21" s="260"/>
      <c r="K21" s="259">
        <f>SUM(K11:K20)</f>
        <v>1666962.2365950346</v>
      </c>
      <c r="L21" s="260"/>
      <c r="M21" s="259">
        <f>SUM(M11:M20)</f>
        <v>1160035.0097623377</v>
      </c>
      <c r="N21" s="260"/>
      <c r="O21" s="259">
        <f>SUM(O11:O20)</f>
        <v>1365408.4158415843</v>
      </c>
      <c r="P21" s="260"/>
      <c r="Q21" s="259">
        <f>SUM(Q10:Q19)</f>
        <v>2398580</v>
      </c>
      <c r="R21" s="260"/>
      <c r="S21" s="260"/>
      <c r="T21" s="259">
        <f>SUM(T11:T20)</f>
        <v>1546402.869954881</v>
      </c>
    </row>
    <row r="22" spans="1:21" x14ac:dyDescent="0.2">
      <c r="A22" s="171"/>
      <c r="B22" s="252"/>
      <c r="C22" s="253"/>
      <c r="D22" s="253"/>
      <c r="E22" s="253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4">
        <f>+'1.4 Base Otros Supuestos'!B24</f>
        <v>3500</v>
      </c>
      <c r="T22" s="255"/>
    </row>
    <row r="23" spans="1:21" ht="15" x14ac:dyDescent="0.25">
      <c r="A23" s="120"/>
      <c r="B23" s="120"/>
      <c r="C23" s="293"/>
      <c r="D23" s="293"/>
      <c r="E23" s="293"/>
      <c r="F23" s="120"/>
      <c r="G23" s="120"/>
      <c r="H23" s="120"/>
      <c r="I23" s="256">
        <f>+(I21-T21)/T21</f>
        <v>0.15748674758641101</v>
      </c>
      <c r="J23" s="120"/>
      <c r="K23" s="120"/>
      <c r="L23" s="120"/>
      <c r="M23" s="256">
        <f>+(M21-T21)/T21</f>
        <v>-0.24984942003102742</v>
      </c>
      <c r="N23" s="120"/>
      <c r="O23" s="120"/>
      <c r="P23" s="120"/>
      <c r="Q23" s="120"/>
      <c r="R23" s="120"/>
      <c r="S23" s="120"/>
      <c r="T23" s="120"/>
      <c r="U23" s="120"/>
    </row>
    <row r="24" spans="1:21" ht="15" x14ac:dyDescent="0.25">
      <c r="B24" s="2" t="s">
        <v>417</v>
      </c>
    </row>
    <row r="59" spans="2:19" hidden="1" x14ac:dyDescent="0.2"/>
    <row r="60" spans="2:19" hidden="1" x14ac:dyDescent="0.2"/>
    <row r="61" spans="2:19" hidden="1" x14ac:dyDescent="0.2"/>
    <row r="62" spans="2:19" hidden="1" x14ac:dyDescent="0.2"/>
    <row r="63" spans="2:19" hidden="1" x14ac:dyDescent="0.2">
      <c r="B63" s="105"/>
      <c r="C63" s="294"/>
      <c r="D63" s="294"/>
      <c r="E63" s="105" t="s">
        <v>139</v>
      </c>
      <c r="F63" s="105" t="s">
        <v>140</v>
      </c>
      <c r="G63" s="105"/>
      <c r="H63" s="105" t="s">
        <v>141</v>
      </c>
      <c r="I63" s="105"/>
      <c r="J63" s="294" t="s">
        <v>142</v>
      </c>
      <c r="K63" s="294"/>
      <c r="L63" s="105">
        <v>6794</v>
      </c>
      <c r="M63" s="105"/>
      <c r="N63" s="105">
        <v>21459</v>
      </c>
      <c r="O63" s="105"/>
      <c r="P63" s="2">
        <v>87762</v>
      </c>
      <c r="Q63" s="31">
        <v>109221</v>
      </c>
      <c r="R63" s="2">
        <v>1504331</v>
      </c>
      <c r="S63" s="2">
        <f>+R63+Q63+P63+N63+L63</f>
        <v>1729567</v>
      </c>
    </row>
    <row r="64" spans="2:19" ht="15" hidden="1" x14ac:dyDescent="0.25">
      <c r="B64" s="106" t="s">
        <v>127</v>
      </c>
      <c r="C64" s="294" t="s">
        <v>137</v>
      </c>
      <c r="D64" s="294"/>
      <c r="E64" s="294">
        <v>1146</v>
      </c>
      <c r="F64" s="105">
        <v>4476</v>
      </c>
      <c r="G64" s="105"/>
      <c r="H64" s="105">
        <v>18824</v>
      </c>
      <c r="I64" s="105"/>
      <c r="J64" s="294">
        <v>261295</v>
      </c>
      <c r="K64" s="294"/>
      <c r="L64" s="79"/>
      <c r="M64" s="79"/>
      <c r="N64" s="105"/>
      <c r="O64" s="105"/>
      <c r="Q64" s="2" t="s">
        <v>126</v>
      </c>
      <c r="S64" s="2">
        <v>1620342</v>
      </c>
    </row>
    <row r="65" spans="1:19" ht="15" hidden="1" x14ac:dyDescent="0.25">
      <c r="B65" s="106" t="s">
        <v>128</v>
      </c>
      <c r="C65" s="294" t="s">
        <v>136</v>
      </c>
      <c r="D65" s="294"/>
      <c r="E65" s="294">
        <v>1072</v>
      </c>
      <c r="F65" s="105">
        <v>2499</v>
      </c>
      <c r="G65" s="105"/>
      <c r="H65" s="105">
        <v>9926</v>
      </c>
      <c r="I65" s="105"/>
      <c r="J65" s="294">
        <v>122111</v>
      </c>
      <c r="K65" s="294"/>
      <c r="L65" s="105"/>
      <c r="M65" s="105"/>
      <c r="N65" s="105"/>
      <c r="O65" s="105"/>
      <c r="S65" s="31">
        <f>+S63-S64</f>
        <v>109225</v>
      </c>
    </row>
    <row r="66" spans="1:19" ht="15" hidden="1" x14ac:dyDescent="0.25">
      <c r="B66" s="106" t="s">
        <v>129</v>
      </c>
      <c r="C66" s="294" t="s">
        <v>138</v>
      </c>
      <c r="D66" s="294"/>
      <c r="E66" s="294">
        <v>105</v>
      </c>
      <c r="F66" s="105">
        <v>341</v>
      </c>
      <c r="G66" s="105"/>
      <c r="H66" s="105">
        <v>1829</v>
      </c>
      <c r="I66" s="105"/>
      <c r="J66" s="294">
        <v>24301</v>
      </c>
      <c r="K66" s="294"/>
      <c r="L66" s="105"/>
      <c r="M66" s="105"/>
      <c r="N66" s="105"/>
      <c r="O66" s="105"/>
    </row>
    <row r="67" spans="1:19" ht="15" hidden="1" x14ac:dyDescent="0.25">
      <c r="B67" s="105"/>
      <c r="C67" s="294"/>
      <c r="D67" s="294"/>
      <c r="E67" s="294"/>
      <c r="F67" s="105"/>
      <c r="G67" s="105"/>
      <c r="H67" s="105"/>
      <c r="I67" s="105"/>
      <c r="J67" s="105"/>
      <c r="K67" s="105"/>
      <c r="L67" s="295">
        <f>+L63/S64</f>
        <v>4.1929419838527913E-3</v>
      </c>
      <c r="M67" s="295"/>
      <c r="N67" s="295">
        <f>+N63/S64</f>
        <v>1.3243500446202098E-2</v>
      </c>
      <c r="O67" s="295"/>
      <c r="P67" s="172">
        <f>+P63/S64</f>
        <v>5.4162639739018061E-2</v>
      </c>
      <c r="Q67" s="172"/>
      <c r="R67" s="172">
        <f>+R63/S64</f>
        <v>0.92840338644557752</v>
      </c>
    </row>
    <row r="68" spans="1:19" ht="15" hidden="1" x14ac:dyDescent="0.25">
      <c r="B68" s="105"/>
      <c r="C68" s="294"/>
      <c r="D68" s="294"/>
      <c r="E68" s="294"/>
      <c r="F68" s="105"/>
      <c r="G68" s="105"/>
      <c r="H68" s="105"/>
      <c r="I68" s="105"/>
      <c r="J68" s="105"/>
      <c r="K68" s="105"/>
      <c r="L68" s="106" t="s">
        <v>94</v>
      </c>
      <c r="M68" s="106"/>
      <c r="N68" s="106" t="s">
        <v>95</v>
      </c>
      <c r="O68" s="106"/>
      <c r="P68" s="11" t="s">
        <v>96</v>
      </c>
      <c r="Q68" s="11"/>
      <c r="R68" s="11" t="s">
        <v>97</v>
      </c>
    </row>
    <row r="69" spans="1:19" hidden="1" x14ac:dyDescent="0.2"/>
    <row r="71" spans="1:19" ht="15" x14ac:dyDescent="0.25">
      <c r="A71" s="377" t="s">
        <v>449</v>
      </c>
      <c r="B71" s="377"/>
      <c r="C71" s="377"/>
      <c r="D71" s="377"/>
      <c r="E71" s="377"/>
      <c r="F71" s="377"/>
      <c r="G71" s="300"/>
      <c r="H71" s="300"/>
      <c r="I71" s="171"/>
    </row>
    <row r="72" spans="1:19" ht="15" x14ac:dyDescent="0.25">
      <c r="A72" s="377" t="s">
        <v>110</v>
      </c>
      <c r="B72" s="377"/>
      <c r="C72" s="377"/>
      <c r="D72" s="377"/>
      <c r="E72" s="377"/>
      <c r="F72" s="377"/>
      <c r="G72" s="301"/>
      <c r="H72" s="301"/>
      <c r="I72" s="171"/>
    </row>
    <row r="73" spans="1:19" ht="15" x14ac:dyDescent="0.25">
      <c r="A73" s="303" t="s">
        <v>98</v>
      </c>
      <c r="B73" s="110">
        <v>0.1</v>
      </c>
      <c r="C73" s="173">
        <v>5</v>
      </c>
      <c r="D73" s="173"/>
      <c r="E73" s="380" t="s">
        <v>444</v>
      </c>
      <c r="F73" s="380"/>
      <c r="G73" s="171"/>
      <c r="H73" s="171"/>
      <c r="I73" s="171"/>
    </row>
    <row r="74" spans="1:19" ht="15" x14ac:dyDescent="0.25">
      <c r="A74" s="303" t="s">
        <v>99</v>
      </c>
      <c r="B74" s="110">
        <v>249</v>
      </c>
      <c r="C74" s="173">
        <v>449</v>
      </c>
      <c r="D74" s="173">
        <v>999</v>
      </c>
      <c r="E74" s="380" t="s">
        <v>446</v>
      </c>
      <c r="F74" s="380"/>
      <c r="G74" s="171"/>
      <c r="H74" s="171"/>
      <c r="I74" s="171"/>
    </row>
    <row r="75" spans="1:19" ht="15" x14ac:dyDescent="0.25">
      <c r="A75" s="303" t="s">
        <v>100</v>
      </c>
      <c r="B75" s="110">
        <v>219</v>
      </c>
      <c r="C75" s="173">
        <v>299</v>
      </c>
      <c r="D75" s="173">
        <v>599</v>
      </c>
      <c r="E75" s="380" t="s">
        <v>446</v>
      </c>
      <c r="F75" s="380"/>
      <c r="G75" s="171"/>
      <c r="H75" s="171"/>
      <c r="I75" s="171"/>
    </row>
    <row r="76" spans="1:19" ht="15" x14ac:dyDescent="0.25">
      <c r="A76" s="303" t="s">
        <v>101</v>
      </c>
      <c r="B76" s="393" t="s">
        <v>447</v>
      </c>
      <c r="C76" s="393"/>
      <c r="D76" s="393"/>
      <c r="E76" s="393"/>
      <c r="F76" s="393"/>
      <c r="G76" s="171"/>
      <c r="H76" s="171"/>
      <c r="I76" s="171"/>
    </row>
    <row r="77" spans="1:19" ht="15" customHeight="1" x14ac:dyDescent="0.2">
      <c r="A77" s="375" t="s">
        <v>102</v>
      </c>
      <c r="B77" s="110">
        <v>395</v>
      </c>
      <c r="C77" s="173">
        <v>325</v>
      </c>
      <c r="D77" s="173">
        <v>250</v>
      </c>
      <c r="E77" s="394"/>
      <c r="F77" s="394"/>
      <c r="G77" s="171"/>
      <c r="H77" s="171"/>
      <c r="I77" s="171"/>
    </row>
    <row r="78" spans="1:19" ht="15" customHeight="1" x14ac:dyDescent="0.2">
      <c r="A78" s="376"/>
      <c r="B78" s="304" t="s">
        <v>103</v>
      </c>
      <c r="C78" s="305" t="s">
        <v>104</v>
      </c>
      <c r="D78" s="305" t="s">
        <v>105</v>
      </c>
      <c r="E78" s="380" t="s">
        <v>448</v>
      </c>
      <c r="F78" s="380"/>
      <c r="G78" s="171"/>
      <c r="H78" s="171"/>
      <c r="I78" s="171"/>
    </row>
    <row r="79" spans="1:19" ht="15" x14ac:dyDescent="0.25">
      <c r="A79" s="303" t="s">
        <v>106</v>
      </c>
      <c r="B79" s="110">
        <v>10</v>
      </c>
      <c r="C79" s="302" t="s">
        <v>107</v>
      </c>
      <c r="D79" s="173">
        <v>75</v>
      </c>
      <c r="E79" s="380" t="s">
        <v>445</v>
      </c>
      <c r="F79" s="380"/>
      <c r="G79" s="171"/>
      <c r="H79" s="171"/>
      <c r="I79" s="171"/>
    </row>
    <row r="80" spans="1:19" ht="15" x14ac:dyDescent="0.25">
      <c r="A80" s="303" t="s">
        <v>108</v>
      </c>
      <c r="B80" s="110">
        <v>99</v>
      </c>
      <c r="C80" s="173"/>
      <c r="D80" s="173"/>
      <c r="E80" s="380" t="s">
        <v>445</v>
      </c>
      <c r="F80" s="380"/>
      <c r="G80" s="171"/>
      <c r="H80" s="171"/>
      <c r="I80" s="171"/>
    </row>
    <row r="81" spans="1:17" ht="15" x14ac:dyDescent="0.25">
      <c r="A81" s="303" t="s">
        <v>109</v>
      </c>
      <c r="B81" s="110">
        <v>249</v>
      </c>
      <c r="C81" s="173"/>
      <c r="D81" s="173"/>
      <c r="E81" s="380" t="s">
        <v>445</v>
      </c>
      <c r="F81" s="380"/>
      <c r="G81" s="171"/>
      <c r="H81" s="171"/>
      <c r="I81" s="171"/>
    </row>
    <row r="82" spans="1:17" x14ac:dyDescent="0.2">
      <c r="A82" s="373" t="s">
        <v>443</v>
      </c>
      <c r="B82" s="373"/>
      <c r="C82" s="373"/>
      <c r="D82" s="373"/>
      <c r="E82" s="373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</row>
    <row r="84" spans="1:17" ht="15" x14ac:dyDescent="0.25">
      <c r="A84" s="378" t="s">
        <v>450</v>
      </c>
      <c r="B84" s="379"/>
      <c r="C84" s="379"/>
      <c r="D84" s="379"/>
      <c r="E84" s="379"/>
      <c r="F84" s="379"/>
    </row>
    <row r="85" spans="1:17" ht="15" x14ac:dyDescent="0.25">
      <c r="A85" s="110"/>
      <c r="B85" s="268" t="s">
        <v>113</v>
      </c>
      <c r="C85" s="315" t="s">
        <v>110</v>
      </c>
      <c r="D85" s="315" t="s">
        <v>125</v>
      </c>
      <c r="E85" s="306"/>
      <c r="F85" s="258"/>
    </row>
    <row r="86" spans="1:17" ht="15" x14ac:dyDescent="0.2">
      <c r="A86" s="313" t="s">
        <v>111</v>
      </c>
      <c r="B86" s="308">
        <v>8155000</v>
      </c>
      <c r="C86" s="310">
        <f>+B86/S22</f>
        <v>2330</v>
      </c>
      <c r="D86" s="311">
        <f>+C86/12</f>
        <v>194.16666666666666</v>
      </c>
      <c r="E86" s="308"/>
      <c r="F86" s="307" t="s">
        <v>112</v>
      </c>
      <c r="H86" s="373" t="s">
        <v>454</v>
      </c>
      <c r="I86" s="373"/>
      <c r="J86" s="373"/>
      <c r="K86" s="373"/>
      <c r="L86" s="373"/>
      <c r="M86" s="373"/>
      <c r="N86" s="373"/>
      <c r="O86" s="373"/>
      <c r="P86" s="373"/>
      <c r="Q86" s="373"/>
    </row>
    <row r="87" spans="1:17" x14ac:dyDescent="0.2">
      <c r="A87" s="307"/>
      <c r="B87" s="308">
        <v>367000</v>
      </c>
      <c r="C87" s="308">
        <f>+B87/S22</f>
        <v>104.85714285714286</v>
      </c>
      <c r="D87" s="308"/>
      <c r="E87" s="308"/>
      <c r="F87" s="307"/>
    </row>
    <row r="88" spans="1:17" ht="15" x14ac:dyDescent="0.2">
      <c r="A88" s="313" t="s">
        <v>403</v>
      </c>
      <c r="B88" s="308">
        <v>325000</v>
      </c>
      <c r="C88" s="311">
        <f>+B88/S22</f>
        <v>92.857142857142861</v>
      </c>
      <c r="D88" s="308" t="s">
        <v>114</v>
      </c>
      <c r="E88" s="308"/>
      <c r="F88" s="307"/>
      <c r="H88" s="2" t="s">
        <v>455</v>
      </c>
    </row>
    <row r="89" spans="1:17" x14ac:dyDescent="0.2">
      <c r="A89" s="307"/>
      <c r="B89" s="307"/>
      <c r="C89" s="308"/>
      <c r="D89" s="308"/>
      <c r="E89" s="308"/>
      <c r="F89" s="307"/>
    </row>
    <row r="90" spans="1:17" ht="15" x14ac:dyDescent="0.2">
      <c r="A90" s="313" t="s">
        <v>115</v>
      </c>
      <c r="B90" s="307" t="s">
        <v>116</v>
      </c>
      <c r="C90" s="311">
        <v>25</v>
      </c>
      <c r="D90" s="308"/>
      <c r="E90" s="308"/>
      <c r="F90" s="307"/>
      <c r="H90" s="373" t="s">
        <v>456</v>
      </c>
      <c r="I90" s="373"/>
      <c r="J90" s="373"/>
      <c r="K90" s="373"/>
      <c r="L90" s="373"/>
      <c r="M90" s="373"/>
      <c r="N90" s="373"/>
      <c r="O90" s="373"/>
      <c r="P90" s="373"/>
    </row>
    <row r="91" spans="1:17" x14ac:dyDescent="0.2">
      <c r="A91" s="307"/>
      <c r="B91" s="307"/>
      <c r="C91" s="308"/>
      <c r="D91" s="308"/>
      <c r="E91" s="308"/>
      <c r="F91" s="307"/>
    </row>
    <row r="92" spans="1:17" ht="41.25" customHeight="1" x14ac:dyDescent="0.2">
      <c r="A92" s="313" t="s">
        <v>117</v>
      </c>
      <c r="B92" s="312" t="s">
        <v>118</v>
      </c>
      <c r="C92" s="381" t="s">
        <v>452</v>
      </c>
      <c r="D92" s="381"/>
      <c r="E92" s="381"/>
      <c r="F92" s="381"/>
      <c r="G92" s="30"/>
      <c r="H92" s="374" t="s">
        <v>457</v>
      </c>
      <c r="I92" s="374"/>
      <c r="J92" s="374"/>
      <c r="K92" s="374"/>
      <c r="L92" s="374"/>
      <c r="M92" s="374"/>
      <c r="N92" s="374"/>
      <c r="O92" s="374"/>
      <c r="P92" s="374"/>
    </row>
    <row r="93" spans="1:17" ht="15" x14ac:dyDescent="0.2">
      <c r="A93" s="313" t="s">
        <v>453</v>
      </c>
      <c r="B93" s="308">
        <v>70000</v>
      </c>
      <c r="C93" s="311">
        <f>+B93/S22</f>
        <v>20</v>
      </c>
      <c r="D93" s="308"/>
      <c r="E93" s="308"/>
      <c r="F93" s="307" t="s">
        <v>119</v>
      </c>
      <c r="H93" s="2" t="s">
        <v>458</v>
      </c>
    </row>
    <row r="94" spans="1:17" x14ac:dyDescent="0.2">
      <c r="A94" s="307"/>
      <c r="B94" s="307"/>
      <c r="C94" s="308"/>
      <c r="D94" s="308"/>
      <c r="E94" s="308"/>
      <c r="F94" s="307"/>
    </row>
    <row r="95" spans="1:17" ht="15" x14ac:dyDescent="0.2">
      <c r="A95" s="313" t="s">
        <v>451</v>
      </c>
      <c r="B95" s="112" t="s">
        <v>120</v>
      </c>
      <c r="C95" s="309"/>
      <c r="D95" s="314" t="s">
        <v>123</v>
      </c>
      <c r="E95" s="308"/>
      <c r="F95" s="307"/>
      <c r="H95" s="2" t="s">
        <v>459</v>
      </c>
    </row>
    <row r="96" spans="1:17" ht="15" x14ac:dyDescent="0.2">
      <c r="A96" s="307" t="s">
        <v>121</v>
      </c>
      <c r="B96" s="308">
        <v>445000</v>
      </c>
      <c r="C96" s="311">
        <f>+B96/S22</f>
        <v>127.14285714285714</v>
      </c>
      <c r="D96" s="308">
        <v>145000</v>
      </c>
      <c r="E96" s="311">
        <f>+D96/S22</f>
        <v>41.428571428571431</v>
      </c>
      <c r="F96" s="307"/>
    </row>
    <row r="97" spans="1:6" ht="15" x14ac:dyDescent="0.2">
      <c r="A97" s="307" t="s">
        <v>122</v>
      </c>
      <c r="B97" s="308">
        <v>995000</v>
      </c>
      <c r="C97" s="311">
        <f>+B97/S22</f>
        <v>284.28571428571428</v>
      </c>
      <c r="D97" s="308">
        <v>285000</v>
      </c>
      <c r="E97" s="310">
        <f>+D97/S22</f>
        <v>81.428571428571431</v>
      </c>
      <c r="F97" s="307"/>
    </row>
    <row r="100" spans="1:6" ht="15" x14ac:dyDescent="0.25">
      <c r="A100" s="106" t="s">
        <v>130</v>
      </c>
      <c r="B100" s="106"/>
      <c r="C100" s="316"/>
      <c r="D100" s="316"/>
      <c r="E100" s="294"/>
      <c r="F100" s="105"/>
    </row>
    <row r="101" spans="1:6" ht="15" x14ac:dyDescent="0.25">
      <c r="A101" s="106" t="s">
        <v>131</v>
      </c>
      <c r="B101" s="105"/>
      <c r="C101" s="294"/>
      <c r="D101" s="294"/>
      <c r="E101" s="294"/>
      <c r="F101" s="105"/>
    </row>
    <row r="102" spans="1:6" x14ac:dyDescent="0.2">
      <c r="A102" s="105"/>
      <c r="B102" s="105"/>
      <c r="C102" s="294"/>
      <c r="D102" s="294"/>
      <c r="E102" s="294"/>
      <c r="F102" s="105"/>
    </row>
    <row r="103" spans="1:6" x14ac:dyDescent="0.2">
      <c r="A103" s="105"/>
      <c r="B103" s="105"/>
      <c r="C103" s="294"/>
      <c r="D103" s="294"/>
      <c r="E103" s="294"/>
      <c r="F103" s="105"/>
    </row>
    <row r="104" spans="1:6" x14ac:dyDescent="0.2">
      <c r="A104" s="105" t="s">
        <v>132</v>
      </c>
      <c r="B104" s="105"/>
      <c r="C104" s="294"/>
      <c r="D104" s="294"/>
      <c r="E104" s="294"/>
      <c r="F104" s="105"/>
    </row>
    <row r="105" spans="1:6" x14ac:dyDescent="0.2">
      <c r="A105" s="105" t="s">
        <v>133</v>
      </c>
      <c r="B105" s="105"/>
      <c r="C105" s="294"/>
      <c r="D105" s="294"/>
      <c r="E105" s="294"/>
      <c r="F105" s="105"/>
    </row>
    <row r="106" spans="1:6" x14ac:dyDescent="0.2">
      <c r="A106" s="105" t="s">
        <v>134</v>
      </c>
      <c r="B106" s="105"/>
      <c r="C106" s="294"/>
      <c r="D106" s="294"/>
      <c r="E106" s="294"/>
      <c r="F106" s="105"/>
    </row>
    <row r="107" spans="1:6" x14ac:dyDescent="0.2">
      <c r="A107" s="105" t="s">
        <v>135</v>
      </c>
      <c r="B107" s="105"/>
      <c r="C107" s="294"/>
      <c r="D107" s="294"/>
      <c r="E107" s="294"/>
      <c r="F107" s="105"/>
    </row>
    <row r="108" spans="1:6" x14ac:dyDescent="0.2">
      <c r="A108" s="105"/>
      <c r="B108" s="105"/>
      <c r="C108" s="294"/>
      <c r="D108" s="294"/>
      <c r="E108" s="294"/>
      <c r="F108" s="105"/>
    </row>
    <row r="109" spans="1:6" x14ac:dyDescent="0.2">
      <c r="A109" s="105"/>
      <c r="B109" s="105"/>
      <c r="C109" s="294"/>
      <c r="D109" s="294"/>
      <c r="E109" s="294"/>
      <c r="F109" s="105"/>
    </row>
    <row r="110" spans="1:6" x14ac:dyDescent="0.2">
      <c r="A110" s="105" t="s">
        <v>165</v>
      </c>
      <c r="B110" s="105"/>
      <c r="C110" s="294"/>
      <c r="D110" s="294"/>
      <c r="E110" s="294"/>
      <c r="F110" s="105"/>
    </row>
    <row r="111" spans="1:6" x14ac:dyDescent="0.2">
      <c r="A111" s="105"/>
      <c r="B111" s="105"/>
      <c r="C111" s="294"/>
      <c r="D111" s="294"/>
      <c r="E111" s="294"/>
      <c r="F111" s="105"/>
    </row>
    <row r="112" spans="1:6" x14ac:dyDescent="0.2">
      <c r="A112" s="105"/>
      <c r="B112" s="105">
        <v>2010</v>
      </c>
      <c r="C112" s="105">
        <v>2019</v>
      </c>
      <c r="D112" s="105" t="s">
        <v>167</v>
      </c>
      <c r="E112" s="294" t="s">
        <v>168</v>
      </c>
      <c r="F112" s="105"/>
    </row>
    <row r="113" spans="1:6" x14ac:dyDescent="0.2">
      <c r="A113" s="105" t="s">
        <v>166</v>
      </c>
      <c r="B113" s="317">
        <v>10589</v>
      </c>
      <c r="C113" s="317">
        <v>22044.240000000002</v>
      </c>
      <c r="D113" s="79">
        <f>+((C113/B113)^E113)-1</f>
        <v>8.488134774143985E-2</v>
      </c>
      <c r="E113" s="318">
        <f>+((1/(C112-B112)))</f>
        <v>0.1111111111111111</v>
      </c>
      <c r="F113" s="105"/>
    </row>
    <row r="114" spans="1:6" x14ac:dyDescent="0.2">
      <c r="A114" s="105"/>
      <c r="B114" s="105"/>
      <c r="C114" s="294"/>
      <c r="D114" s="294"/>
      <c r="E114" s="294"/>
      <c r="F114" s="105"/>
    </row>
    <row r="115" spans="1:6" x14ac:dyDescent="0.2">
      <c r="A115" s="105" t="s">
        <v>169</v>
      </c>
      <c r="B115" s="105" t="s">
        <v>170</v>
      </c>
      <c r="C115" s="294"/>
      <c r="D115" s="294"/>
      <c r="E115" s="294"/>
      <c r="F115" s="105"/>
    </row>
  </sheetData>
  <mergeCells count="36">
    <mergeCell ref="B76:F76"/>
    <mergeCell ref="E77:F77"/>
    <mergeCell ref="P8:P9"/>
    <mergeCell ref="Q8:Q9"/>
    <mergeCell ref="R8:R9"/>
    <mergeCell ref="H8:H9"/>
    <mergeCell ref="I8:I9"/>
    <mergeCell ref="J8:J9"/>
    <mergeCell ref="K8:K9"/>
    <mergeCell ref="L8:L9"/>
    <mergeCell ref="M8:M9"/>
    <mergeCell ref="N8:N9"/>
    <mergeCell ref="O8:O9"/>
    <mergeCell ref="B2:C2"/>
    <mergeCell ref="F8:F9"/>
    <mergeCell ref="G8:G9"/>
    <mergeCell ref="B8:E9"/>
    <mergeCell ref="B7:T7"/>
    <mergeCell ref="S8:S9"/>
    <mergeCell ref="T8:T9"/>
    <mergeCell ref="H90:P90"/>
    <mergeCell ref="H92:P92"/>
    <mergeCell ref="A77:A78"/>
    <mergeCell ref="A82:P82"/>
    <mergeCell ref="A71:F71"/>
    <mergeCell ref="A84:F84"/>
    <mergeCell ref="H86:Q86"/>
    <mergeCell ref="E78:F78"/>
    <mergeCell ref="E79:F79"/>
    <mergeCell ref="E80:F80"/>
    <mergeCell ref="E81:F81"/>
    <mergeCell ref="C92:F92"/>
    <mergeCell ref="A72:F72"/>
    <mergeCell ref="E73:F73"/>
    <mergeCell ref="E74:F74"/>
    <mergeCell ref="E75:F75"/>
  </mergeCells>
  <pageMargins left="0.7" right="0.7" top="0.75" bottom="0.75" header="0.3" footer="0.3"/>
  <pageSetup scale="34" orientation="portrait" r:id="rId1"/>
  <colBreaks count="1" manualBreakCount="1">
    <brk id="5" max="11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6299-3F0B-4F77-9B45-1AEC375A2E70}">
  <dimension ref="A1:T93"/>
  <sheetViews>
    <sheetView topLeftCell="A5" zoomScaleNormal="100" workbookViewId="0">
      <selection activeCell="H18" sqref="H18"/>
    </sheetView>
  </sheetViews>
  <sheetFormatPr baseColWidth="10" defaultColWidth="11.42578125" defaultRowHeight="14.25" x14ac:dyDescent="0.25"/>
  <cols>
    <col min="1" max="1" width="2.85546875" style="178" customWidth="1"/>
    <col min="2" max="2" width="60" style="180" bestFit="1" customWidth="1"/>
    <col min="3" max="3" width="17.85546875" style="180" bestFit="1" customWidth="1"/>
    <col min="4" max="4" width="15.42578125" style="180" bestFit="1" customWidth="1"/>
    <col min="5" max="5" width="19.7109375" style="180" bestFit="1" customWidth="1"/>
    <col min="6" max="6" width="17.7109375" style="180" bestFit="1" customWidth="1"/>
    <col min="7" max="7" width="13.42578125" style="180" bestFit="1" customWidth="1"/>
    <col min="8" max="8" width="15.7109375" style="180" bestFit="1" customWidth="1"/>
    <col min="9" max="9" width="10.28515625" style="180" customWidth="1"/>
    <col min="10" max="11" width="11.42578125" style="180"/>
    <col min="12" max="12" width="15.7109375" style="180" customWidth="1"/>
    <col min="13" max="14" width="22.7109375" style="180" customWidth="1"/>
    <col min="15" max="15" width="17.42578125" style="180" customWidth="1"/>
    <col min="16" max="16384" width="11.42578125" style="180"/>
  </cols>
  <sheetData>
    <row r="1" spans="1:19" s="179" customFormat="1" ht="8.25" customHeight="1" thickBot="1" x14ac:dyDescent="0.3">
      <c r="A1" s="178"/>
    </row>
    <row r="2" spans="1:19" ht="18.75" thickBot="1" x14ac:dyDescent="0.3">
      <c r="B2" s="397" t="s">
        <v>239</v>
      </c>
      <c r="C2" s="398"/>
      <c r="D2" s="398"/>
      <c r="E2" s="398"/>
      <c r="F2" s="398"/>
      <c r="G2" s="39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</row>
    <row r="3" spans="1:19" ht="30.75" thickBot="1" x14ac:dyDescent="0.3">
      <c r="B3" s="181" t="s">
        <v>220</v>
      </c>
      <c r="C3" s="182" t="s">
        <v>221</v>
      </c>
      <c r="D3" s="182" t="s">
        <v>222</v>
      </c>
      <c r="E3" s="182" t="s">
        <v>223</v>
      </c>
      <c r="F3" s="183" t="s">
        <v>224</v>
      </c>
      <c r="G3" s="182" t="s">
        <v>225</v>
      </c>
      <c r="H3" s="184"/>
      <c r="I3" s="179"/>
      <c r="J3" s="179"/>
      <c r="K3" s="179"/>
      <c r="L3" s="179"/>
      <c r="M3" s="179"/>
      <c r="N3" s="179"/>
      <c r="O3" s="179"/>
      <c r="P3" s="179"/>
      <c r="Q3" s="179"/>
      <c r="R3" s="179"/>
    </row>
    <row r="4" spans="1:19" ht="15" x14ac:dyDescent="0.25">
      <c r="B4" s="185" t="s">
        <v>232</v>
      </c>
      <c r="C4" s="186">
        <v>6793</v>
      </c>
      <c r="D4" s="186">
        <v>21459</v>
      </c>
      <c r="E4" s="186">
        <v>87761</v>
      </c>
      <c r="F4" s="187">
        <v>5874177</v>
      </c>
      <c r="G4" s="188">
        <f>SUM(C4:F4)</f>
        <v>5990190</v>
      </c>
      <c r="H4" s="319">
        <f>+E4+D4+C4</f>
        <v>116013</v>
      </c>
      <c r="I4" s="179"/>
      <c r="J4" s="179"/>
      <c r="K4" s="179"/>
      <c r="L4" s="179"/>
      <c r="M4" s="179"/>
      <c r="N4" s="179"/>
      <c r="O4" s="179"/>
      <c r="P4" s="179"/>
      <c r="Q4" s="179"/>
      <c r="R4" s="179"/>
    </row>
    <row r="5" spans="1:19" ht="15" x14ac:dyDescent="0.25">
      <c r="B5" s="185" t="s">
        <v>233</v>
      </c>
      <c r="C5" s="189">
        <f>6576344-D5-E5</f>
        <v>2236419</v>
      </c>
      <c r="D5" s="189">
        <f>+D4*100</f>
        <v>2145900</v>
      </c>
      <c r="E5" s="189">
        <f>+E4*25</f>
        <v>2194025</v>
      </c>
      <c r="F5" s="189">
        <v>13783854.046</v>
      </c>
      <c r="G5" s="190">
        <f>SUM(C5:F5)</f>
        <v>20360198.046</v>
      </c>
      <c r="H5" s="319">
        <f>+E5+D5+C5</f>
        <v>6576344</v>
      </c>
      <c r="I5" s="179"/>
      <c r="J5" s="179" t="s">
        <v>151</v>
      </c>
      <c r="K5" s="179"/>
      <c r="L5" s="179"/>
      <c r="M5" s="179"/>
      <c r="N5" s="179"/>
      <c r="O5" s="179" t="s">
        <v>151</v>
      </c>
      <c r="P5" s="179"/>
      <c r="Q5" s="179"/>
      <c r="R5" s="179"/>
    </row>
    <row r="6" spans="1:19" ht="15" thickBot="1" x14ac:dyDescent="0.3">
      <c r="B6" s="185" t="s">
        <v>234</v>
      </c>
      <c r="C6" s="191">
        <f>+C5/$G$5</f>
        <v>0.10984269381600494</v>
      </c>
      <c r="D6" s="191">
        <f>+D5/$G$5</f>
        <v>0.10539681368284073</v>
      </c>
      <c r="E6" s="191">
        <f>+E5/$G$5</f>
        <v>0.10776049403070723</v>
      </c>
      <c r="F6" s="191">
        <v>0.67700000000000005</v>
      </c>
      <c r="G6" s="192">
        <f>+G5/$G$5</f>
        <v>1</v>
      </c>
      <c r="H6" s="193"/>
      <c r="I6" s="179"/>
      <c r="J6" s="179"/>
      <c r="K6" s="179"/>
      <c r="L6" s="179"/>
      <c r="M6" s="179"/>
      <c r="N6" s="179"/>
      <c r="O6" s="179"/>
      <c r="P6" s="179"/>
      <c r="Q6" s="179"/>
      <c r="R6" s="179"/>
    </row>
    <row r="7" spans="1:19" ht="30.75" thickBot="1" x14ac:dyDescent="0.3">
      <c r="B7" s="194" t="s">
        <v>231</v>
      </c>
      <c r="C7" s="182" t="s">
        <v>226</v>
      </c>
      <c r="D7" s="182" t="s">
        <v>227</v>
      </c>
      <c r="E7" s="182" t="s">
        <v>228</v>
      </c>
      <c r="F7" s="183" t="s">
        <v>229</v>
      </c>
      <c r="G7" s="182" t="s">
        <v>230</v>
      </c>
      <c r="H7" s="179"/>
      <c r="I7" s="195"/>
      <c r="J7" s="195"/>
      <c r="K7" s="195"/>
      <c r="L7" s="179"/>
      <c r="M7" s="179"/>
      <c r="N7" s="179"/>
      <c r="O7" s="179"/>
      <c r="P7" s="179"/>
      <c r="Q7" s="179"/>
      <c r="R7" s="179"/>
    </row>
    <row r="8" spans="1:19" ht="20.100000000000001" customHeight="1" x14ac:dyDescent="0.25">
      <c r="B8" s="196" t="s">
        <v>235</v>
      </c>
      <c r="C8" s="197">
        <v>1146</v>
      </c>
      <c r="D8" s="197">
        <v>4476</v>
      </c>
      <c r="E8" s="197">
        <v>18824</v>
      </c>
      <c r="F8" s="198">
        <v>1638895</v>
      </c>
      <c r="G8" s="199">
        <f>SUM(C8:F8)</f>
        <v>1663341</v>
      </c>
      <c r="H8" s="200">
        <f t="shared" ref="H8:H10" si="0">+E8+D8+C8</f>
        <v>24446</v>
      </c>
      <c r="I8" s="179"/>
      <c r="J8" s="179"/>
      <c r="K8" s="179"/>
      <c r="L8" s="179"/>
      <c r="M8" s="179"/>
      <c r="N8" s="179"/>
      <c r="O8" s="179"/>
      <c r="P8" s="179"/>
      <c r="Q8" s="179"/>
      <c r="R8" s="179"/>
    </row>
    <row r="9" spans="1:19" ht="15" x14ac:dyDescent="0.25">
      <c r="B9" s="196" t="str">
        <f>+B15</f>
        <v>Industrias Manufactureras</v>
      </c>
      <c r="C9" s="197">
        <v>1072</v>
      </c>
      <c r="D9" s="197">
        <v>2499</v>
      </c>
      <c r="E9" s="197">
        <v>9926</v>
      </c>
      <c r="F9" s="198">
        <v>681405</v>
      </c>
      <c r="G9" s="199">
        <f t="shared" ref="G9:G10" si="1">SUM(C9:F9)</f>
        <v>694902</v>
      </c>
      <c r="H9" s="200">
        <f t="shared" si="0"/>
        <v>13497</v>
      </c>
      <c r="I9" s="179"/>
      <c r="J9" s="179"/>
      <c r="K9" s="179"/>
      <c r="L9" s="179"/>
      <c r="M9" s="179"/>
      <c r="N9" s="179"/>
      <c r="O9" s="179"/>
      <c r="P9" s="179"/>
      <c r="Q9" s="179"/>
      <c r="R9" s="179"/>
    </row>
    <row r="10" spans="1:19" ht="15.75" thickBot="1" x14ac:dyDescent="0.3">
      <c r="B10" s="201" t="str">
        <f>+B16</f>
        <v>Alojamiento y Servicios de Comida</v>
      </c>
      <c r="C10" s="202">
        <v>105</v>
      </c>
      <c r="D10" s="202">
        <v>341</v>
      </c>
      <c r="E10" s="202">
        <v>1829</v>
      </c>
      <c r="F10" s="203">
        <v>499305</v>
      </c>
      <c r="G10" s="204">
        <f t="shared" si="1"/>
        <v>501580</v>
      </c>
      <c r="H10" s="200">
        <f t="shared" si="0"/>
        <v>2275</v>
      </c>
      <c r="I10" s="179"/>
      <c r="J10" s="179"/>
      <c r="K10" s="179"/>
      <c r="L10" s="179"/>
      <c r="M10" s="179"/>
      <c r="N10" s="179"/>
      <c r="O10" s="179"/>
      <c r="P10" s="179"/>
      <c r="Q10" s="179"/>
      <c r="R10" s="179"/>
    </row>
    <row r="11" spans="1:19" s="179" customFormat="1" x14ac:dyDescent="0.25">
      <c r="A11" s="178"/>
      <c r="B11" s="205"/>
      <c r="C11" s="206" t="s">
        <v>151</v>
      </c>
      <c r="D11" s="206" t="s">
        <v>151</v>
      </c>
      <c r="E11" s="206" t="s">
        <v>151</v>
      </c>
      <c r="F11" s="206"/>
      <c r="G11" s="206"/>
    </row>
    <row r="12" spans="1:19" s="179" customFormat="1" ht="15" thickBot="1" x14ac:dyDescent="0.3">
      <c r="A12" s="178"/>
      <c r="B12" s="205"/>
      <c r="C12" s="206"/>
      <c r="D12" s="206"/>
      <c r="E12" s="206"/>
      <c r="F12" s="206"/>
      <c r="G12" s="206"/>
    </row>
    <row r="13" spans="1:19" ht="30.75" thickBot="1" x14ac:dyDescent="0.3">
      <c r="B13" s="207" t="s">
        <v>233</v>
      </c>
      <c r="C13" s="182" t="s">
        <v>226</v>
      </c>
      <c r="D13" s="182" t="s">
        <v>227</v>
      </c>
      <c r="E13" s="182" t="s">
        <v>228</v>
      </c>
      <c r="F13" s="183" t="s">
        <v>229</v>
      </c>
      <c r="G13" s="182" t="s">
        <v>244</v>
      </c>
      <c r="H13" s="208" t="s">
        <v>152</v>
      </c>
      <c r="I13" s="208" t="s">
        <v>243</v>
      </c>
      <c r="J13" s="179"/>
      <c r="K13" s="179"/>
      <c r="L13" s="179"/>
      <c r="M13" s="179"/>
      <c r="N13" s="179"/>
      <c r="O13" s="179"/>
      <c r="P13" s="179"/>
      <c r="Q13" s="179"/>
      <c r="R13" s="179"/>
      <c r="S13" s="179"/>
    </row>
    <row r="14" spans="1:19" ht="13.5" customHeight="1" x14ac:dyDescent="0.25">
      <c r="B14" s="209" t="str">
        <f>+B8</f>
        <v>Comercio por mayor y por menor vehículos ( Incl. Reparación)</v>
      </c>
      <c r="C14" s="210">
        <f>+G14*C6</f>
        <v>466857.26175106771</v>
      </c>
      <c r="D14" s="210">
        <f>+G14*D6</f>
        <v>447961.2264032886</v>
      </c>
      <c r="E14" s="210">
        <f>+G14*E6</f>
        <v>458007.42334660294</v>
      </c>
      <c r="F14" s="210">
        <f>+G14*F6</f>
        <v>2877409.0950000002</v>
      </c>
      <c r="G14" s="320">
        <v>4250235</v>
      </c>
      <c r="H14" s="321">
        <v>0.191</v>
      </c>
      <c r="I14" s="211">
        <v>0.13</v>
      </c>
      <c r="J14" s="179"/>
      <c r="K14" s="184"/>
      <c r="L14" s="184"/>
      <c r="M14" s="212"/>
      <c r="N14" s="212"/>
      <c r="O14" s="179"/>
      <c r="P14" s="179"/>
      <c r="Q14" s="179"/>
      <c r="R14" s="179"/>
      <c r="S14" s="179"/>
    </row>
    <row r="15" spans="1:19" x14ac:dyDescent="0.25">
      <c r="B15" s="196" t="s">
        <v>136</v>
      </c>
      <c r="C15" s="213">
        <f>+G15*C6</f>
        <v>274996.56626036536</v>
      </c>
      <c r="D15" s="213">
        <f>+G15*D6</f>
        <v>263866.08749886224</v>
      </c>
      <c r="E15" s="213">
        <f>+G15*E6</f>
        <v>269783.67707008304</v>
      </c>
      <c r="F15" s="213">
        <f>+G15*F6</f>
        <v>1694902.6730000002</v>
      </c>
      <c r="G15" s="322">
        <v>2503549</v>
      </c>
      <c r="H15" s="323">
        <v>0.113</v>
      </c>
      <c r="I15" s="214">
        <v>9.5000000000000001E-2</v>
      </c>
      <c r="J15" s="179"/>
      <c r="K15" s="179"/>
      <c r="L15" s="179"/>
      <c r="M15" s="179"/>
      <c r="N15" s="179"/>
      <c r="O15" s="179"/>
      <c r="P15" s="179"/>
      <c r="Q15" s="179"/>
      <c r="R15" s="179"/>
      <c r="S15" s="179"/>
    </row>
    <row r="16" spans="1:19" ht="15" thickBot="1" x14ac:dyDescent="0.3">
      <c r="B16" s="201" t="s">
        <v>236</v>
      </c>
      <c r="C16" s="215">
        <f>+G16*C6</f>
        <v>181831.8378599135</v>
      </c>
      <c r="D16" s="215">
        <f>+D6*G16</f>
        <v>174472.19902155563</v>
      </c>
      <c r="E16" s="215">
        <f>+G16*E6</f>
        <v>178384.99765052824</v>
      </c>
      <c r="F16" s="215">
        <f>+G16*F6</f>
        <v>1120694.9680000001</v>
      </c>
      <c r="G16" s="324">
        <v>1655384</v>
      </c>
      <c r="H16" s="325">
        <v>6.6000000000000003E-2</v>
      </c>
      <c r="I16" s="216">
        <v>0.114</v>
      </c>
      <c r="J16" s="179"/>
      <c r="K16" s="179"/>
      <c r="L16" s="179"/>
      <c r="M16" s="179"/>
      <c r="N16" s="179"/>
      <c r="O16" s="179"/>
      <c r="P16" s="179"/>
      <c r="Q16" s="179"/>
      <c r="R16" s="179"/>
      <c r="S16" s="179"/>
    </row>
    <row r="17" spans="1:20" ht="15" thickBot="1" x14ac:dyDescent="0.3">
      <c r="B17" s="217"/>
      <c r="C17" s="178"/>
      <c r="D17" s="178"/>
      <c r="E17" s="178"/>
      <c r="F17" s="178"/>
      <c r="G17" s="218"/>
      <c r="H17" s="219"/>
      <c r="I17" s="219"/>
      <c r="J17" s="178"/>
      <c r="K17" s="179"/>
      <c r="L17" s="179"/>
      <c r="M17" s="179"/>
      <c r="N17" s="179"/>
      <c r="O17" s="179"/>
      <c r="P17" s="179"/>
      <c r="Q17" s="179"/>
      <c r="R17" s="179"/>
      <c r="S17" s="179"/>
    </row>
    <row r="18" spans="1:20" ht="61.5" customHeight="1" thickBot="1" x14ac:dyDescent="0.3">
      <c r="B18" s="220" t="s">
        <v>357</v>
      </c>
      <c r="C18" s="182" t="s">
        <v>226</v>
      </c>
      <c r="D18" s="182" t="s">
        <v>227</v>
      </c>
      <c r="E18" s="182" t="s">
        <v>228</v>
      </c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1:20" ht="17.100000000000001" customHeight="1" x14ac:dyDescent="0.25">
      <c r="B19" s="209" t="str">
        <f>+B8</f>
        <v>Comercio por mayor y por menor vehículos ( Incl. Reparación)</v>
      </c>
      <c r="C19" s="221">
        <f>+C14*90%*$I$14</f>
        <v>54622.299624874926</v>
      </c>
      <c r="D19" s="221">
        <f t="shared" ref="D19" si="2">+D14*90%*$I$14</f>
        <v>52411.463489184775</v>
      </c>
      <c r="E19" s="222">
        <f>+E14*90%*$I$14</f>
        <v>53586.868531552551</v>
      </c>
      <c r="F19" s="22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1:20" x14ac:dyDescent="0.25">
      <c r="B20" s="196" t="str">
        <f>+B15</f>
        <v>Industrias Manufactureras</v>
      </c>
      <c r="C20" s="224">
        <f>+C15*90%*$I$15</f>
        <v>23512.20641526124</v>
      </c>
      <c r="D20" s="224">
        <f>+D15*90%*$I$15</f>
        <v>22560.550481152721</v>
      </c>
      <c r="E20" s="225">
        <f>+E15*90%*$I$15</f>
        <v>23066.5043894921</v>
      </c>
      <c r="F20" s="223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1:20" ht="15" thickBot="1" x14ac:dyDescent="0.3">
      <c r="B21" s="226" t="str">
        <f>+B16</f>
        <v>Alojamiento y Servicios de Comida</v>
      </c>
      <c r="C21" s="227">
        <f>+C16*90%*$I$16</f>
        <v>18655.946564427129</v>
      </c>
      <c r="D21" s="227">
        <f>+D16*90%*$I$16</f>
        <v>17900.847619611606</v>
      </c>
      <c r="E21" s="228">
        <f>+E16*90%*$I$16</f>
        <v>18302.300758944199</v>
      </c>
      <c r="F21" s="22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1:20" ht="15.75" thickBot="1" x14ac:dyDescent="0.3">
      <c r="B22" s="229"/>
      <c r="C22" s="179"/>
      <c r="D22" s="179" t="s">
        <v>151</v>
      </c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1:20" ht="54.75" customHeight="1" thickBot="1" x14ac:dyDescent="0.3">
      <c r="B23" s="220" t="s">
        <v>478</v>
      </c>
      <c r="C23" s="182" t="s">
        <v>226</v>
      </c>
      <c r="D23" s="182" t="s">
        <v>227</v>
      </c>
      <c r="E23" s="182" t="s">
        <v>228</v>
      </c>
      <c r="F23" s="182" t="s">
        <v>153</v>
      </c>
      <c r="G23" s="230" t="s">
        <v>154</v>
      </c>
      <c r="H23" s="231">
        <v>0.03</v>
      </c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1:20" x14ac:dyDescent="0.25">
      <c r="B24" s="232" t="str">
        <f>+B19</f>
        <v>Comercio por mayor y por menor vehículos ( Incl. Reparación)</v>
      </c>
      <c r="C24" s="233">
        <f>+C8*H23</f>
        <v>34.379999999999995</v>
      </c>
      <c r="D24" s="233">
        <f>+D8*H23</f>
        <v>134.28</v>
      </c>
      <c r="E24" s="233">
        <f>+E8*H23</f>
        <v>564.72</v>
      </c>
      <c r="F24" s="210">
        <f>SUM(C24:E24)</f>
        <v>733.38</v>
      </c>
      <c r="G24" s="179"/>
      <c r="H24" s="179"/>
      <c r="I24" s="179"/>
      <c r="J24" s="179"/>
      <c r="K24" s="179"/>
      <c r="L24" s="179"/>
      <c r="M24" s="179"/>
      <c r="N24" s="179"/>
      <c r="O24" s="179"/>
      <c r="P24" s="179"/>
    </row>
    <row r="25" spans="1:20" x14ac:dyDescent="0.25">
      <c r="B25" s="234" t="str">
        <f>+B20</f>
        <v>Industrias Manufactureras</v>
      </c>
      <c r="C25" s="233">
        <f>+C9*H23</f>
        <v>32.159999999999997</v>
      </c>
      <c r="D25" s="233">
        <f>+D9*H23</f>
        <v>74.97</v>
      </c>
      <c r="E25" s="233">
        <f>+E9*H23</f>
        <v>297.77999999999997</v>
      </c>
      <c r="F25" s="213">
        <f>SUM(C25:E25)</f>
        <v>404.90999999999997</v>
      </c>
      <c r="G25" s="179"/>
      <c r="H25" s="179"/>
      <c r="I25" s="179"/>
      <c r="J25" s="179"/>
      <c r="K25" s="179"/>
      <c r="L25" s="179"/>
      <c r="M25" s="179"/>
      <c r="N25" s="179"/>
      <c r="O25" s="179"/>
      <c r="P25" s="179"/>
    </row>
    <row r="26" spans="1:20" ht="15" thickBot="1" x14ac:dyDescent="0.3">
      <c r="B26" s="234" t="str">
        <f>+B21</f>
        <v>Alojamiento y Servicios de Comida</v>
      </c>
      <c r="C26" s="233">
        <f>+C10*H23</f>
        <v>3.15</v>
      </c>
      <c r="D26" s="233">
        <f>+D10*H23</f>
        <v>10.23</v>
      </c>
      <c r="E26" s="233">
        <f>+E10*H23</f>
        <v>54.87</v>
      </c>
      <c r="F26" s="213">
        <f>SUM(C26:E26)</f>
        <v>68.25</v>
      </c>
      <c r="G26" s="179"/>
      <c r="H26" s="179"/>
      <c r="I26" s="179"/>
      <c r="J26" s="179"/>
      <c r="K26" s="179"/>
      <c r="L26" s="179"/>
      <c r="M26" s="179"/>
      <c r="N26" s="179"/>
      <c r="O26" s="179"/>
      <c r="P26" s="179"/>
    </row>
    <row r="27" spans="1:20" ht="15" thickBot="1" x14ac:dyDescent="0.3">
      <c r="B27" s="178"/>
      <c r="C27" s="178"/>
      <c r="D27" s="178"/>
      <c r="E27" s="235" t="s">
        <v>238</v>
      </c>
      <c r="F27" s="236">
        <f>SUM(F24:F26)</f>
        <v>1206.54</v>
      </c>
      <c r="G27" s="179"/>
      <c r="H27" s="179"/>
      <c r="I27" s="179"/>
      <c r="J27" s="179"/>
      <c r="K27" s="179"/>
      <c r="L27" s="179"/>
      <c r="M27" s="179"/>
      <c r="N27" s="179"/>
      <c r="O27" s="179"/>
      <c r="P27" s="179"/>
    </row>
    <row r="28" spans="1:20" ht="15" thickBot="1" x14ac:dyDescent="0.3">
      <c r="B28" s="178"/>
      <c r="C28" s="178"/>
      <c r="D28" s="178"/>
      <c r="E28" s="237" t="s">
        <v>237</v>
      </c>
      <c r="F28" s="238">
        <f>SUM(F24:F26)-SUM(E24:E26)</f>
        <v>289.16999999999996</v>
      </c>
      <c r="G28" s="179"/>
      <c r="H28" s="179"/>
      <c r="I28" s="179"/>
      <c r="J28" s="179"/>
      <c r="K28" s="179"/>
      <c r="L28" s="179"/>
      <c r="M28" s="179"/>
      <c r="N28" s="179"/>
      <c r="O28" s="179"/>
      <c r="P28" s="179"/>
    </row>
    <row r="29" spans="1:20" x14ac:dyDescent="0.25">
      <c r="B29" s="178"/>
      <c r="C29" s="178"/>
      <c r="D29" s="178"/>
      <c r="E29" s="239" t="s">
        <v>151</v>
      </c>
      <c r="F29" s="179" t="s">
        <v>151</v>
      </c>
      <c r="G29" s="179"/>
      <c r="H29" s="179"/>
      <c r="I29" s="179"/>
      <c r="J29" s="179"/>
      <c r="K29" s="179"/>
      <c r="L29" s="179"/>
      <c r="M29" s="179"/>
      <c r="N29" s="179"/>
      <c r="O29" s="179"/>
      <c r="P29" s="179"/>
    </row>
    <row r="30" spans="1:20" x14ac:dyDescent="0.25">
      <c r="B30" s="178"/>
      <c r="C30" s="178"/>
      <c r="D30" s="178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</row>
    <row r="31" spans="1:20" s="242" customFormat="1" ht="12" customHeight="1" x14ac:dyDescent="0.25">
      <c r="A31" s="240"/>
      <c r="B31" s="400" t="s">
        <v>241</v>
      </c>
      <c r="C31" s="400"/>
      <c r="D31" s="400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</row>
    <row r="32" spans="1:20" s="242" customFormat="1" ht="12" customHeight="1" x14ac:dyDescent="0.25">
      <c r="A32" s="240"/>
      <c r="B32" s="326" t="s">
        <v>240</v>
      </c>
      <c r="C32" s="326"/>
      <c r="D32" s="326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</row>
    <row r="33" spans="1:16" s="242" customFormat="1" ht="12" customHeight="1" x14ac:dyDescent="0.25">
      <c r="A33" s="240"/>
      <c r="B33" s="400" t="s">
        <v>242</v>
      </c>
      <c r="C33" s="400"/>
      <c r="D33" s="400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</row>
    <row r="34" spans="1:16" s="242" customFormat="1" ht="17.25" customHeight="1" x14ac:dyDescent="0.25">
      <c r="A34" s="240"/>
      <c r="B34" s="240"/>
      <c r="C34" s="240"/>
      <c r="D34" s="240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</row>
    <row r="35" spans="1:16" x14ac:dyDescent="0.25">
      <c r="B35" s="178"/>
      <c r="C35" s="178"/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</row>
    <row r="36" spans="1:16" x14ac:dyDescent="0.25">
      <c r="B36" s="178"/>
      <c r="C36" s="178"/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</row>
    <row r="37" spans="1:16" x14ac:dyDescent="0.25">
      <c r="B37" s="178"/>
      <c r="C37" s="178"/>
      <c r="D37" s="178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</row>
    <row r="38" spans="1:16" x14ac:dyDescent="0.25">
      <c r="B38" s="178"/>
      <c r="C38" s="178"/>
      <c r="D38" s="178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</row>
    <row r="39" spans="1:16" x14ac:dyDescent="0.25">
      <c r="B39" s="178"/>
      <c r="C39" s="178"/>
      <c r="D39" s="178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</row>
    <row r="40" spans="1:16" x14ac:dyDescent="0.25">
      <c r="B40" s="178"/>
      <c r="C40" s="178"/>
      <c r="D40" s="178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</row>
    <row r="41" spans="1:16" x14ac:dyDescent="0.25">
      <c r="B41" s="178"/>
      <c r="C41" s="178"/>
      <c r="D41" s="178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</row>
    <row r="42" spans="1:16" x14ac:dyDescent="0.25">
      <c r="B42" s="178"/>
      <c r="C42" s="178"/>
      <c r="D42" s="178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</row>
    <row r="43" spans="1:16" x14ac:dyDescent="0.25">
      <c r="B43" s="178"/>
      <c r="C43" s="178"/>
      <c r="D43" s="178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</row>
    <row r="44" spans="1:16" x14ac:dyDescent="0.25">
      <c r="B44" s="178"/>
      <c r="C44" s="178"/>
      <c r="D44" s="178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</row>
    <row r="45" spans="1:16" x14ac:dyDescent="0.25">
      <c r="B45" s="178"/>
      <c r="C45" s="178"/>
      <c r="D45" s="178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</row>
    <row r="46" spans="1:16" x14ac:dyDescent="0.25">
      <c r="B46" s="178"/>
      <c r="C46" s="178"/>
      <c r="D46" s="178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</row>
    <row r="47" spans="1:16" x14ac:dyDescent="0.25"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</row>
    <row r="48" spans="1:16" x14ac:dyDescent="0.25"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</row>
    <row r="49" spans="2:16" x14ac:dyDescent="0.25"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</row>
    <row r="50" spans="2:16" x14ac:dyDescent="0.25"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</row>
    <row r="51" spans="2:16" x14ac:dyDescent="0.25"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</row>
    <row r="52" spans="2:16" x14ac:dyDescent="0.25"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</row>
    <row r="53" spans="2:16" x14ac:dyDescent="0.25"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</row>
    <row r="54" spans="2:16" x14ac:dyDescent="0.25"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</row>
    <row r="55" spans="2:16" x14ac:dyDescent="0.25"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</row>
    <row r="56" spans="2:16" x14ac:dyDescent="0.25"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</row>
    <row r="57" spans="2:16" x14ac:dyDescent="0.25"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</row>
    <row r="58" spans="2:16" x14ac:dyDescent="0.25"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</row>
    <row r="59" spans="2:16" x14ac:dyDescent="0.25"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</row>
    <row r="60" spans="2:16" x14ac:dyDescent="0.25"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</row>
    <row r="61" spans="2:16" x14ac:dyDescent="0.25"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</row>
    <row r="62" spans="2:16" x14ac:dyDescent="0.25"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</row>
    <row r="63" spans="2:16" x14ac:dyDescent="0.25"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</row>
    <row r="64" spans="2:16" x14ac:dyDescent="0.25"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</row>
    <row r="65" spans="2:16" x14ac:dyDescent="0.25">
      <c r="B65" s="179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</row>
    <row r="66" spans="2:16" x14ac:dyDescent="0.25"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</row>
    <row r="67" spans="2:16" x14ac:dyDescent="0.25">
      <c r="B67" s="179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</row>
    <row r="68" spans="2:16" x14ac:dyDescent="0.25"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</row>
    <row r="69" spans="2:16" x14ac:dyDescent="0.25"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</row>
    <row r="70" spans="2:16" x14ac:dyDescent="0.25"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</row>
    <row r="71" spans="2:16" x14ac:dyDescent="0.25">
      <c r="B71" s="179"/>
      <c r="C71" s="179"/>
      <c r="D71" s="179"/>
      <c r="E71" s="179"/>
      <c r="F71" s="179"/>
      <c r="G71" s="179"/>
      <c r="H71" s="179"/>
    </row>
    <row r="72" spans="2:16" x14ac:dyDescent="0.25">
      <c r="E72" s="179"/>
      <c r="F72" s="179"/>
      <c r="G72" s="179"/>
      <c r="H72" s="179"/>
    </row>
    <row r="73" spans="2:16" x14ac:dyDescent="0.25">
      <c r="E73" s="179"/>
      <c r="F73" s="179"/>
      <c r="G73" s="179"/>
      <c r="H73" s="179"/>
    </row>
    <row r="74" spans="2:16" x14ac:dyDescent="0.25">
      <c r="E74" s="179"/>
      <c r="F74" s="179"/>
      <c r="G74" s="179"/>
      <c r="H74" s="179"/>
    </row>
    <row r="75" spans="2:16" x14ac:dyDescent="0.25">
      <c r="E75" s="179"/>
      <c r="F75" s="179"/>
      <c r="G75" s="179"/>
      <c r="H75" s="179"/>
    </row>
    <row r="76" spans="2:16" x14ac:dyDescent="0.25">
      <c r="E76" s="179"/>
      <c r="F76" s="179"/>
      <c r="G76" s="179"/>
      <c r="H76" s="179"/>
    </row>
    <row r="77" spans="2:16" x14ac:dyDescent="0.25">
      <c r="E77" s="179"/>
      <c r="F77" s="179"/>
      <c r="G77" s="179"/>
      <c r="H77" s="179"/>
    </row>
    <row r="78" spans="2:16" x14ac:dyDescent="0.25">
      <c r="E78" s="179"/>
      <c r="F78" s="179"/>
      <c r="G78" s="179"/>
      <c r="H78" s="179"/>
    </row>
    <row r="79" spans="2:16" x14ac:dyDescent="0.25">
      <c r="E79" s="179"/>
      <c r="F79" s="179"/>
      <c r="G79" s="179"/>
      <c r="H79" s="179"/>
    </row>
    <row r="80" spans="2:16" x14ac:dyDescent="0.25">
      <c r="E80" s="179"/>
      <c r="F80" s="179"/>
      <c r="G80" s="179"/>
      <c r="H80" s="179"/>
    </row>
    <row r="81" spans="5:8" x14ac:dyDescent="0.25">
      <c r="E81" s="179"/>
      <c r="F81" s="179"/>
      <c r="G81" s="179"/>
      <c r="H81" s="179"/>
    </row>
    <row r="82" spans="5:8" x14ac:dyDescent="0.25">
      <c r="E82" s="179"/>
      <c r="F82" s="179"/>
      <c r="G82" s="179"/>
      <c r="H82" s="179"/>
    </row>
    <row r="83" spans="5:8" x14ac:dyDescent="0.25">
      <c r="E83" s="179"/>
      <c r="F83" s="179"/>
      <c r="G83" s="179"/>
      <c r="H83" s="179"/>
    </row>
    <row r="84" spans="5:8" x14ac:dyDescent="0.25">
      <c r="E84" s="179"/>
      <c r="F84" s="179"/>
      <c r="G84" s="179"/>
      <c r="H84" s="179"/>
    </row>
    <row r="85" spans="5:8" x14ac:dyDescent="0.25">
      <c r="E85" s="179"/>
      <c r="F85" s="179"/>
      <c r="G85" s="179"/>
      <c r="H85" s="179"/>
    </row>
    <row r="86" spans="5:8" x14ac:dyDescent="0.25">
      <c r="E86" s="179"/>
      <c r="F86" s="179"/>
      <c r="G86" s="179"/>
      <c r="H86" s="179"/>
    </row>
    <row r="87" spans="5:8" x14ac:dyDescent="0.25">
      <c r="E87" s="179"/>
      <c r="F87" s="179"/>
      <c r="G87" s="179"/>
      <c r="H87" s="179"/>
    </row>
    <row r="88" spans="5:8" x14ac:dyDescent="0.25">
      <c r="E88" s="179"/>
      <c r="F88" s="179"/>
      <c r="G88" s="179"/>
      <c r="H88" s="179"/>
    </row>
    <row r="89" spans="5:8" x14ac:dyDescent="0.25">
      <c r="E89" s="179"/>
      <c r="F89" s="179"/>
      <c r="G89" s="179"/>
      <c r="H89" s="179"/>
    </row>
    <row r="90" spans="5:8" x14ac:dyDescent="0.25">
      <c r="E90" s="179"/>
      <c r="F90" s="179"/>
      <c r="G90" s="179"/>
      <c r="H90" s="179"/>
    </row>
    <row r="91" spans="5:8" x14ac:dyDescent="0.25">
      <c r="E91" s="179"/>
      <c r="F91" s="179"/>
      <c r="G91" s="179"/>
      <c r="H91" s="179"/>
    </row>
    <row r="92" spans="5:8" x14ac:dyDescent="0.25">
      <c r="E92" s="179"/>
      <c r="F92" s="179"/>
      <c r="G92" s="179"/>
      <c r="H92" s="179"/>
    </row>
    <row r="93" spans="5:8" x14ac:dyDescent="0.25">
      <c r="E93" s="179"/>
      <c r="F93" s="179"/>
      <c r="G93" s="179"/>
      <c r="H93" s="179"/>
    </row>
  </sheetData>
  <mergeCells count="3">
    <mergeCell ref="B2:G2"/>
    <mergeCell ref="B31:D31"/>
    <mergeCell ref="B33:D3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showGridLines="0" zoomScale="80" zoomScaleNormal="80" workbookViewId="0">
      <selection activeCell="D14" sqref="D14"/>
    </sheetView>
  </sheetViews>
  <sheetFormatPr baseColWidth="10" defaultColWidth="11.42578125" defaultRowHeight="14.25" x14ac:dyDescent="0.2"/>
  <cols>
    <col min="1" max="1" width="64.42578125" style="2" bestFit="1" customWidth="1"/>
    <col min="2" max="2" width="15" style="2" bestFit="1" customWidth="1"/>
    <col min="3" max="3" width="12.140625" style="2" bestFit="1" customWidth="1"/>
    <col min="4" max="4" width="55.42578125" style="7" bestFit="1" customWidth="1"/>
    <col min="5" max="16384" width="11.42578125" style="2"/>
  </cols>
  <sheetData>
    <row r="1" spans="1:4" ht="15" x14ac:dyDescent="0.2">
      <c r="A1" s="354" t="s">
        <v>282</v>
      </c>
      <c r="B1" s="354" t="s">
        <v>283</v>
      </c>
      <c r="C1" s="354" t="s">
        <v>284</v>
      </c>
      <c r="D1" s="177" t="s">
        <v>285</v>
      </c>
    </row>
    <row r="2" spans="1:4" ht="27" hidden="1" customHeight="1" x14ac:dyDescent="0.25">
      <c r="A2" s="258" t="s">
        <v>44</v>
      </c>
      <c r="B2" s="441">
        <f>13%/4</f>
        <v>3.2500000000000001E-2</v>
      </c>
      <c r="C2" s="110" t="s">
        <v>45</v>
      </c>
    </row>
    <row r="3" spans="1:4" ht="27" hidden="1" customHeight="1" x14ac:dyDescent="0.25">
      <c r="A3" s="258" t="s">
        <v>48</v>
      </c>
      <c r="B3" s="441">
        <f>+NOMINAL(20%,4)/4</f>
        <v>4.6635139392105618E-2</v>
      </c>
      <c r="C3" s="110" t="s">
        <v>45</v>
      </c>
    </row>
    <row r="4" spans="1:4" ht="27" hidden="1" customHeight="1" x14ac:dyDescent="0.25">
      <c r="A4" s="258" t="s">
        <v>46</v>
      </c>
      <c r="B4" s="442">
        <v>20</v>
      </c>
      <c r="C4" s="110" t="s">
        <v>47</v>
      </c>
    </row>
    <row r="5" spans="1:4" ht="27" hidden="1" customHeight="1" x14ac:dyDescent="0.25">
      <c r="A5" s="258" t="s">
        <v>49</v>
      </c>
      <c r="B5" s="443"/>
      <c r="C5" s="444"/>
    </row>
    <row r="6" spans="1:4" ht="27" hidden="1" customHeight="1" x14ac:dyDescent="0.25">
      <c r="A6" s="258" t="s">
        <v>50</v>
      </c>
      <c r="B6" s="445"/>
      <c r="C6" s="110"/>
    </row>
    <row r="7" spans="1:4" ht="27" hidden="1" customHeight="1" x14ac:dyDescent="0.2">
      <c r="A7" s="110" t="s">
        <v>51</v>
      </c>
      <c r="B7" s="446"/>
      <c r="C7" s="110"/>
    </row>
    <row r="8" spans="1:4" ht="25.5" customHeight="1" x14ac:dyDescent="0.25">
      <c r="A8" s="258" t="s">
        <v>185</v>
      </c>
      <c r="B8" s="447">
        <v>0.02</v>
      </c>
      <c r="C8" s="110" t="s">
        <v>278</v>
      </c>
      <c r="D8" s="7" t="s">
        <v>361</v>
      </c>
    </row>
    <row r="9" spans="1:4" ht="25.5" customHeight="1" x14ac:dyDescent="0.25">
      <c r="A9" s="258" t="s">
        <v>186</v>
      </c>
      <c r="B9" s="447">
        <v>0.01</v>
      </c>
      <c r="C9" s="110" t="s">
        <v>278</v>
      </c>
    </row>
    <row r="10" spans="1:4" ht="25.5" customHeight="1" x14ac:dyDescent="0.25">
      <c r="A10" s="258" t="s">
        <v>187</v>
      </c>
      <c r="B10" s="447">
        <v>0.13</v>
      </c>
      <c r="C10" s="110"/>
    </row>
    <row r="11" spans="1:4" ht="25.5" customHeight="1" x14ac:dyDescent="0.2">
      <c r="A11" s="448" t="s">
        <v>188</v>
      </c>
      <c r="B11" s="449">
        <v>0</v>
      </c>
      <c r="C11" s="110" t="s">
        <v>279</v>
      </c>
    </row>
    <row r="12" spans="1:4" ht="25.5" customHeight="1" x14ac:dyDescent="0.2">
      <c r="A12" s="110" t="s">
        <v>189</v>
      </c>
      <c r="B12" s="447">
        <v>0.05</v>
      </c>
      <c r="C12" s="110"/>
      <c r="D12" s="7" t="s">
        <v>410</v>
      </c>
    </row>
    <row r="13" spans="1:4" ht="25.5" customHeight="1" x14ac:dyDescent="0.25">
      <c r="A13" s="258" t="s">
        <v>190</v>
      </c>
      <c r="B13" s="447">
        <v>0.04</v>
      </c>
      <c r="C13" s="110" t="s">
        <v>278</v>
      </c>
    </row>
    <row r="14" spans="1:4" ht="25.5" customHeight="1" x14ac:dyDescent="0.2">
      <c r="A14" s="110" t="s">
        <v>413</v>
      </c>
      <c r="B14" s="449">
        <v>0</v>
      </c>
      <c r="C14" s="110" t="s">
        <v>279</v>
      </c>
      <c r="D14" s="7" t="s">
        <v>359</v>
      </c>
    </row>
    <row r="15" spans="1:4" ht="25.5" customHeight="1" x14ac:dyDescent="0.2">
      <c r="A15" s="110" t="s">
        <v>412</v>
      </c>
      <c r="B15" s="449">
        <v>30</v>
      </c>
      <c r="C15" s="110" t="s">
        <v>279</v>
      </c>
    </row>
    <row r="16" spans="1:4" ht="25.5" customHeight="1" x14ac:dyDescent="0.2">
      <c r="A16" s="110" t="s">
        <v>191</v>
      </c>
      <c r="B16" s="447">
        <v>0.04</v>
      </c>
      <c r="C16" s="110" t="s">
        <v>278</v>
      </c>
    </row>
    <row r="17" spans="1:4" ht="25.5" customHeight="1" x14ac:dyDescent="0.2">
      <c r="A17" s="110" t="s">
        <v>192</v>
      </c>
      <c r="B17" s="447">
        <v>0.35</v>
      </c>
      <c r="C17" s="110" t="s">
        <v>280</v>
      </c>
      <c r="D17" s="7" t="s">
        <v>281</v>
      </c>
    </row>
    <row r="18" spans="1:4" ht="25.5" customHeight="1" x14ac:dyDescent="0.2">
      <c r="A18" s="110" t="s">
        <v>193</v>
      </c>
      <c r="B18" s="447">
        <v>0.75</v>
      </c>
      <c r="C18" s="110"/>
    </row>
    <row r="19" spans="1:4" ht="25.5" hidden="1" customHeight="1" x14ac:dyDescent="0.2">
      <c r="A19" s="110" t="s">
        <v>411</v>
      </c>
      <c r="B19" s="450">
        <v>0.21</v>
      </c>
      <c r="C19" s="110"/>
    </row>
    <row r="20" spans="1:4" ht="25.5" customHeight="1" x14ac:dyDescent="0.2">
      <c r="A20" s="110" t="s">
        <v>360</v>
      </c>
      <c r="B20" s="261">
        <f>5000*B24</f>
        <v>17500000</v>
      </c>
      <c r="C20" s="110"/>
    </row>
    <row r="21" spans="1:4" ht="25.5" customHeight="1" x14ac:dyDescent="0.2">
      <c r="A21" s="110" t="s">
        <v>21</v>
      </c>
      <c r="B21" s="447">
        <v>0.1</v>
      </c>
      <c r="C21" s="110"/>
    </row>
    <row r="22" spans="1:4" ht="25.5" customHeight="1" x14ac:dyDescent="0.2">
      <c r="A22" s="110" t="s">
        <v>27</v>
      </c>
      <c r="B22" s="451">
        <v>0.125</v>
      </c>
      <c r="C22" s="110"/>
    </row>
    <row r="23" spans="1:4" ht="25.5" customHeight="1" x14ac:dyDescent="0.2">
      <c r="A23" s="110" t="s">
        <v>194</v>
      </c>
      <c r="B23" s="447">
        <v>0.06</v>
      </c>
      <c r="C23" s="110"/>
    </row>
    <row r="24" spans="1:4" ht="25.5" customHeight="1" x14ac:dyDescent="0.2">
      <c r="A24" s="110" t="s">
        <v>216</v>
      </c>
      <c r="B24" s="261">
        <v>3500</v>
      </c>
      <c r="C24" s="110"/>
    </row>
    <row r="25" spans="1:4" ht="25.5" customHeight="1" x14ac:dyDescent="0.2">
      <c r="A25" s="110" t="s">
        <v>310</v>
      </c>
      <c r="B25" s="261">
        <v>500000000</v>
      </c>
      <c r="C25" s="110"/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5246-32E1-4F0B-BE82-7AD528C8CAD5}">
  <dimension ref="A5:K60"/>
  <sheetViews>
    <sheetView showGridLines="0" topLeftCell="A29" zoomScale="98" zoomScaleNormal="98" workbookViewId="0">
      <selection activeCell="A45" sqref="A45"/>
    </sheetView>
  </sheetViews>
  <sheetFormatPr baseColWidth="10" defaultColWidth="11.42578125" defaultRowHeight="14.25" x14ac:dyDescent="0.2"/>
  <cols>
    <col min="1" max="1" width="12.85546875" style="2" customWidth="1"/>
    <col min="2" max="2" width="51.85546875" style="2" customWidth="1"/>
    <col min="3" max="3" width="18.42578125" style="2" bestFit="1" customWidth="1"/>
    <col min="4" max="4" width="18" style="2" bestFit="1" customWidth="1"/>
    <col min="5" max="5" width="17.140625" style="2" bestFit="1" customWidth="1"/>
    <col min="6" max="6" width="15.42578125" style="2" bestFit="1" customWidth="1"/>
    <col min="7" max="7" width="11.42578125" style="71"/>
    <col min="8" max="8" width="55" style="2" bestFit="1" customWidth="1"/>
    <col min="9" max="16384" width="11.42578125" style="2"/>
  </cols>
  <sheetData>
    <row r="5" spans="1:7" ht="15" x14ac:dyDescent="0.25">
      <c r="A5" s="45" t="s">
        <v>217</v>
      </c>
      <c r="C5" s="46"/>
      <c r="D5" s="46"/>
      <c r="E5" s="46"/>
    </row>
    <row r="6" spans="1:7" ht="15" x14ac:dyDescent="0.25">
      <c r="A6" s="2" t="s">
        <v>460</v>
      </c>
      <c r="B6" s="24"/>
      <c r="C6" s="410" t="s">
        <v>218</v>
      </c>
      <c r="D6" s="410"/>
      <c r="E6" s="410"/>
    </row>
    <row r="7" spans="1:7" ht="14.25" customHeight="1" x14ac:dyDescent="0.25">
      <c r="B7" s="329">
        <f>+'1.3 Base Part.Mercado Fee'!H23</f>
        <v>0.03</v>
      </c>
      <c r="C7" s="406" t="s">
        <v>245</v>
      </c>
      <c r="D7" s="407" t="s">
        <v>246</v>
      </c>
      <c r="E7" s="408" t="s">
        <v>247</v>
      </c>
    </row>
    <row r="8" spans="1:7" x14ac:dyDescent="0.2">
      <c r="C8" s="406"/>
      <c r="D8" s="407"/>
      <c r="E8" s="408"/>
    </row>
    <row r="9" spans="1:7" ht="15" x14ac:dyDescent="0.2">
      <c r="A9" s="401" t="str">
        <f>+'1.3 Base Part.Mercado Fee'!B24</f>
        <v>Comercio por mayor y por menor vehículos ( Incl. Reparación)</v>
      </c>
      <c r="B9" s="402"/>
      <c r="C9" s="40">
        <f>+'1.3 Base Part.Mercado Fee'!E8/'1.3 Base Part.Mercado Fee'!G8</f>
        <v>1.1316981905694624E-2</v>
      </c>
      <c r="D9" s="39">
        <f>+'1.3 Base Part.Mercado Fee'!D8/'1.3 Base Part.Mercado Fee'!G8</f>
        <v>2.6909695606613438E-3</v>
      </c>
      <c r="E9" s="38">
        <f>+'1.3 Base Part.Mercado Fee'!C8/'1.3 Base Part.Mercado Fee'!G8</f>
        <v>6.8897478027656381E-4</v>
      </c>
    </row>
    <row r="10" spans="1:7" ht="15" x14ac:dyDescent="0.2">
      <c r="A10" s="401" t="str">
        <f>+'1.3 Base Part.Mercado Fee'!B25</f>
        <v>Industrias Manufactureras</v>
      </c>
      <c r="B10" s="402"/>
      <c r="C10" s="40">
        <f>+'1.3 Base Part.Mercado Fee'!E9/'1.3 Base Part.Mercado Fee'!G9</f>
        <v>1.4284028539276041E-2</v>
      </c>
      <c r="D10" s="39">
        <f>+'1.3 Base Part.Mercado Fee'!D9/'1.3 Base Part.Mercado Fee'!G9</f>
        <v>3.596190541975703E-3</v>
      </c>
      <c r="E10" s="38">
        <f>+'1.3 Base Part.Mercado Fee'!C9/'1.3 Base Part.Mercado Fee'!G9</f>
        <v>1.5426635698271123E-3</v>
      </c>
    </row>
    <row r="11" spans="1:7" ht="15" x14ac:dyDescent="0.2">
      <c r="A11" s="401" t="str">
        <f>+'1.3 Base Part.Mercado Fee'!B26</f>
        <v>Alojamiento y Servicios de Comida</v>
      </c>
      <c r="B11" s="402"/>
      <c r="C11" s="40">
        <f>+'1.3 Base Part.Mercado Fee'!E10/'1.3 Base Part.Mercado Fee'!G10</f>
        <v>3.646477132262052E-3</v>
      </c>
      <c r="D11" s="39">
        <f>+'1.3 Base Part.Mercado Fee'!D10/'1.3 Base Part.Mercado Fee'!G10</f>
        <v>6.7985166872682324E-4</v>
      </c>
      <c r="E11" s="38">
        <f>+'1.3 Base Part.Mercado Fee'!C10/'1.3 Base Part.Mercado Fee'!G10</f>
        <v>2.0933849037042945E-4</v>
      </c>
    </row>
    <row r="13" spans="1:7" ht="15" x14ac:dyDescent="0.25">
      <c r="C13" s="410" t="s">
        <v>219</v>
      </c>
      <c r="D13" s="410"/>
      <c r="E13" s="410"/>
    </row>
    <row r="14" spans="1:7" ht="14.1" customHeight="1" x14ac:dyDescent="0.2">
      <c r="C14" s="406" t="s">
        <v>245</v>
      </c>
      <c r="D14" s="407" t="s">
        <v>246</v>
      </c>
      <c r="E14" s="408" t="s">
        <v>247</v>
      </c>
    </row>
    <row r="15" spans="1:7" x14ac:dyDescent="0.2">
      <c r="C15" s="406"/>
      <c r="D15" s="407"/>
      <c r="E15" s="408"/>
    </row>
    <row r="16" spans="1:7" ht="14.25" customHeight="1" x14ac:dyDescent="0.2">
      <c r="A16" s="401" t="str">
        <f>+A9</f>
        <v>Comercio por mayor y por menor vehículos ( Incl. Reparación)</v>
      </c>
      <c r="B16" s="402"/>
      <c r="C16" s="42">
        <f>+'1.3 Base Part.Mercado Fee'!E24</f>
        <v>564.72</v>
      </c>
      <c r="D16" s="43">
        <f>+'1.3 Base Part.Mercado Fee'!D24</f>
        <v>134.28</v>
      </c>
      <c r="E16" s="44">
        <f>+'1.3 Base Part.Mercado Fee'!C24</f>
        <v>34.379999999999995</v>
      </c>
      <c r="G16" s="72"/>
    </row>
    <row r="17" spans="1:7" ht="14.25" customHeight="1" x14ac:dyDescent="0.2">
      <c r="A17" s="401" t="str">
        <f>+A10</f>
        <v>Industrias Manufactureras</v>
      </c>
      <c r="B17" s="402"/>
      <c r="C17" s="42">
        <f>+'1.3 Base Part.Mercado Fee'!E25</f>
        <v>297.77999999999997</v>
      </c>
      <c r="D17" s="43">
        <f>+'1.3 Base Part.Mercado Fee'!D25</f>
        <v>74.97</v>
      </c>
      <c r="E17" s="44">
        <f>+'1.3 Base Part.Mercado Fee'!C25</f>
        <v>32.159999999999997</v>
      </c>
    </row>
    <row r="18" spans="1:7" ht="15" customHeight="1" x14ac:dyDescent="0.2">
      <c r="A18" s="401" t="str">
        <f>+A11</f>
        <v>Alojamiento y Servicios de Comida</v>
      </c>
      <c r="B18" s="402"/>
      <c r="C18" s="42">
        <f>+'1.3 Base Part.Mercado Fee'!E26</f>
        <v>54.87</v>
      </c>
      <c r="D18" s="43">
        <f>+'1.3 Base Part.Mercado Fee'!D26</f>
        <v>10.23</v>
      </c>
      <c r="E18" s="44">
        <f>+'1.3 Base Part.Mercado Fee'!C26</f>
        <v>3.15</v>
      </c>
    </row>
    <row r="19" spans="1:7" ht="15" customHeight="1" x14ac:dyDescent="0.2">
      <c r="A19" s="37" t="s">
        <v>248</v>
      </c>
      <c r="B19" s="37"/>
      <c r="C19" s="42">
        <f>+SUM(C16:C18)</f>
        <v>917.37</v>
      </c>
      <c r="D19" s="43">
        <f>+SUM(D16:D18)</f>
        <v>219.48</v>
      </c>
      <c r="E19" s="44">
        <f>+SUM(E16:E18)</f>
        <v>69.69</v>
      </c>
    </row>
    <row r="20" spans="1:7" ht="15" x14ac:dyDescent="0.2">
      <c r="A20" s="409" t="s">
        <v>249</v>
      </c>
      <c r="B20" s="409"/>
      <c r="C20" s="25">
        <v>0</v>
      </c>
      <c r="D20" s="70">
        <f>+'1.2 Base Cálculo de Precio'!B86*'2.1 Cálculo Ingreso por Fee'!G21</f>
        <v>5708500</v>
      </c>
      <c r="E20" s="70">
        <f>+D20</f>
        <v>5708500</v>
      </c>
      <c r="F20" s="2" t="s">
        <v>250</v>
      </c>
    </row>
    <row r="21" spans="1:7" x14ac:dyDescent="0.2">
      <c r="F21" s="2" t="s">
        <v>251</v>
      </c>
      <c r="G21" s="339">
        <v>0.7</v>
      </c>
    </row>
    <row r="22" spans="1:7" x14ac:dyDescent="0.2">
      <c r="F22" s="2" t="s">
        <v>252</v>
      </c>
      <c r="G22" s="74"/>
    </row>
    <row r="23" spans="1:7" x14ac:dyDescent="0.2">
      <c r="C23" s="411" t="s">
        <v>462</v>
      </c>
      <c r="D23" s="411"/>
      <c r="E23" s="411"/>
    </row>
    <row r="24" spans="1:7" x14ac:dyDescent="0.2">
      <c r="A24" s="403" t="s">
        <v>461</v>
      </c>
      <c r="B24" s="80" t="str">
        <f>+A16</f>
        <v>Comercio por mayor y por menor vehículos ( Incl. Reparación)</v>
      </c>
      <c r="C24" s="4">
        <f t="shared" ref="C24:D26" si="0">C$20*C16</f>
        <v>0</v>
      </c>
      <c r="D24" s="4">
        <f t="shared" si="0"/>
        <v>766537380</v>
      </c>
      <c r="E24" s="4">
        <f t="shared" ref="E24" si="1">E$20*E16</f>
        <v>196258229.99999997</v>
      </c>
    </row>
    <row r="25" spans="1:7" x14ac:dyDescent="0.2">
      <c r="A25" s="404"/>
      <c r="B25" s="81" t="str">
        <f>+A17</f>
        <v>Industrias Manufactureras</v>
      </c>
      <c r="C25" s="4">
        <f t="shared" si="0"/>
        <v>0</v>
      </c>
      <c r="D25" s="4">
        <f t="shared" si="0"/>
        <v>427966245</v>
      </c>
      <c r="E25" s="4">
        <f>E$20*E17</f>
        <v>183585359.99999997</v>
      </c>
    </row>
    <row r="26" spans="1:7" ht="24" customHeight="1" x14ac:dyDescent="0.2">
      <c r="A26" s="405"/>
      <c r="B26" s="80" t="str">
        <f>+A18</f>
        <v>Alojamiento y Servicios de Comida</v>
      </c>
      <c r="C26" s="4">
        <f t="shared" si="0"/>
        <v>0</v>
      </c>
      <c r="D26" s="4">
        <f t="shared" si="0"/>
        <v>58397955</v>
      </c>
      <c r="E26" s="4">
        <f>E$20*E18</f>
        <v>17981775</v>
      </c>
    </row>
    <row r="27" spans="1:7" x14ac:dyDescent="0.2">
      <c r="A27" s="8"/>
    </row>
    <row r="28" spans="1:7" ht="15" x14ac:dyDescent="0.2">
      <c r="A28" s="8"/>
      <c r="B28" s="10" t="s">
        <v>255</v>
      </c>
      <c r="C28" s="5">
        <f>SUM(C24:C27)</f>
        <v>0</v>
      </c>
      <c r="D28" s="5">
        <f>SUM(D24:D27)</f>
        <v>1252901580</v>
      </c>
      <c r="E28" s="5">
        <f>SUM(E24:E27)</f>
        <v>397825364.99999994</v>
      </c>
    </row>
    <row r="29" spans="1:7" x14ac:dyDescent="0.2">
      <c r="A29" s="8"/>
      <c r="C29" s="5"/>
      <c r="D29" s="5"/>
      <c r="E29" s="5"/>
    </row>
    <row r="30" spans="1:7" s="77" customFormat="1" ht="15" x14ac:dyDescent="0.25">
      <c r="A30" s="75"/>
      <c r="B30" s="76" t="s">
        <v>155</v>
      </c>
      <c r="C30" s="78"/>
      <c r="D30" s="79">
        <v>1</v>
      </c>
      <c r="E30" s="78">
        <v>1</v>
      </c>
    </row>
    <row r="31" spans="1:7" ht="24.75" customHeight="1" x14ac:dyDescent="0.2"/>
    <row r="32" spans="1:7" ht="15" x14ac:dyDescent="0.25">
      <c r="B32" s="11" t="s">
        <v>253</v>
      </c>
      <c r="C32" s="41">
        <f>+C28*C30</f>
        <v>0</v>
      </c>
      <c r="D32" s="41">
        <f t="shared" ref="D32:E32" si="2">+D28*D30</f>
        <v>1252901580</v>
      </c>
      <c r="E32" s="41">
        <f t="shared" si="2"/>
        <v>397825364.99999994</v>
      </c>
    </row>
    <row r="33" spans="1:11" ht="15" x14ac:dyDescent="0.25">
      <c r="B33" s="11"/>
      <c r="C33" s="5"/>
      <c r="D33" s="5"/>
      <c r="E33" s="5"/>
    </row>
    <row r="34" spans="1:11" ht="15" x14ac:dyDescent="0.25">
      <c r="B34" s="11" t="s">
        <v>254</v>
      </c>
      <c r="C34" s="41">
        <f>+E32+D32+C32</f>
        <v>1650726945</v>
      </c>
    </row>
    <row r="35" spans="1:11" x14ac:dyDescent="0.2">
      <c r="H35" s="105" t="s">
        <v>162</v>
      </c>
      <c r="I35" s="77"/>
      <c r="J35" s="77"/>
      <c r="K35" s="77"/>
    </row>
    <row r="36" spans="1:11" ht="15" x14ac:dyDescent="0.25">
      <c r="B36" s="11" t="s">
        <v>320</v>
      </c>
      <c r="H36" s="77"/>
      <c r="I36" s="77"/>
      <c r="J36" s="77"/>
      <c r="K36" s="77"/>
    </row>
    <row r="37" spans="1:11" x14ac:dyDescent="0.2">
      <c r="H37" s="77"/>
      <c r="I37" s="77"/>
      <c r="J37" s="77"/>
      <c r="K37" s="77"/>
    </row>
    <row r="38" spans="1:11" s="30" customFormat="1" ht="30" x14ac:dyDescent="0.25">
      <c r="A38" s="87" t="s">
        <v>291</v>
      </c>
      <c r="B38" s="88" t="s">
        <v>288</v>
      </c>
      <c r="C38" s="88" t="s">
        <v>261</v>
      </c>
      <c r="D38" s="117" t="s">
        <v>467</v>
      </c>
      <c r="E38" s="88" t="s">
        <v>468</v>
      </c>
      <c r="F38" s="87" t="s">
        <v>469</v>
      </c>
      <c r="G38" s="89"/>
      <c r="H38" s="102"/>
      <c r="I38" s="102" t="s">
        <v>163</v>
      </c>
      <c r="J38" s="102" t="s">
        <v>164</v>
      </c>
      <c r="K38" s="102" t="s">
        <v>153</v>
      </c>
    </row>
    <row r="39" spans="1:11" ht="15" x14ac:dyDescent="0.25">
      <c r="A39" s="63">
        <v>0</v>
      </c>
      <c r="B39" s="48">
        <f t="shared" ref="B39:B45" si="3">+A39*SUM($E$16:$E$18)*$E$20+A39*SUM($D$16:$D$18)*$D$20</f>
        <v>0</v>
      </c>
      <c r="C39" s="14">
        <f>+'2.3 Cálculo Gastos Admon &amp; Vtas'!C16+'2.3 Cálculo Gastos Admon &amp; Vtas'!C16*'2.3 Cálculo Gastos Admon &amp; Vtas'!E8+'3 Proyecciones Otros Periodos'!B37+'3 Proyecciones Otros Periodos'!B39</f>
        <v>777928000</v>
      </c>
      <c r="D39" s="118">
        <f>((SUM($D$16:$D$18)*A39*$C$51+SUM($E$16:$E$18)*A39*$C$52)/'1.4 Base Otros Supuestos'!$B$24)*2+((SUM('2.2 Cálculo Ingreso PPU'!$D$10:$D$12)*A39*10*'2.2 Cálculo Ingreso PPU'!$E$15+SUM('2.2 Cálculo Ingreso PPU'!$E$10:$E$12)*A39*10))+B39*10%</f>
        <v>0</v>
      </c>
      <c r="E39" s="16">
        <f>+SUM(C39:D39)</f>
        <v>777928000</v>
      </c>
      <c r="F39" s="16">
        <f>+B39-E39</f>
        <v>-777928000</v>
      </c>
      <c r="H39" s="106" t="s">
        <v>158</v>
      </c>
      <c r="I39" s="107">
        <v>0.02</v>
      </c>
      <c r="J39" s="107">
        <v>0.02</v>
      </c>
      <c r="K39" s="77"/>
    </row>
    <row r="40" spans="1:11" x14ac:dyDescent="0.2">
      <c r="A40" s="64">
        <f>+A39+5%</f>
        <v>0.05</v>
      </c>
      <c r="B40" s="48">
        <f t="shared" si="3"/>
        <v>82536347.25</v>
      </c>
      <c r="C40" s="16">
        <f>+C39</f>
        <v>777928000</v>
      </c>
      <c r="D40" s="118">
        <f>((SUM($D$16:$D$18)*A40*$C$51+SUM($E$16:$E$18)*A40*$C$52)/'1.4 Base Otros Supuestos'!$B$24)*2+((SUM('2.2 Cálculo Ingreso PPU'!$D$10:$D$12)*A40*10*'2.2 Cálculo Ingreso PPU'!$E$15+SUM('2.2 Cálculo Ingreso PPU'!$E$10:$E$12)*A40*10))+B40*10%</f>
        <v>8443788.1008300632</v>
      </c>
      <c r="E40" s="16">
        <f t="shared" ref="E40:E45" si="4">+SUM(C40:D40)</f>
        <v>786371788.10083008</v>
      </c>
      <c r="F40" s="16">
        <f t="shared" ref="F40:F45" si="5">+B40-E40</f>
        <v>-703835440.85083008</v>
      </c>
      <c r="G40" s="73"/>
      <c r="H40" s="77"/>
      <c r="I40" s="77"/>
      <c r="J40" s="77"/>
      <c r="K40" s="77"/>
    </row>
    <row r="41" spans="1:11" x14ac:dyDescent="0.2">
      <c r="A41" s="64">
        <f>+A40+5%</f>
        <v>0.1</v>
      </c>
      <c r="B41" s="48">
        <f t="shared" si="3"/>
        <v>165072694.5</v>
      </c>
      <c r="C41" s="16">
        <f t="shared" ref="C41:C45" si="6">+C40</f>
        <v>777928000</v>
      </c>
      <c r="D41" s="118">
        <f>((SUM($D$16:$D$18)*A41*$C$51+SUM($E$16:$E$18)*A41*$C$52)/'1.4 Base Otros Supuestos'!$B$24)*2+((SUM('2.2 Cálculo Ingreso PPU'!$D$10:$D$12)*A41*10*'2.2 Cálculo Ingreso PPU'!$E$15+SUM('2.2 Cálculo Ingreso PPU'!$E$10:$E$12)*A41*10))+B41*10%</f>
        <v>16887576.201660126</v>
      </c>
      <c r="E41" s="16">
        <f t="shared" si="4"/>
        <v>794815576.20166016</v>
      </c>
      <c r="F41" s="16">
        <f t="shared" si="5"/>
        <v>-629742881.70166016</v>
      </c>
      <c r="H41" s="77" t="s">
        <v>159</v>
      </c>
      <c r="I41" s="103">
        <f>+D19*I39</f>
        <v>4.3895999999999997</v>
      </c>
      <c r="J41" s="103">
        <f>+E19*J39</f>
        <v>1.3937999999999999</v>
      </c>
      <c r="K41" s="104">
        <f>+SUM(I41:J41)</f>
        <v>5.7833999999999994</v>
      </c>
    </row>
    <row r="42" spans="1:11" x14ac:dyDescent="0.2">
      <c r="A42" s="64">
        <f>+A41+15%</f>
        <v>0.25</v>
      </c>
      <c r="B42" s="48">
        <f t="shared" si="3"/>
        <v>412681736.25</v>
      </c>
      <c r="C42" s="16">
        <f t="shared" si="6"/>
        <v>777928000</v>
      </c>
      <c r="D42" s="118">
        <f>((SUM($D$16:$D$18)*A42*$C$51+SUM($E$16:$E$18)*A42*$C$52)/'1.4 Base Otros Supuestos'!$B$24)*2+((SUM('2.2 Cálculo Ingreso PPU'!$D$10:$D$12)*A42*10*'2.2 Cálculo Ingreso PPU'!$E$15+SUM('2.2 Cálculo Ingreso PPU'!$E$10:$E$12)*A42*10))+B42*10%</f>
        <v>42218940.504150309</v>
      </c>
      <c r="E42" s="16">
        <f t="shared" si="4"/>
        <v>820146940.50415027</v>
      </c>
      <c r="F42" s="16">
        <f t="shared" si="5"/>
        <v>-407465204.25415027</v>
      </c>
      <c r="H42" s="77" t="s">
        <v>160</v>
      </c>
      <c r="I42" s="103">
        <f>+I41/12</f>
        <v>0.36579999999999996</v>
      </c>
      <c r="J42" s="103">
        <f>+J41/12</f>
        <v>0.11614999999999999</v>
      </c>
      <c r="K42" s="77"/>
    </row>
    <row r="43" spans="1:11" x14ac:dyDescent="0.2">
      <c r="A43" s="64">
        <f t="shared" ref="A43" si="7">+A42+10%</f>
        <v>0.35</v>
      </c>
      <c r="B43" s="48">
        <f t="shared" si="3"/>
        <v>577754430.75</v>
      </c>
      <c r="C43" s="16">
        <f t="shared" si="6"/>
        <v>777928000</v>
      </c>
      <c r="D43" s="118">
        <f>((SUM($D$16:$D$18)*A43*$C$51+SUM($E$16:$E$18)*A43*$C$52)/'1.4 Base Otros Supuestos'!$B$24)*2+((SUM('2.2 Cálculo Ingreso PPU'!$D$10:$D$12)*A43*10*'2.2 Cálculo Ingreso PPU'!$E$15+SUM('2.2 Cálculo Ingreso PPU'!$E$10:$E$12)*A43*10))+B43*10%</f>
        <v>59106516.705810443</v>
      </c>
      <c r="E43" s="16">
        <f t="shared" si="4"/>
        <v>837034516.70581043</v>
      </c>
      <c r="F43" s="16">
        <f t="shared" si="5"/>
        <v>-259280085.95581043</v>
      </c>
      <c r="H43" s="77" t="s">
        <v>161</v>
      </c>
      <c r="I43" s="103">
        <f>+I42/2</f>
        <v>0.18289999999999998</v>
      </c>
      <c r="J43" s="103">
        <f>+J42/2</f>
        <v>5.8074999999999995E-2</v>
      </c>
      <c r="K43" s="77"/>
    </row>
    <row r="44" spans="1:11" x14ac:dyDescent="0.2">
      <c r="A44" s="64">
        <f>+A43+15%</f>
        <v>0.5</v>
      </c>
      <c r="B44" s="48">
        <f t="shared" si="3"/>
        <v>825363472.5</v>
      </c>
      <c r="C44" s="16">
        <f t="shared" si="6"/>
        <v>777928000</v>
      </c>
      <c r="D44" s="118">
        <f>((SUM($D$16:$D$18)*A44*$C$51+SUM($E$16:$E$18)*A44*$C$52)/'1.4 Base Otros Supuestos'!$B$24)*2+((SUM('2.2 Cálculo Ingreso PPU'!$D$10:$D$12)*A44*10*'2.2 Cálculo Ingreso PPU'!$E$15+SUM('2.2 Cálculo Ingreso PPU'!$E$10:$E$12)*A44*10))+B44*10%</f>
        <v>84437881.008300617</v>
      </c>
      <c r="E44" s="16">
        <f t="shared" si="4"/>
        <v>862365881.00830066</v>
      </c>
      <c r="F44" s="16">
        <f t="shared" si="5"/>
        <v>-37002408.508300662</v>
      </c>
    </row>
    <row r="45" spans="1:11" x14ac:dyDescent="0.2">
      <c r="A45" s="64">
        <f>+A44+15%</f>
        <v>0.65</v>
      </c>
      <c r="B45" s="48">
        <f t="shared" si="3"/>
        <v>1072972514.25</v>
      </c>
      <c r="C45" s="16">
        <f t="shared" si="6"/>
        <v>777928000</v>
      </c>
      <c r="D45" s="118">
        <f>((SUM($D$16:$D$18)*A45*$C$51+SUM($E$16:$E$18)*A45*$C$52)/'1.4 Base Otros Supuestos'!$B$24)*2+((SUM('2.2 Cálculo Ingreso PPU'!$D$10:$D$12)*A45*10*'2.2 Cálculo Ingreso PPU'!$E$15+SUM('2.2 Cálculo Ingreso PPU'!$E$10:$E$12)*A45*10))+B45*10%</f>
        <v>109769245.31079082</v>
      </c>
      <c r="E45" s="16">
        <f t="shared" si="4"/>
        <v>887697245.31079078</v>
      </c>
      <c r="F45" s="16">
        <f t="shared" si="5"/>
        <v>185275268.93920922</v>
      </c>
    </row>
    <row r="46" spans="1:11" x14ac:dyDescent="0.2">
      <c r="A46" s="64">
        <f>+A45+15%</f>
        <v>0.8</v>
      </c>
      <c r="B46" s="48">
        <f t="shared" ref="B46:B47" si="8">+A46*SUM($E$16:$E$18)*$E$20+A46*SUM($D$16:$D$18)*$D$20</f>
        <v>1320581556</v>
      </c>
      <c r="C46" s="16">
        <f t="shared" ref="C46:C47" si="9">+C45</f>
        <v>777928000</v>
      </c>
      <c r="D46" s="118">
        <f>((SUM($D$16:$D$18)*A46*$C$51+SUM($E$16:$E$18)*A46*$C$52)/'1.4 Base Otros Supuestos'!$B$24)*2+((SUM('2.2 Cálculo Ingreso PPU'!$D$10:$D$12)*A46*10*'2.2 Cálculo Ingreso PPU'!$E$15+SUM('2.2 Cálculo Ingreso PPU'!$E$10:$E$12)*A46*10))+B46*10%</f>
        <v>135100609.61328101</v>
      </c>
      <c r="E46" s="16">
        <f t="shared" ref="E46:E47" si="10">+SUM(C46:D46)</f>
        <v>913028609.61328101</v>
      </c>
      <c r="F46" s="16">
        <f t="shared" ref="F46:F47" si="11">+B46-E46</f>
        <v>407552946.38671899</v>
      </c>
    </row>
    <row r="47" spans="1:11" x14ac:dyDescent="0.2">
      <c r="A47" s="86">
        <f>+A46+20%</f>
        <v>1</v>
      </c>
      <c r="B47" s="48">
        <f t="shared" si="8"/>
        <v>1650726945</v>
      </c>
      <c r="C47" s="16">
        <f t="shared" si="9"/>
        <v>777928000</v>
      </c>
      <c r="D47" s="118">
        <f>((SUM($D$16:$D$18)*A47*$C$51+SUM($E$16:$E$18)*A47*$C$52)/'1.4 Base Otros Supuestos'!$B$24)*2+((SUM('2.2 Cálculo Ingreso PPU'!$D$10:$D$12)*A47*10*'2.2 Cálculo Ingreso PPU'!$E$15+SUM('2.2 Cálculo Ingreso PPU'!$E$10:$E$12)*A47*10))+B47*10%</f>
        <v>168875762.01660123</v>
      </c>
      <c r="E47" s="16">
        <f t="shared" si="10"/>
        <v>946803762.0166012</v>
      </c>
      <c r="F47" s="16">
        <f t="shared" si="11"/>
        <v>703923182.9833988</v>
      </c>
    </row>
    <row r="48" spans="1:11" x14ac:dyDescent="0.2">
      <c r="A48" s="64"/>
      <c r="B48" s="48"/>
      <c r="C48" s="16"/>
      <c r="D48" s="62"/>
      <c r="E48" s="16"/>
      <c r="F48" s="16"/>
    </row>
    <row r="49" spans="1:6" x14ac:dyDescent="0.2">
      <c r="A49" s="64"/>
      <c r="B49" s="48"/>
      <c r="C49" s="16"/>
      <c r="D49" s="62"/>
      <c r="E49" s="16"/>
      <c r="F49" s="16"/>
    </row>
    <row r="50" spans="1:6" x14ac:dyDescent="0.2">
      <c r="A50" s="47"/>
      <c r="B50" s="48"/>
      <c r="C50" s="16"/>
      <c r="D50" s="62"/>
      <c r="E50" s="16"/>
      <c r="F50" s="16"/>
    </row>
    <row r="51" spans="1:6" ht="15" x14ac:dyDescent="0.25">
      <c r="A51" s="47"/>
      <c r="B51" s="328" t="s">
        <v>414</v>
      </c>
      <c r="C51" s="327">
        <v>200000</v>
      </c>
      <c r="D51" s="62"/>
      <c r="E51" s="16"/>
      <c r="F51" s="16"/>
    </row>
    <row r="52" spans="1:6" ht="15" x14ac:dyDescent="0.25">
      <c r="A52" s="47"/>
      <c r="B52" s="328" t="s">
        <v>415</v>
      </c>
      <c r="C52" s="327">
        <v>600000</v>
      </c>
      <c r="D52" s="62"/>
      <c r="E52" s="16"/>
      <c r="F52" s="16"/>
    </row>
    <row r="53" spans="1:6" x14ac:dyDescent="0.2">
      <c r="A53" s="47"/>
      <c r="B53" s="48"/>
      <c r="C53" s="16"/>
      <c r="D53" s="62"/>
      <c r="E53" s="16"/>
      <c r="F53" s="16"/>
    </row>
    <row r="54" spans="1:6" x14ac:dyDescent="0.2">
      <c r="A54" s="47"/>
      <c r="B54" s="48"/>
      <c r="C54" s="16"/>
      <c r="D54" s="62"/>
      <c r="E54" s="16"/>
      <c r="F54" s="16"/>
    </row>
    <row r="55" spans="1:6" x14ac:dyDescent="0.2">
      <c r="A55" s="47"/>
      <c r="B55" s="48"/>
      <c r="C55" s="16"/>
      <c r="D55" s="62"/>
      <c r="E55" s="16"/>
      <c r="F55" s="16"/>
    </row>
    <row r="56" spans="1:6" x14ac:dyDescent="0.2">
      <c r="A56" s="47"/>
      <c r="B56" s="48"/>
      <c r="C56" s="16"/>
      <c r="D56" s="62"/>
      <c r="E56" s="16"/>
      <c r="F56" s="16"/>
    </row>
    <row r="57" spans="1:6" x14ac:dyDescent="0.2">
      <c r="A57" s="47"/>
      <c r="B57" s="48"/>
      <c r="C57" s="16"/>
      <c r="D57" s="62"/>
      <c r="E57" s="16"/>
      <c r="F57" s="16"/>
    </row>
    <row r="58" spans="1:6" x14ac:dyDescent="0.2">
      <c r="A58" s="47"/>
      <c r="B58" s="48"/>
      <c r="C58" s="16"/>
      <c r="D58" s="62"/>
      <c r="E58" s="16"/>
      <c r="F58" s="16"/>
    </row>
    <row r="59" spans="1:6" x14ac:dyDescent="0.2">
      <c r="A59" s="47"/>
      <c r="B59" s="48"/>
      <c r="C59" s="16"/>
      <c r="D59" s="62"/>
      <c r="E59" s="16"/>
      <c r="F59" s="16"/>
    </row>
    <row r="60" spans="1:6" x14ac:dyDescent="0.2">
      <c r="A60" s="47"/>
    </row>
  </sheetData>
  <mergeCells count="17">
    <mergeCell ref="C6:E6"/>
    <mergeCell ref="C23:E23"/>
    <mergeCell ref="C13:E13"/>
    <mergeCell ref="C14:C15"/>
    <mergeCell ref="D14:D15"/>
    <mergeCell ref="E14:E15"/>
    <mergeCell ref="A11:B11"/>
    <mergeCell ref="A24:A26"/>
    <mergeCell ref="C7:C8"/>
    <mergeCell ref="D7:D8"/>
    <mergeCell ref="E7:E8"/>
    <mergeCell ref="A16:B16"/>
    <mergeCell ref="A17:B17"/>
    <mergeCell ref="A18:B18"/>
    <mergeCell ref="A20:B20"/>
    <mergeCell ref="A9:B9"/>
    <mergeCell ref="A10:B10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CD686-7306-5048-B53B-21D57FE53B83}">
  <dimension ref="A5:H50"/>
  <sheetViews>
    <sheetView showGridLines="0" zoomScale="90" zoomScaleNormal="90" workbookViewId="0">
      <selection activeCell="B43" sqref="B43"/>
    </sheetView>
  </sheetViews>
  <sheetFormatPr baseColWidth="10" defaultColWidth="11.42578125" defaultRowHeight="14.25" x14ac:dyDescent="0.2"/>
  <cols>
    <col min="1" max="1" width="8.7109375" style="2" customWidth="1"/>
    <col min="2" max="2" width="59.140625" style="2" customWidth="1"/>
    <col min="3" max="3" width="15.42578125" style="2" bestFit="1" customWidth="1"/>
    <col min="4" max="4" width="18" style="2" bestFit="1" customWidth="1"/>
    <col min="5" max="5" width="17.7109375" style="2" customWidth="1"/>
    <col min="6" max="6" width="19.140625" style="2" customWidth="1"/>
    <col min="7" max="7" width="11.42578125" style="2"/>
    <col min="8" max="8" width="15.42578125" style="2" bestFit="1" customWidth="1"/>
    <col min="9" max="16384" width="11.42578125" style="2"/>
  </cols>
  <sheetData>
    <row r="5" spans="1:6" ht="15" x14ac:dyDescent="0.25">
      <c r="B5" s="410" t="s">
        <v>256</v>
      </c>
      <c r="C5" s="412"/>
      <c r="D5" s="412"/>
      <c r="E5" s="412"/>
    </row>
    <row r="6" spans="1:6" ht="15" x14ac:dyDescent="0.25">
      <c r="B6" s="6"/>
      <c r="C6" s="3"/>
      <c r="D6" s="3"/>
      <c r="E6" s="3"/>
    </row>
    <row r="7" spans="1:6" ht="18" x14ac:dyDescent="0.25">
      <c r="B7" s="36"/>
      <c r="C7" s="36"/>
      <c r="D7" s="36"/>
      <c r="E7" s="36"/>
      <c r="F7" s="35"/>
    </row>
    <row r="8" spans="1:6" ht="15" x14ac:dyDescent="0.25">
      <c r="A8" s="413" t="s">
        <v>297</v>
      </c>
      <c r="B8" s="413"/>
      <c r="C8" s="32" t="s">
        <v>96</v>
      </c>
      <c r="D8" s="33" t="s">
        <v>95</v>
      </c>
      <c r="E8" s="34" t="s">
        <v>257</v>
      </c>
      <c r="F8" s="50" t="s">
        <v>258</v>
      </c>
    </row>
    <row r="10" spans="1:6" ht="14.25" customHeight="1" x14ac:dyDescent="0.2">
      <c r="A10" s="403" t="s">
        <v>55</v>
      </c>
      <c r="B10" s="80" t="str">
        <f>+'2.1 Cálculo Ingreso por Fee'!B24</f>
        <v>Comercio por mayor y por menor vehículos ( Incl. Reparación)</v>
      </c>
      <c r="C10" s="4">
        <f>'1.3 Base Part.Mercado Fee'!E14*F10*90%</f>
        <v>53586.868531552544</v>
      </c>
      <c r="D10" s="4">
        <f>'1.3 Base Part.Mercado Fee'!D14*F10*90%</f>
        <v>52411.463489184767</v>
      </c>
      <c r="E10" s="4">
        <f>'1.3 Base Part.Mercado Fee'!C14*F10*90%</f>
        <v>54622.299624874926</v>
      </c>
      <c r="F10" s="49">
        <v>0.13</v>
      </c>
    </row>
    <row r="11" spans="1:6" x14ac:dyDescent="0.2">
      <c r="A11" s="404"/>
      <c r="B11" s="81" t="str">
        <f>+'2.1 Cálculo Ingreso por Fee'!B25</f>
        <v>Industrias Manufactureras</v>
      </c>
      <c r="C11" s="4">
        <f>'1.3 Base Part.Mercado Fee'!E15*F11*90%</f>
        <v>23066.5043894921</v>
      </c>
      <c r="D11" s="4">
        <f>'1.3 Base Part.Mercado Fee'!D15*F11*90%</f>
        <v>22560.550481152724</v>
      </c>
      <c r="E11" s="4">
        <f>'1.3 Base Part.Mercado Fee'!C15*F11*90%</f>
        <v>23512.20641526124</v>
      </c>
      <c r="F11" s="49">
        <v>9.5000000000000001E-2</v>
      </c>
    </row>
    <row r="12" spans="1:6" x14ac:dyDescent="0.2">
      <c r="A12" s="405"/>
      <c r="B12" s="80" t="str">
        <f>+'2.1 Cálculo Ingreso por Fee'!B26</f>
        <v>Alojamiento y Servicios de Comida</v>
      </c>
      <c r="C12" s="4">
        <f>'1.3 Base Part.Mercado Fee'!E16*F12*90%</f>
        <v>18302.300758944199</v>
      </c>
      <c r="D12" s="4">
        <f>'1.3 Base Part.Mercado Fee'!D16*F12*90%</f>
        <v>17900.84761961161</v>
      </c>
      <c r="E12" s="4">
        <f>'1.3 Base Part.Mercado Fee'!C16*F12*90%</f>
        <v>18655.946564427126</v>
      </c>
      <c r="F12" s="49">
        <v>0.114</v>
      </c>
    </row>
    <row r="13" spans="1:6" x14ac:dyDescent="0.2">
      <c r="A13" s="8"/>
    </row>
    <row r="14" spans="1:6" ht="15" x14ac:dyDescent="0.2">
      <c r="A14" s="8"/>
      <c r="B14" s="65" t="s">
        <v>292</v>
      </c>
      <c r="C14" s="5">
        <f>SUM(C10:C12)</f>
        <v>94955.673679988846</v>
      </c>
      <c r="D14" s="5">
        <f t="shared" ref="D14:E14" si="0">SUM(D10:D12)</f>
        <v>92872.861589949098</v>
      </c>
      <c r="E14" s="5">
        <f t="shared" si="0"/>
        <v>96790.452604563296</v>
      </c>
    </row>
    <row r="15" spans="1:6" s="77" customFormat="1" ht="15" x14ac:dyDescent="0.25">
      <c r="A15" s="99"/>
      <c r="B15" s="100" t="s">
        <v>293</v>
      </c>
      <c r="C15" s="101"/>
      <c r="D15" s="101">
        <v>3</v>
      </c>
      <c r="E15" s="101">
        <v>3</v>
      </c>
    </row>
    <row r="16" spans="1:6" ht="15" x14ac:dyDescent="0.25">
      <c r="A16" s="9"/>
      <c r="B16" s="18" t="s">
        <v>294</v>
      </c>
      <c r="C16" s="67">
        <v>0</v>
      </c>
      <c r="D16" s="68">
        <v>1.2999999999999999E-2</v>
      </c>
      <c r="E16" s="68">
        <v>1.2999999999999999E-2</v>
      </c>
    </row>
    <row r="17" spans="1:8" x14ac:dyDescent="0.2">
      <c r="C17" s="2" t="s">
        <v>486</v>
      </c>
      <c r="D17" s="4">
        <f>+D14*D16</f>
        <v>1207.3472006693382</v>
      </c>
      <c r="E17" s="4">
        <f>+E14*E16</f>
        <v>1258.2758838593227</v>
      </c>
    </row>
    <row r="18" spans="1:8" ht="15" x14ac:dyDescent="0.25">
      <c r="B18" s="11" t="s">
        <v>295</v>
      </c>
      <c r="C18" s="41">
        <f>+(C14*C16)*C23*C15</f>
        <v>0</v>
      </c>
      <c r="D18" s="41">
        <f>+(D14*D16)*D22</f>
        <v>754592000.41833639</v>
      </c>
      <c r="E18" s="41">
        <f>+(E14*E16)*D22</f>
        <v>786422427.41207671</v>
      </c>
    </row>
    <row r="19" spans="1:8" ht="15" x14ac:dyDescent="0.25">
      <c r="B19" s="11" t="s">
        <v>296</v>
      </c>
      <c r="C19" s="41">
        <f>+SUM(C18:E18)</f>
        <v>1541014427.8304131</v>
      </c>
      <c r="D19" s="5"/>
      <c r="E19" s="5"/>
    </row>
    <row r="20" spans="1:8" ht="15" x14ac:dyDescent="0.25">
      <c r="B20" s="11"/>
      <c r="C20" s="5"/>
      <c r="D20" s="5"/>
      <c r="E20" s="5"/>
    </row>
    <row r="21" spans="1:8" ht="15" x14ac:dyDescent="0.25">
      <c r="B21" s="11" t="s">
        <v>214</v>
      </c>
      <c r="C21" s="4">
        <v>1250000</v>
      </c>
      <c r="D21" s="5"/>
      <c r="E21" s="5"/>
    </row>
    <row r="22" spans="1:8" ht="15" x14ac:dyDescent="0.25">
      <c r="B22" s="11" t="s">
        <v>463</v>
      </c>
      <c r="C22" s="67">
        <v>0.5</v>
      </c>
      <c r="D22" s="5">
        <f>+C21*C22</f>
        <v>625000</v>
      </c>
      <c r="E22" s="5" t="s">
        <v>259</v>
      </c>
    </row>
    <row r="23" spans="1:8" s="95" customFormat="1" ht="15" x14ac:dyDescent="0.25">
      <c r="B23" s="96" t="s">
        <v>362</v>
      </c>
      <c r="C23" s="97">
        <v>0</v>
      </c>
      <c r="D23" s="98">
        <f>10*'1.4 Base Otros Supuestos'!B24</f>
        <v>35000</v>
      </c>
      <c r="E23" s="5" t="s">
        <v>260</v>
      </c>
    </row>
    <row r="24" spans="1:8" ht="15" x14ac:dyDescent="0.25">
      <c r="B24" s="11"/>
      <c r="D24" s="5"/>
    </row>
    <row r="25" spans="1:8" ht="15" x14ac:dyDescent="0.25">
      <c r="B25" s="11" t="s">
        <v>215</v>
      </c>
      <c r="C25" s="41">
        <f>+E18+D18+C18</f>
        <v>1541014427.8304131</v>
      </c>
      <c r="D25" s="5"/>
      <c r="E25" s="5"/>
    </row>
    <row r="26" spans="1:8" ht="15" x14ac:dyDescent="0.25">
      <c r="B26" s="11"/>
      <c r="C26" s="5"/>
      <c r="D26" s="5"/>
      <c r="E26" s="5"/>
    </row>
    <row r="27" spans="1:8" ht="15" x14ac:dyDescent="0.25">
      <c r="B27" s="11" t="s">
        <v>213</v>
      </c>
      <c r="D27" s="5"/>
      <c r="E27" s="5"/>
    </row>
    <row r="29" spans="1:8" s="30" customFormat="1" ht="45" x14ac:dyDescent="0.25">
      <c r="A29" s="87" t="s">
        <v>291</v>
      </c>
      <c r="B29" s="88" t="s">
        <v>288</v>
      </c>
      <c r="C29" s="88" t="s">
        <v>261</v>
      </c>
      <c r="D29" s="88" t="s">
        <v>464</v>
      </c>
      <c r="E29" s="88" t="s">
        <v>466</v>
      </c>
      <c r="F29" s="87" t="s">
        <v>465</v>
      </c>
      <c r="G29" s="89"/>
    </row>
    <row r="30" spans="1:8" x14ac:dyDescent="0.2">
      <c r="A30" s="63">
        <v>0</v>
      </c>
      <c r="B30" s="82">
        <f t="shared" ref="B30" si="1">+C20*A30</f>
        <v>0</v>
      </c>
      <c r="C30" s="20">
        <f>+'2.3 Cálculo Gastos Admon &amp; Vtas'!C16+'2.3 Cálculo Gastos Admon &amp; Vtas'!C16*'2.3 Cálculo Gastos Admon &amp; Vtas'!E8+'3 Proyecciones Otros Periodos'!B37+'3 Proyecciones Otros Periodos'!B39</f>
        <v>777928000</v>
      </c>
      <c r="D30" s="83">
        <f>+((SUM('2.2 Cálculo Ingreso PPU'!$D$10:$D$12)*A30*10*'2.2 Cálculo Ingreso PPU'!$E$15+SUM('2.2 Cálculo Ingreso PPU'!$E$10:$E$12)*A30*10))+B30*10%+(SUM('2.2 Cálculo Ingreso PPU'!$D$10:$D$12)*A30)*'2.3 Cálculo Gastos Admon &amp; Vtas'!$E$35*'3 Proyecciones Otros Periodos'!$B$95*2+SUM('2.2 Cálculo Ingreso PPU'!E10:E12)*A30*'2.3 Cálculo Gastos Admon &amp; Vtas'!$E$36*'3 Proyecciones Otros Periodos'!$B$95*2</f>
        <v>0</v>
      </c>
      <c r="E30" s="84">
        <f>+SUM(C30:D30)</f>
        <v>777928000</v>
      </c>
      <c r="F30" s="16">
        <f>+B30-E30</f>
        <v>-777928000</v>
      </c>
      <c r="H30" s="16"/>
    </row>
    <row r="31" spans="1:8" x14ac:dyDescent="0.2">
      <c r="A31" s="64">
        <f>+A30+5%</f>
        <v>0.05</v>
      </c>
      <c r="B31" s="82">
        <f t="shared" ref="B31:B34" si="2">+$C$25*A31</f>
        <v>77050721.391520664</v>
      </c>
      <c r="C31" s="20">
        <f>+C30</f>
        <v>777928000</v>
      </c>
      <c r="D31" s="83">
        <f>+((SUM('2.2 Cálculo Ingreso PPU'!$D$10:$D$12)*A31*10*'2.2 Cálculo Ingreso PPU'!$E$15+SUM('2.2 Cálculo Ingreso PPU'!$E$10:$E$12)*A31*10))+B31*10%+(SUM('2.2 Cálculo Ingreso PPU'!$D$10:$D$12)*A31)*'2.3 Cálculo Gastos Admon &amp; Vtas'!$E$35*'3 Proyecciones Otros Periodos'!$B$95*2+SUM('2.2 Cálculo Ingreso PPU'!E11:E13)*A31*'2.3 Cálculo Gastos Admon &amp; Vtas'!$E$36*'3 Proyecciones Otros Periodos'!$B$95*2</f>
        <v>42154931.134619512</v>
      </c>
      <c r="E31" s="84">
        <f t="shared" ref="E31:E36" si="3">+SUM(C31:D31)</f>
        <v>820082931.13461947</v>
      </c>
      <c r="F31" s="16">
        <f t="shared" ref="F31:F36" si="4">+B31-E31</f>
        <v>-743032209.74309886</v>
      </c>
      <c r="H31" s="16"/>
    </row>
    <row r="32" spans="1:8" x14ac:dyDescent="0.2">
      <c r="A32" s="64">
        <f>+A31+20%</f>
        <v>0.25</v>
      </c>
      <c r="B32" s="82">
        <f t="shared" si="2"/>
        <v>385253606.95760328</v>
      </c>
      <c r="C32" s="20">
        <f t="shared" ref="C32:C36" si="5">+C31</f>
        <v>777928000</v>
      </c>
      <c r="D32" s="83">
        <f>+((SUM('2.2 Cálculo Ingreso PPU'!$D$10:$D$12)*A32*10*'2.2 Cálculo Ingreso PPU'!$E$15+SUM('2.2 Cálculo Ingreso PPU'!$E$10:$E$12)*A32*10))+B32*10%+(SUM('2.2 Cálculo Ingreso PPU'!$D$10:$D$12)*A32)*'2.3 Cálculo Gastos Admon &amp; Vtas'!$E$35*'3 Proyecciones Otros Periodos'!$B$95*2+SUM('2.2 Cálculo Ingreso PPU'!E12:E14)*A32*'2.3 Cálculo Gastos Admon &amp; Vtas'!$E$36*'3 Proyecciones Otros Periodos'!$B$95*2</f>
        <v>339011586.50437617</v>
      </c>
      <c r="E32" s="84">
        <f t="shared" si="3"/>
        <v>1116939586.5043762</v>
      </c>
      <c r="F32" s="16">
        <f t="shared" si="4"/>
        <v>-731685979.54677296</v>
      </c>
      <c r="H32" s="16"/>
    </row>
    <row r="33" spans="1:8" x14ac:dyDescent="0.2">
      <c r="A33" s="64">
        <f>+A32+25%</f>
        <v>0.5</v>
      </c>
      <c r="B33" s="82">
        <f t="shared" si="2"/>
        <v>770507213.91520655</v>
      </c>
      <c r="C33" s="20">
        <f t="shared" si="5"/>
        <v>777928000</v>
      </c>
      <c r="D33" s="83">
        <f>+((SUM('2.2 Cálculo Ingreso PPU'!$D$10:$D$12)*A33*10*'2.2 Cálculo Ingreso PPU'!$E$15+SUM('2.2 Cálculo Ingreso PPU'!$E$10:$E$12)*A33*10))+B33*10%+(SUM('2.2 Cálculo Ingreso PPU'!$D$10:$D$12)*A33)*'2.3 Cálculo Gastos Admon &amp; Vtas'!$E$35*'3 Proyecciones Otros Periodos'!$B$95*2+SUM('2.2 Cálculo Ingreso PPU'!E13:E15)*A33*'2.3 Cálculo Gastos Admon &amp; Vtas'!$E$36*'3 Proyecciones Otros Periodos'!$B$95*2</f>
        <v>612737860.03325737</v>
      </c>
      <c r="E33" s="84">
        <f t="shared" si="3"/>
        <v>1390665860.0332575</v>
      </c>
      <c r="F33" s="16">
        <f t="shared" si="4"/>
        <v>-620158646.11805093</v>
      </c>
      <c r="H33" s="16"/>
    </row>
    <row r="34" spans="1:8" x14ac:dyDescent="0.2">
      <c r="A34" s="64">
        <f>+A33+25%</f>
        <v>0.75</v>
      </c>
      <c r="B34" s="82">
        <f t="shared" si="2"/>
        <v>1155760820.8728099</v>
      </c>
      <c r="C34" s="20">
        <f t="shared" si="5"/>
        <v>777928000</v>
      </c>
      <c r="D34" s="83">
        <f>+((SUM('2.2 Cálculo Ingreso PPU'!$D$10:$D$12)*A34*10*'2.2 Cálculo Ingreso PPU'!$E$15+SUM('2.2 Cálculo Ingreso PPU'!$E$10:$E$12)*A34*10))+B34*10%+(SUM('2.2 Cálculo Ingreso PPU'!$D$10:$D$12)*A34)*'2.3 Cálculo Gastos Admon &amp; Vtas'!$E$35*'3 Proyecciones Otros Periodos'!$B$95*2+SUM('2.2 Cálculo Ingreso PPU'!E14:E16)*A34*'2.3 Cálculo Gastos Admon &amp; Vtas'!$E$36*'3 Proyecciones Otros Periodos'!$B$95*2</f>
        <v>919106858.29988599</v>
      </c>
      <c r="E34" s="84">
        <f t="shared" si="3"/>
        <v>1697034858.299886</v>
      </c>
      <c r="F34" s="16">
        <f t="shared" si="4"/>
        <v>-541274037.4270761</v>
      </c>
      <c r="H34" s="16"/>
    </row>
    <row r="35" spans="1:8" x14ac:dyDescent="0.2">
      <c r="A35" s="64">
        <f>+A34+25%</f>
        <v>1</v>
      </c>
      <c r="B35" s="82">
        <f>+$C$25*A35</f>
        <v>1541014427.8304131</v>
      </c>
      <c r="C35" s="20">
        <f t="shared" si="5"/>
        <v>777928000</v>
      </c>
      <c r="D35" s="83">
        <f>+((SUM('2.2 Cálculo Ingreso PPU'!$D$10:$D$12)*A35*10*'2.2 Cálculo Ingreso PPU'!$E$15+SUM('2.2 Cálculo Ingreso PPU'!$E$10:$E$12)*A35*10))+B35*10%+(SUM('2.2 Cálculo Ingreso PPU'!$D$10:$D$12)*A35)*'2.3 Cálculo Gastos Admon &amp; Vtas'!$E$35*'3 Proyecciones Otros Periodos'!$B$95*2+SUM('2.2 Cálculo Ingreso PPU'!E15:E17)*A35*'2.3 Cálculo Gastos Admon &amp; Vtas'!$E$36*'3 Proyecciones Otros Periodos'!$B$95*2</f>
        <v>556750574.02158689</v>
      </c>
      <c r="E35" s="84">
        <f t="shared" si="3"/>
        <v>1334678574.0215869</v>
      </c>
      <c r="F35" s="16">
        <f t="shared" si="4"/>
        <v>206335853.80882621</v>
      </c>
      <c r="H35" s="16"/>
    </row>
    <row r="36" spans="1:8" x14ac:dyDescent="0.2">
      <c r="A36" s="90">
        <f t="shared" ref="A36" si="6">+A35+0.5%</f>
        <v>1.0049999999999999</v>
      </c>
      <c r="B36" s="91">
        <f t="shared" ref="B36" si="7">+$C$23*A36*SUM($D$10:$E$12)*$E$15</f>
        <v>0</v>
      </c>
      <c r="C36" s="92">
        <f t="shared" si="5"/>
        <v>777928000</v>
      </c>
      <c r="D36" s="93">
        <f>+((SUM('2.2 Cálculo Ingreso PPU'!$D$10:$D$12)*A36*10*'2.2 Cálculo Ingreso PPU'!$E$15+SUM('2.2 Cálculo Ingreso PPU'!$E$10:$E$12)*A36*10))+B36*10%+(SUM('2.2 Cálculo Ingreso PPU'!$D$10:$D$12)*A36)*'2.3 Cálculo Gastos Admon &amp; Vtas'!$E$35*'3 Proyecciones Otros Periodos'!$B$95*2+SUM('2.2 Cálculo Ingreso PPU'!E16:E18)*A36*'2.3 Cálculo Gastos Admon &amp; Vtas'!$E$36*'3 Proyecciones Otros Periodos'!$B$95*2</f>
        <v>5532886418115.8535</v>
      </c>
      <c r="E36" s="94">
        <f t="shared" si="3"/>
        <v>5533664346115.8535</v>
      </c>
      <c r="F36" s="94">
        <f t="shared" si="4"/>
        <v>-5533664346115.8535</v>
      </c>
      <c r="H36" s="16"/>
    </row>
    <row r="37" spans="1:8" x14ac:dyDescent="0.2">
      <c r="A37" s="64"/>
      <c r="B37" s="51"/>
      <c r="C37" s="14"/>
      <c r="D37" s="5"/>
      <c r="E37" s="16"/>
      <c r="F37" s="16"/>
    </row>
    <row r="38" spans="1:8" x14ac:dyDescent="0.2">
      <c r="A38" s="64"/>
      <c r="B38" s="51"/>
      <c r="C38" s="14"/>
      <c r="D38" s="5"/>
      <c r="E38" s="16"/>
      <c r="F38" s="16"/>
    </row>
    <row r="39" spans="1:8" x14ac:dyDescent="0.2">
      <c r="A39" s="64"/>
      <c r="B39" s="51"/>
      <c r="C39" s="14"/>
      <c r="D39" s="5"/>
      <c r="E39" s="16"/>
      <c r="F39" s="16"/>
    </row>
    <row r="40" spans="1:8" x14ac:dyDescent="0.2">
      <c r="A40" s="47"/>
      <c r="B40" s="51"/>
      <c r="C40" s="14"/>
      <c r="D40" s="5"/>
      <c r="E40" s="16"/>
      <c r="F40" s="16"/>
    </row>
    <row r="41" spans="1:8" x14ac:dyDescent="0.2">
      <c r="A41" s="47"/>
      <c r="B41" s="51"/>
      <c r="C41" s="14"/>
      <c r="D41" s="5"/>
      <c r="E41" s="16"/>
      <c r="F41" s="16"/>
    </row>
    <row r="42" spans="1:8" x14ac:dyDescent="0.2">
      <c r="A42" s="47"/>
      <c r="B42" s="51"/>
      <c r="C42" s="14"/>
      <c r="D42" s="5"/>
      <c r="E42" s="16"/>
      <c r="F42" s="16"/>
    </row>
    <row r="43" spans="1:8" x14ac:dyDescent="0.2">
      <c r="A43" s="47"/>
      <c r="B43" s="51"/>
      <c r="C43" s="14"/>
      <c r="D43" s="5"/>
      <c r="E43" s="16"/>
      <c r="F43" s="16"/>
    </row>
    <row r="44" spans="1:8" x14ac:dyDescent="0.2">
      <c r="A44" s="47"/>
      <c r="B44" s="51"/>
      <c r="C44" s="14"/>
      <c r="D44" s="5"/>
      <c r="E44" s="16"/>
      <c r="F44" s="16"/>
    </row>
    <row r="45" spans="1:8" x14ac:dyDescent="0.2">
      <c r="A45" s="47"/>
      <c r="B45" s="51"/>
      <c r="C45" s="14"/>
      <c r="D45" s="5"/>
      <c r="E45" s="16"/>
      <c r="F45" s="16"/>
    </row>
    <row r="46" spans="1:8" x14ac:dyDescent="0.2">
      <c r="A46" s="47"/>
      <c r="B46" s="51"/>
      <c r="C46" s="14"/>
      <c r="D46" s="5"/>
      <c r="E46" s="16"/>
      <c r="F46" s="16"/>
    </row>
    <row r="47" spans="1:8" x14ac:dyDescent="0.2">
      <c r="A47" s="47"/>
      <c r="B47" s="51"/>
      <c r="C47" s="14"/>
      <c r="D47" s="5"/>
      <c r="E47" s="16"/>
      <c r="F47" s="16"/>
    </row>
    <row r="48" spans="1:8" x14ac:dyDescent="0.2">
      <c r="A48" s="47"/>
      <c r="B48" s="51"/>
      <c r="C48" s="14"/>
      <c r="D48" s="5"/>
      <c r="E48" s="16"/>
      <c r="F48" s="16"/>
    </row>
    <row r="49" spans="1:6" x14ac:dyDescent="0.2">
      <c r="A49" s="47"/>
      <c r="B49" s="51"/>
      <c r="C49" s="14"/>
      <c r="D49" s="5"/>
      <c r="E49" s="16"/>
      <c r="F49" s="16"/>
    </row>
    <row r="50" spans="1:6" x14ac:dyDescent="0.2">
      <c r="A50" s="47"/>
      <c r="B50" s="51"/>
      <c r="C50" s="14"/>
      <c r="D50" s="5"/>
      <c r="E50" s="16"/>
      <c r="F50" s="16"/>
    </row>
  </sheetData>
  <mergeCells count="3">
    <mergeCell ref="B5:E5"/>
    <mergeCell ref="A10:A12"/>
    <mergeCell ref="A8:B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B88B6-298C-4D14-AF7E-1DE269DC35FC}">
  <dimension ref="B1:I76"/>
  <sheetViews>
    <sheetView showGridLines="0" zoomScaleNormal="100" workbookViewId="0">
      <selection activeCell="B5" sqref="B5"/>
    </sheetView>
  </sheetViews>
  <sheetFormatPr baseColWidth="10" defaultColWidth="11.42578125" defaultRowHeight="14.25" x14ac:dyDescent="0.2"/>
  <cols>
    <col min="1" max="1" width="11.42578125" style="2"/>
    <col min="2" max="2" width="72.85546875" style="2" customWidth="1"/>
    <col min="3" max="3" width="21" style="2" bestFit="1" customWidth="1"/>
    <col min="4" max="4" width="21" style="2" customWidth="1"/>
    <col min="5" max="5" width="32.28515625" style="2" bestFit="1" customWidth="1"/>
    <col min="6" max="6" width="11.42578125" style="2"/>
    <col min="7" max="7" width="27.140625" style="2" bestFit="1" customWidth="1"/>
    <col min="8" max="9" width="14.140625" style="2" bestFit="1" customWidth="1"/>
    <col min="10" max="16384" width="11.42578125" style="2"/>
  </cols>
  <sheetData>
    <row r="1" spans="2:9" s="243" customFormat="1" x14ac:dyDescent="0.25"/>
    <row r="5" spans="2:9" x14ac:dyDescent="0.2">
      <c r="B5" s="69" t="s">
        <v>326</v>
      </c>
    </row>
    <row r="7" spans="2:9" ht="30" customHeight="1" x14ac:dyDescent="0.25">
      <c r="B7" s="416" t="s">
        <v>424</v>
      </c>
      <c r="C7" s="414" t="s">
        <v>425</v>
      </c>
      <c r="D7" s="414" t="s">
        <v>426</v>
      </c>
      <c r="E7" s="52" t="s">
        <v>427</v>
      </c>
    </row>
    <row r="8" spans="2:9" ht="15" x14ac:dyDescent="0.2">
      <c r="B8" s="417"/>
      <c r="C8" s="415"/>
      <c r="D8" s="415"/>
      <c r="E8" s="53">
        <v>0.52</v>
      </c>
    </row>
    <row r="9" spans="2:9" x14ac:dyDescent="0.2">
      <c r="B9" s="248" t="s">
        <v>262</v>
      </c>
      <c r="C9" s="55">
        <f>1500000*12</f>
        <v>18000000</v>
      </c>
      <c r="D9" s="249">
        <f>+IF(B5=B40,C40,IF(B5=B41,C41))</f>
        <v>42855000</v>
      </c>
      <c r="E9" s="56">
        <f>+(C9+D9)*$E$8</f>
        <v>31644600</v>
      </c>
      <c r="F9" s="48">
        <f>+E9+D9+C9</f>
        <v>92499600</v>
      </c>
    </row>
    <row r="10" spans="2:9" x14ac:dyDescent="0.2">
      <c r="B10" s="248" t="s">
        <v>263</v>
      </c>
      <c r="C10" s="55">
        <f t="shared" ref="C10:C12" si="0">1500000*12</f>
        <v>18000000</v>
      </c>
      <c r="D10" s="249">
        <f>+D9</f>
        <v>42855000</v>
      </c>
      <c r="E10" s="56">
        <f>+(C10+D10)*$E$8</f>
        <v>31644600</v>
      </c>
      <c r="F10" s="48">
        <f t="shared" ref="F10:F12" si="1">+E10+D10+C10</f>
        <v>92499600</v>
      </c>
    </row>
    <row r="11" spans="2:9" ht="15" x14ac:dyDescent="0.25">
      <c r="B11" s="248" t="s">
        <v>264</v>
      </c>
      <c r="C11" s="55">
        <f t="shared" si="0"/>
        <v>18000000</v>
      </c>
      <c r="D11" s="249">
        <f t="shared" ref="D11:D12" si="2">+D10</f>
        <v>42855000</v>
      </c>
      <c r="E11" s="56">
        <f t="shared" ref="E11:E12" si="3">+(C11+D11)*$E$8</f>
        <v>31644600</v>
      </c>
      <c r="F11" s="48">
        <f t="shared" si="1"/>
        <v>92499600</v>
      </c>
      <c r="G11" s="246" t="s">
        <v>484</v>
      </c>
    </row>
    <row r="12" spans="2:9" x14ac:dyDescent="0.2">
      <c r="B12" s="248" t="s">
        <v>265</v>
      </c>
      <c r="C12" s="55">
        <f t="shared" si="0"/>
        <v>18000000</v>
      </c>
      <c r="D12" s="249">
        <f t="shared" si="2"/>
        <v>42855000</v>
      </c>
      <c r="E12" s="56">
        <f t="shared" si="3"/>
        <v>31644600</v>
      </c>
      <c r="F12" s="48">
        <f t="shared" si="1"/>
        <v>92499600</v>
      </c>
      <c r="G12" s="48">
        <f>SUM(F9:F12)</f>
        <v>369998400</v>
      </c>
      <c r="H12" s="2" t="s">
        <v>479</v>
      </c>
    </row>
    <row r="13" spans="2:9" x14ac:dyDescent="0.2">
      <c r="B13" s="54" t="s">
        <v>266</v>
      </c>
      <c r="C13" s="55">
        <v>96000000</v>
      </c>
      <c r="D13" s="55"/>
      <c r="E13" s="56">
        <f>+C13*$E$8</f>
        <v>49920000</v>
      </c>
      <c r="G13" s="48">
        <f>+G12*(1+increase_other_expenses)</f>
        <v>392198304</v>
      </c>
      <c r="H13" s="2" t="s">
        <v>480</v>
      </c>
    </row>
    <row r="14" spans="2:9" x14ac:dyDescent="0.2">
      <c r="B14" s="54" t="s">
        <v>267</v>
      </c>
      <c r="C14" s="55">
        <v>96000000</v>
      </c>
      <c r="D14" s="55"/>
      <c r="E14" s="56">
        <f>+C14*$E$8</f>
        <v>49920000</v>
      </c>
      <c r="G14" s="48">
        <f>+G13*(1+increase_other_expenses)</f>
        <v>415730202.24000001</v>
      </c>
      <c r="H14" s="2" t="s">
        <v>481</v>
      </c>
    </row>
    <row r="15" spans="2:9" x14ac:dyDescent="0.2">
      <c r="B15" s="54" t="s">
        <v>268</v>
      </c>
      <c r="C15" s="55">
        <v>12000000</v>
      </c>
      <c r="D15" s="55"/>
      <c r="E15" s="56">
        <f>+C15*$E$8</f>
        <v>6240000</v>
      </c>
      <c r="G15" s="48">
        <f>+G14*(1+increase_other_expenses)</f>
        <v>440674014.37440002</v>
      </c>
      <c r="H15" s="2" t="s">
        <v>482</v>
      </c>
    </row>
    <row r="16" spans="2:9" ht="15" x14ac:dyDescent="0.25">
      <c r="B16" s="57" t="s">
        <v>54</v>
      </c>
      <c r="C16" s="58">
        <f>SUM(C9:C15)</f>
        <v>276000000</v>
      </c>
      <c r="D16" s="58">
        <f>+SUM(D9:D15)</f>
        <v>171420000</v>
      </c>
      <c r="E16" s="59">
        <f>SUM(E9:E15)</f>
        <v>232658400</v>
      </c>
      <c r="G16" s="48">
        <f>+G15*(1+increase_other_expenses)</f>
        <v>467114455.23686403</v>
      </c>
      <c r="H16" s="2" t="s">
        <v>483</v>
      </c>
      <c r="I16" s="23"/>
    </row>
    <row r="17" spans="2:9" ht="15" x14ac:dyDescent="0.25">
      <c r="B17" s="57" t="s">
        <v>327</v>
      </c>
      <c r="C17" s="249">
        <f>3000*'1.4 Base Otros Supuestos'!B24</f>
        <v>10500000</v>
      </c>
      <c r="D17" s="54"/>
      <c r="E17" s="54"/>
      <c r="G17" s="48"/>
      <c r="I17" s="23"/>
    </row>
    <row r="18" spans="2:9" ht="15" x14ac:dyDescent="0.25">
      <c r="B18" s="60" t="s">
        <v>153</v>
      </c>
      <c r="C18" s="61">
        <f>+C16+D16+E16+C17</f>
        <v>690578400</v>
      </c>
      <c r="D18" s="244"/>
      <c r="E18" s="244"/>
      <c r="H18" s="245"/>
    </row>
    <row r="21" spans="2:9" ht="15" x14ac:dyDescent="0.25">
      <c r="B21" s="66" t="s">
        <v>271</v>
      </c>
      <c r="E21" s="4"/>
    </row>
    <row r="22" spans="2:9" x14ac:dyDescent="0.2">
      <c r="B22" s="2" t="s">
        <v>471</v>
      </c>
      <c r="C22" s="2">
        <v>4</v>
      </c>
      <c r="E22" s="4"/>
    </row>
    <row r="23" spans="2:9" x14ac:dyDescent="0.2">
      <c r="E23" s="4"/>
    </row>
    <row r="24" spans="2:9" ht="15" x14ac:dyDescent="0.25">
      <c r="C24" s="246" t="s">
        <v>269</v>
      </c>
      <c r="D24" s="246" t="s">
        <v>270</v>
      </c>
    </row>
    <row r="25" spans="2:9" x14ac:dyDescent="0.2">
      <c r="B25" s="2" t="s">
        <v>472</v>
      </c>
      <c r="C25" s="4">
        <f>(SUM('2.1 Cálculo Ingreso por Fee'!$D$16:$D$18)*'2.1 Cálculo Ingreso por Fee'!$D$30)/$C$22</f>
        <v>54.87</v>
      </c>
      <c r="D25" s="14">
        <f>+C25/12</f>
        <v>4.5724999999999998</v>
      </c>
    </row>
    <row r="26" spans="2:9" x14ac:dyDescent="0.2">
      <c r="B26" s="2" t="s">
        <v>473</v>
      </c>
      <c r="C26" s="4">
        <f>(SUM('2.1 Cálculo Ingreso por Fee'!$E$16:$E$18)*'2.1 Cálculo Ingreso por Fee'!$E$30)/$C$22</f>
        <v>17.422499999999999</v>
      </c>
      <c r="D26" s="14">
        <f>+C26/12</f>
        <v>1.451875</v>
      </c>
    </row>
    <row r="27" spans="2:9" ht="15" x14ac:dyDescent="0.25">
      <c r="B27" s="11" t="s">
        <v>474</v>
      </c>
      <c r="C27" s="247">
        <f>((SUM('2.1 Cálculo Ingreso por Fee'!D16:D18)*'2.1 Cálculo Ingreso por Fee'!D30*C45+SUM('2.1 Cálculo Ingreso por Fee'!E16:E18)*'2.1 Cálculo Ingreso por Fee'!E30*C46))/2</f>
        <v>42855000</v>
      </c>
    </row>
    <row r="29" spans="2:9" ht="15" x14ac:dyDescent="0.25">
      <c r="B29" s="66" t="s">
        <v>321</v>
      </c>
    </row>
    <row r="30" spans="2:9" x14ac:dyDescent="0.2">
      <c r="B30" s="2" t="s">
        <v>471</v>
      </c>
      <c r="C30" s="2">
        <v>4</v>
      </c>
    </row>
    <row r="32" spans="2:9" ht="15" x14ac:dyDescent="0.25">
      <c r="C32" s="246" t="s">
        <v>269</v>
      </c>
      <c r="D32" s="246" t="s">
        <v>270</v>
      </c>
      <c r="E32" s="330" t="s">
        <v>475</v>
      </c>
    </row>
    <row r="33" spans="2:5" x14ac:dyDescent="0.2">
      <c r="B33" s="2" t="str">
        <f>+B25</f>
        <v>Número de compañias alcanzadas por Ejecutivo de Venta (Medianas)</v>
      </c>
      <c r="C33" s="5">
        <f>(SUM('2.2 Cálculo Ingreso PPU'!$D$10:$D$12)*'2.2 Cálculo Ingreso PPU'!D15*'2.2 Cálculo Ingreso PPU'!D16)</f>
        <v>3622.0416020080143</v>
      </c>
      <c r="D33" s="14">
        <f>+C33/12</f>
        <v>301.8368001673345</v>
      </c>
      <c r="E33" s="120"/>
    </row>
    <row r="34" spans="2:5" x14ac:dyDescent="0.2">
      <c r="B34" s="2" t="str">
        <f>+B26</f>
        <v>Número de compañias alcanzadas por Ejecutivo de Venta (Grandes)</v>
      </c>
      <c r="C34" s="5">
        <f>+SUM('2.2 Cálculo Ingreso PPU'!E10:E12)*'2.2 Cálculo Ingreso PPU'!E15*'2.2 Cálculo Ingreso PPU'!E16</f>
        <v>3774.827651577968</v>
      </c>
      <c r="D34" s="14">
        <f>+C34/12</f>
        <v>314.56897096483067</v>
      </c>
      <c r="E34" s="120"/>
    </row>
    <row r="35" spans="2:5" x14ac:dyDescent="0.2">
      <c r="B35" s="2" t="s">
        <v>322</v>
      </c>
      <c r="C35" s="14">
        <f>+C33*'3 Proyecciones Otros Periodos'!$B$95*E35</f>
        <v>7606287.3642168297</v>
      </c>
      <c r="E35" s="331">
        <v>0.06</v>
      </c>
    </row>
    <row r="36" spans="2:5" x14ac:dyDescent="0.2">
      <c r="B36" s="2" t="s">
        <v>323</v>
      </c>
      <c r="C36" s="14">
        <f>+C34*'3 Proyecciones Otros Periodos'!$B$95*E36</f>
        <v>13211896.780522889</v>
      </c>
      <c r="E36" s="331">
        <v>0.1</v>
      </c>
    </row>
    <row r="37" spans="2:5" ht="15" x14ac:dyDescent="0.25">
      <c r="B37" s="11" t="s">
        <v>324</v>
      </c>
      <c r="C37" s="17">
        <f>+SUM(C35:C36)</f>
        <v>20818184.144739717</v>
      </c>
      <c r="E37" s="120"/>
    </row>
    <row r="39" spans="2:5" ht="15" x14ac:dyDescent="0.25">
      <c r="B39" s="11" t="s">
        <v>325</v>
      </c>
    </row>
    <row r="40" spans="2:5" ht="15" x14ac:dyDescent="0.25">
      <c r="B40" s="11" t="s">
        <v>326</v>
      </c>
      <c r="C40" s="4">
        <f>+C27</f>
        <v>42855000</v>
      </c>
    </row>
    <row r="41" spans="2:5" ht="15" x14ac:dyDescent="0.25">
      <c r="B41" s="11" t="s">
        <v>157</v>
      </c>
      <c r="C41" s="4">
        <f>+C37</f>
        <v>20818184.144739717</v>
      </c>
    </row>
    <row r="42" spans="2:5" x14ac:dyDescent="0.2">
      <c r="E42" s="4">
        <f>(SUM('2.2 Cálculo Ingreso PPU'!$D$10:$D$12)*'2.2 Cálculo Ingreso PPU'!D15*'2.2 Cálculo Ingreso PPU'!D16)*$E$35*'3 Proyecciones Otros Periodos'!$B$95</f>
        <v>7606287.3642168297</v>
      </c>
    </row>
    <row r="43" spans="2:5" x14ac:dyDescent="0.2">
      <c r="E43" s="4">
        <f>+SUM('2.2 Cálculo Ingreso PPU'!E10:E12)*'2.2 Cálculo Ingreso PPU'!E15*'2.2 Cálculo Ingreso PPU'!E16*$E$36*'3 Proyecciones Otros Periodos'!$B$95</f>
        <v>13211896.78052289</v>
      </c>
    </row>
    <row r="45" spans="2:5" x14ac:dyDescent="0.2">
      <c r="B45" s="85" t="s">
        <v>299</v>
      </c>
      <c r="C45" s="16">
        <v>200000</v>
      </c>
    </row>
    <row r="46" spans="2:5" x14ac:dyDescent="0.2">
      <c r="B46" s="85" t="s">
        <v>298</v>
      </c>
      <c r="C46" s="16">
        <v>600000</v>
      </c>
    </row>
    <row r="48" spans="2:5" x14ac:dyDescent="0.2">
      <c r="B48" s="2" t="s">
        <v>171</v>
      </c>
    </row>
    <row r="50" spans="2:5" ht="42.75" x14ac:dyDescent="0.2">
      <c r="B50" s="30" t="s">
        <v>172</v>
      </c>
    </row>
    <row r="51" spans="2:5" ht="16.5" customHeight="1" x14ac:dyDescent="0.25">
      <c r="B51" s="2" t="s">
        <v>404</v>
      </c>
    </row>
    <row r="52" spans="2:5" x14ac:dyDescent="0.2">
      <c r="B52" s="2" t="s">
        <v>173</v>
      </c>
    </row>
    <row r="53" spans="2:5" x14ac:dyDescent="0.2">
      <c r="B53" s="2" t="s">
        <v>286</v>
      </c>
    </row>
    <row r="54" spans="2:5" ht="15" x14ac:dyDescent="0.25">
      <c r="B54" s="2" t="s">
        <v>406</v>
      </c>
    </row>
    <row r="55" spans="2:5" ht="15" x14ac:dyDescent="0.25">
      <c r="B55" s="2" t="s">
        <v>405</v>
      </c>
    </row>
    <row r="56" spans="2:5" ht="15" x14ac:dyDescent="0.25">
      <c r="B56" s="2" t="s">
        <v>407</v>
      </c>
    </row>
    <row r="57" spans="2:5" x14ac:dyDescent="0.2">
      <c r="B57" s="2" t="s">
        <v>174</v>
      </c>
    </row>
    <row r="58" spans="2:5" ht="15" x14ac:dyDescent="0.25">
      <c r="B58" s="2" t="s">
        <v>409</v>
      </c>
    </row>
    <row r="59" spans="2:5" ht="15" x14ac:dyDescent="0.25">
      <c r="B59" s="2" t="s">
        <v>408</v>
      </c>
    </row>
    <row r="61" spans="2:5" ht="15" x14ac:dyDescent="0.25">
      <c r="B61" s="11" t="s">
        <v>287</v>
      </c>
      <c r="C61" s="420" t="s">
        <v>428</v>
      </c>
      <c r="D61" s="267" t="s">
        <v>183</v>
      </c>
      <c r="E61" s="268" t="s">
        <v>182</v>
      </c>
    </row>
    <row r="62" spans="2:5" ht="15" x14ac:dyDescent="0.25">
      <c r="C62" s="421"/>
      <c r="D62" s="418" t="s">
        <v>177</v>
      </c>
      <c r="E62" s="419"/>
    </row>
    <row r="63" spans="2:5" ht="15" x14ac:dyDescent="0.25">
      <c r="B63" s="11" t="s">
        <v>175</v>
      </c>
      <c r="C63" s="271" t="s">
        <v>176</v>
      </c>
      <c r="D63" s="264">
        <v>10</v>
      </c>
      <c r="E63" s="264">
        <v>4</v>
      </c>
    </row>
    <row r="64" spans="2:5" x14ac:dyDescent="0.2">
      <c r="C64" s="271" t="s">
        <v>178</v>
      </c>
      <c r="D64" s="264">
        <v>34</v>
      </c>
      <c r="E64" s="264">
        <v>17</v>
      </c>
    </row>
    <row r="65" spans="3:5" x14ac:dyDescent="0.2">
      <c r="C65" s="271" t="s">
        <v>179</v>
      </c>
      <c r="D65" s="264">
        <v>13</v>
      </c>
      <c r="E65" s="264">
        <v>11</v>
      </c>
    </row>
    <row r="66" spans="3:5" x14ac:dyDescent="0.2">
      <c r="C66" s="271" t="s">
        <v>180</v>
      </c>
      <c r="D66" s="264">
        <v>1</v>
      </c>
      <c r="E66" s="264">
        <v>1</v>
      </c>
    </row>
    <row r="67" spans="3:5" x14ac:dyDescent="0.2">
      <c r="C67" s="271" t="s">
        <v>181</v>
      </c>
      <c r="D67" s="264">
        <v>2</v>
      </c>
      <c r="E67" s="264">
        <v>1</v>
      </c>
    </row>
    <row r="68" spans="3:5" hidden="1" x14ac:dyDescent="0.2">
      <c r="C68" s="274"/>
      <c r="D68" s="110"/>
      <c r="E68" s="276"/>
    </row>
    <row r="69" spans="3:5" ht="15" x14ac:dyDescent="0.2">
      <c r="C69" s="267" t="s">
        <v>184</v>
      </c>
      <c r="D69" s="267">
        <v>60</v>
      </c>
      <c r="E69" s="267">
        <v>34</v>
      </c>
    </row>
    <row r="70" spans="3:5" x14ac:dyDescent="0.2">
      <c r="C70" s="270" t="s">
        <v>176</v>
      </c>
      <c r="D70" s="275">
        <f>+D63/$D$69</f>
        <v>0.16666666666666666</v>
      </c>
      <c r="E70" s="275">
        <f>+E63/$E$69</f>
        <v>0.11764705882352941</v>
      </c>
    </row>
    <row r="71" spans="3:5" x14ac:dyDescent="0.2">
      <c r="C71" s="271" t="s">
        <v>178</v>
      </c>
      <c r="D71" s="273">
        <f t="shared" ref="D71:D74" si="4">+D64/$D$69</f>
        <v>0.56666666666666665</v>
      </c>
      <c r="E71" s="273">
        <f t="shared" ref="E71:E74" si="5">+E64/$E$69</f>
        <v>0.5</v>
      </c>
    </row>
    <row r="72" spans="3:5" x14ac:dyDescent="0.2">
      <c r="C72" s="271" t="s">
        <v>179</v>
      </c>
      <c r="D72" s="273">
        <f t="shared" si="4"/>
        <v>0.21666666666666667</v>
      </c>
      <c r="E72" s="273">
        <f t="shared" si="5"/>
        <v>0.3235294117647059</v>
      </c>
    </row>
    <row r="73" spans="3:5" x14ac:dyDescent="0.2">
      <c r="C73" s="271" t="s">
        <v>180</v>
      </c>
      <c r="D73" s="265">
        <f t="shared" si="4"/>
        <v>1.6666666666666666E-2</v>
      </c>
      <c r="E73" s="265">
        <f t="shared" si="5"/>
        <v>2.9411764705882353E-2</v>
      </c>
    </row>
    <row r="74" spans="3:5" x14ac:dyDescent="0.2">
      <c r="C74" s="272" t="s">
        <v>181</v>
      </c>
      <c r="D74" s="269">
        <f t="shared" si="4"/>
        <v>3.3333333333333333E-2</v>
      </c>
      <c r="E74" s="269">
        <f t="shared" si="5"/>
        <v>2.9411764705882353E-2</v>
      </c>
    </row>
    <row r="75" spans="3:5" x14ac:dyDescent="0.2">
      <c r="C75" s="252"/>
      <c r="D75" s="252"/>
      <c r="E75" s="252"/>
    </row>
    <row r="76" spans="3:5" x14ac:dyDescent="0.2">
      <c r="C76" s="171"/>
      <c r="D76" s="171"/>
      <c r="E76" s="171"/>
    </row>
  </sheetData>
  <mergeCells count="5">
    <mergeCell ref="C7:C8"/>
    <mergeCell ref="B7:B8"/>
    <mergeCell ref="D7:D8"/>
    <mergeCell ref="D62:E62"/>
    <mergeCell ref="C61:C62"/>
  </mergeCells>
  <phoneticPr fontId="5" type="noConversion"/>
  <dataValidations count="1">
    <dataValidation type="list" allowBlank="1" showInputMessage="1" showErrorMessage="1" sqref="B5" xr:uid="{C9A1EE14-B8FA-42C3-BE7B-F3C63E55EFEE}">
      <formula1>$B$40:$B$41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N96"/>
  <sheetViews>
    <sheetView showGridLines="0" zoomScaleNormal="100" workbookViewId="0">
      <selection activeCell="A6" sqref="A6"/>
    </sheetView>
  </sheetViews>
  <sheetFormatPr baseColWidth="10" defaultColWidth="11.42578125" defaultRowHeight="15" x14ac:dyDescent="0.25"/>
  <cols>
    <col min="1" max="1" width="38.42578125" style="2" customWidth="1"/>
    <col min="2" max="2" width="20.85546875" style="2" bestFit="1" customWidth="1"/>
    <col min="3" max="3" width="19.140625" style="2" customWidth="1"/>
    <col min="4" max="4" width="20.42578125" style="2" bestFit="1" customWidth="1"/>
    <col min="5" max="5" width="17.7109375" style="11" bestFit="1" customWidth="1"/>
    <col min="6" max="6" width="22" style="2" bestFit="1" customWidth="1"/>
    <col min="7" max="10" width="15.42578125" style="2" bestFit="1" customWidth="1"/>
    <col min="11" max="11" width="11.42578125" style="2" bestFit="1" customWidth="1"/>
    <col min="12" max="12" width="23.42578125" style="2" bestFit="1" customWidth="1"/>
    <col min="13" max="13" width="9.140625" style="2" bestFit="1" customWidth="1"/>
    <col min="14" max="14" width="11.42578125" style="2" bestFit="1" customWidth="1"/>
    <col min="15" max="16384" width="11.42578125" style="2"/>
  </cols>
  <sheetData>
    <row r="4" spans="1:10" ht="20.25" x14ac:dyDescent="0.3">
      <c r="A4" s="12" t="s">
        <v>52</v>
      </c>
      <c r="B4" s="29"/>
      <c r="C4" s="13"/>
      <c r="D4" s="13"/>
      <c r="E4" s="26"/>
    </row>
    <row r="5" spans="1:10" x14ac:dyDescent="0.25">
      <c r="A5" s="12" t="s">
        <v>300</v>
      </c>
      <c r="B5" s="13"/>
      <c r="C5" s="13"/>
      <c r="D5" s="13"/>
      <c r="E5" s="26"/>
    </row>
    <row r="6" spans="1:10" x14ac:dyDescent="0.25">
      <c r="A6" s="13" t="s">
        <v>301</v>
      </c>
      <c r="B6" s="13"/>
      <c r="C6" s="13"/>
      <c r="D6" s="13"/>
      <c r="E6" s="26"/>
    </row>
    <row r="7" spans="1:10" x14ac:dyDescent="0.25">
      <c r="A7" s="13"/>
      <c r="F7" s="18" t="s">
        <v>470</v>
      </c>
    </row>
    <row r="8" spans="1:10" x14ac:dyDescent="0.25">
      <c r="A8" s="18" t="s">
        <v>56</v>
      </c>
      <c r="B8" s="119"/>
      <c r="C8" s="119" t="s">
        <v>302</v>
      </c>
      <c r="D8" s="119"/>
      <c r="F8" s="119">
        <v>1</v>
      </c>
      <c r="G8" s="119">
        <v>2</v>
      </c>
      <c r="H8" s="119">
        <v>3</v>
      </c>
      <c r="I8" s="119">
        <v>4</v>
      </c>
      <c r="J8" s="119">
        <v>5</v>
      </c>
    </row>
    <row r="9" spans="1:10" x14ac:dyDescent="0.25">
      <c r="A9" s="69" t="s">
        <v>156</v>
      </c>
      <c r="B9" s="19"/>
      <c r="C9" s="14">
        <f>+VLOOKUP(A9,$A$88:$B$89,2,FALSE)</f>
        <v>1650726945</v>
      </c>
      <c r="D9" s="19"/>
      <c r="F9" s="113">
        <f>+C9</f>
        <v>1650726945</v>
      </c>
      <c r="G9" s="114">
        <f>+F9*(1+Increase_in_prices+'1.4 Base Otros Supuestos'!B9)</f>
        <v>1700248753.3500001</v>
      </c>
      <c r="H9" s="114">
        <f>+G9*(1+Increase_in_prices+'1.4 Base Otros Supuestos'!B9)</f>
        <v>1751256215.9505002</v>
      </c>
      <c r="I9" s="114">
        <f>+H9*(1+Increase_in_prices+'1.4 Base Otros Supuestos'!B9)</f>
        <v>1803793902.4290154</v>
      </c>
      <c r="J9" s="114">
        <f>+I9*(1+Increase_in_prices+'1.4 Base Otros Supuestos'!B9)</f>
        <v>1857907719.5018859</v>
      </c>
    </row>
    <row r="10" spans="1:10" x14ac:dyDescent="0.25">
      <c r="A10" s="2" t="s">
        <v>370</v>
      </c>
      <c r="B10" s="19"/>
      <c r="C10" s="14">
        <v>0</v>
      </c>
      <c r="D10" s="19"/>
      <c r="F10" s="14">
        <f>+C10</f>
        <v>0</v>
      </c>
      <c r="G10" s="28">
        <f t="shared" ref="G10:J11" si="0">F10*(1+Increase_in_prices)</f>
        <v>0</v>
      </c>
      <c r="H10" s="28">
        <f t="shared" si="0"/>
        <v>0</v>
      </c>
      <c r="I10" s="28">
        <f t="shared" si="0"/>
        <v>0</v>
      </c>
      <c r="J10" s="28">
        <f t="shared" si="0"/>
        <v>0</v>
      </c>
    </row>
    <row r="11" spans="1:10" x14ac:dyDescent="0.25">
      <c r="A11" s="2" t="s">
        <v>432</v>
      </c>
      <c r="B11" s="19"/>
      <c r="C11" s="14">
        <v>0</v>
      </c>
      <c r="D11" s="19"/>
      <c r="F11" s="14">
        <f>+C11</f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</row>
    <row r="12" spans="1:10" x14ac:dyDescent="0.25">
      <c r="B12" s="14"/>
      <c r="C12" s="14"/>
      <c r="D12" s="14"/>
      <c r="F12" s="14"/>
      <c r="G12" s="14"/>
      <c r="H12" s="14"/>
      <c r="I12" s="14"/>
      <c r="J12" s="14"/>
    </row>
    <row r="13" spans="1:10" x14ac:dyDescent="0.25">
      <c r="A13" s="11" t="s">
        <v>31</v>
      </c>
      <c r="B13" s="11"/>
      <c r="C13" s="15">
        <f>SUM(C9:C12)</f>
        <v>1650726945</v>
      </c>
      <c r="D13" s="15"/>
    </row>
    <row r="16" spans="1:10" x14ac:dyDescent="0.25">
      <c r="A16" s="12" t="s">
        <v>52</v>
      </c>
      <c r="B16" s="13"/>
      <c r="C16" s="13"/>
      <c r="E16" s="27"/>
      <c r="F16" s="373" t="s">
        <v>316</v>
      </c>
      <c r="G16" s="373"/>
      <c r="H16" s="373"/>
      <c r="I16" s="373"/>
      <c r="J16" s="373"/>
    </row>
    <row r="17" spans="1:12" x14ac:dyDescent="0.25">
      <c r="A17" s="12" t="s">
        <v>303</v>
      </c>
      <c r="B17" s="13"/>
      <c r="C17" s="13"/>
    </row>
    <row r="18" spans="1:12" x14ac:dyDescent="0.25">
      <c r="A18" s="13" t="s">
        <v>319</v>
      </c>
      <c r="B18" s="13"/>
      <c r="C18" s="13"/>
    </row>
    <row r="19" spans="1:12" x14ac:dyDescent="0.25">
      <c r="F19" s="18" t="s">
        <v>315</v>
      </c>
    </row>
    <row r="20" spans="1:12" x14ac:dyDescent="0.25">
      <c r="A20" s="18" t="s">
        <v>433</v>
      </c>
      <c r="C20" s="119" t="s">
        <v>317</v>
      </c>
      <c r="F20" s="112">
        <v>1</v>
      </c>
      <c r="G20" s="112">
        <v>2</v>
      </c>
      <c r="H20" s="112">
        <v>3</v>
      </c>
      <c r="I20" s="112">
        <v>4</v>
      </c>
      <c r="J20" s="112">
        <v>5</v>
      </c>
    </row>
    <row r="21" spans="1:12" x14ac:dyDescent="0.25">
      <c r="A21" s="2" t="s">
        <v>389</v>
      </c>
      <c r="C21" s="20">
        <f>+C13*'1.4 Base Otros Supuestos'!B10</f>
        <v>214594502.84999999</v>
      </c>
      <c r="F21" s="113">
        <f>+F9*'1.4 Base Otros Supuestos'!B10</f>
        <v>214594502.84999999</v>
      </c>
      <c r="G21" s="113">
        <f>+G9*'1.4 Base Otros Supuestos'!B10</f>
        <v>221032337.93550003</v>
      </c>
      <c r="H21" s="113">
        <f>+H9*'1.4 Base Otros Supuestos'!B10</f>
        <v>227663308.07356504</v>
      </c>
      <c r="I21" s="113">
        <f>+I9*'1.4 Base Otros Supuestos'!B10</f>
        <v>234493207.315772</v>
      </c>
      <c r="J21" s="113">
        <f>+J9*'1.4 Base Otros Supuestos'!B10</f>
        <v>241528003.53524518</v>
      </c>
    </row>
    <row r="22" spans="1:12" hidden="1" x14ac:dyDescent="0.25">
      <c r="A22" s="2" t="s">
        <v>58</v>
      </c>
      <c r="C22" s="14">
        <v>0</v>
      </c>
      <c r="F22" s="113">
        <f>+C22</f>
        <v>0</v>
      </c>
      <c r="G22" s="114">
        <f t="shared" ref="G22:J24" si="1">+F22*(1+Increase_in_costs)</f>
        <v>0</v>
      </c>
      <c r="H22" s="114">
        <f t="shared" si="1"/>
        <v>0</v>
      </c>
      <c r="I22" s="114">
        <f t="shared" si="1"/>
        <v>0</v>
      </c>
      <c r="J22" s="114">
        <f t="shared" si="1"/>
        <v>0</v>
      </c>
    </row>
    <row r="23" spans="1:12" hidden="1" x14ac:dyDescent="0.25">
      <c r="A23" s="2" t="s">
        <v>57</v>
      </c>
      <c r="C23" s="14">
        <v>0</v>
      </c>
      <c r="F23" s="113" t="e">
        <f>+#REF!</f>
        <v>#REF!</v>
      </c>
      <c r="G23" s="114" t="e">
        <f>+#REF!</f>
        <v>#REF!</v>
      </c>
      <c r="H23" s="114" t="e">
        <f>+#REF!</f>
        <v>#REF!</v>
      </c>
      <c r="I23" s="114" t="e">
        <f>+#REF!</f>
        <v>#REF!</v>
      </c>
      <c r="J23" s="114" t="e">
        <f>+#REF!</f>
        <v>#REF!</v>
      </c>
    </row>
    <row r="24" spans="1:12" hidden="1" x14ac:dyDescent="0.25">
      <c r="A24" s="2" t="s">
        <v>59</v>
      </c>
      <c r="C24" s="14">
        <v>0</v>
      </c>
      <c r="F24" s="113">
        <f>+C24</f>
        <v>0</v>
      </c>
      <c r="G24" s="114">
        <f t="shared" si="1"/>
        <v>0</v>
      </c>
      <c r="H24" s="114">
        <f t="shared" si="1"/>
        <v>0</v>
      </c>
      <c r="I24" s="114">
        <f t="shared" si="1"/>
        <v>0</v>
      </c>
      <c r="J24" s="114">
        <f t="shared" si="1"/>
        <v>0</v>
      </c>
      <c r="K24" s="7"/>
      <c r="L24" s="7"/>
    </row>
    <row r="25" spans="1:12" x14ac:dyDescent="0.25">
      <c r="C25" s="14"/>
      <c r="F25" s="113"/>
      <c r="G25" s="115"/>
      <c r="H25" s="115"/>
      <c r="I25" s="115"/>
      <c r="J25" s="115"/>
      <c r="K25" s="7"/>
      <c r="L25" s="7"/>
    </row>
    <row r="26" spans="1:12" x14ac:dyDescent="0.25">
      <c r="C26" s="16"/>
      <c r="F26" s="110"/>
      <c r="G26" s="110"/>
      <c r="H26" s="110"/>
      <c r="I26" s="110"/>
      <c r="J26" s="110"/>
    </row>
    <row r="27" spans="1:12" x14ac:dyDescent="0.25">
      <c r="C27" s="16"/>
      <c r="E27" s="11" t="s">
        <v>303</v>
      </c>
      <c r="F27" s="116">
        <f>+'4.1 Resultados Proyectados'!B21-'4.0 Balance Base'!F16+'4.2 Balance Proyectado'!B15</f>
        <v>214594502.84999999</v>
      </c>
      <c r="G27" s="116">
        <f>+'4.1 Resultados Proyectados'!C21-'4.2 Balance Proyectado'!B15+'4.2 Balance Proyectado'!C15</f>
        <v>221032337.93550003</v>
      </c>
      <c r="H27" s="116">
        <f>+'4.1 Resultados Proyectados'!D21-'4.2 Balance Proyectado'!C15+'4.2 Balance Proyectado'!D15</f>
        <v>227663308.07356504</v>
      </c>
      <c r="I27" s="116">
        <f>+'4.1 Resultados Proyectados'!E21-'4.2 Balance Proyectado'!D15+'4.2 Balance Proyectado'!E15</f>
        <v>234493207.315772</v>
      </c>
      <c r="J27" s="116">
        <f>+'4.1 Resultados Proyectados'!F21-'4.2 Balance Proyectado'!E15+'4.2 Balance Proyectado'!F15</f>
        <v>241528003.53524518</v>
      </c>
    </row>
    <row r="28" spans="1:12" x14ac:dyDescent="0.25">
      <c r="C28" s="16"/>
      <c r="F28" s="116"/>
      <c r="G28" s="116"/>
      <c r="H28" s="116"/>
      <c r="I28" s="116"/>
      <c r="J28" s="116"/>
    </row>
    <row r="29" spans="1:12" x14ac:dyDescent="0.25">
      <c r="F29" s="110"/>
      <c r="G29" s="110"/>
      <c r="H29" s="110"/>
      <c r="I29" s="110"/>
      <c r="J29" s="110"/>
    </row>
    <row r="30" spans="1:12" x14ac:dyDescent="0.25">
      <c r="A30" s="12" t="s">
        <v>52</v>
      </c>
      <c r="B30" s="13"/>
      <c r="F30" s="110"/>
      <c r="G30" s="110"/>
      <c r="H30" s="110"/>
      <c r="I30" s="110"/>
      <c r="J30" s="110"/>
    </row>
    <row r="31" spans="1:12" x14ac:dyDescent="0.25">
      <c r="A31" s="12" t="s">
        <v>318</v>
      </c>
      <c r="B31" s="13"/>
      <c r="F31" s="110"/>
      <c r="G31" s="110"/>
      <c r="H31" s="110"/>
      <c r="I31" s="110"/>
      <c r="J31" s="110"/>
    </row>
    <row r="32" spans="1:12" x14ac:dyDescent="0.25">
      <c r="A32" s="13" t="s">
        <v>319</v>
      </c>
      <c r="B32" s="13"/>
      <c r="F32" s="110"/>
      <c r="G32" s="110"/>
      <c r="H32" s="110"/>
      <c r="I32" s="110"/>
      <c r="J32" s="110"/>
    </row>
    <row r="33" spans="1:10" x14ac:dyDescent="0.25">
      <c r="C33" s="120"/>
      <c r="F33" s="110"/>
      <c r="G33" s="110"/>
      <c r="H33" s="110"/>
      <c r="I33" s="110"/>
      <c r="J33" s="110"/>
    </row>
    <row r="34" spans="1:10" x14ac:dyDescent="0.25">
      <c r="A34" s="108" t="s">
        <v>272</v>
      </c>
      <c r="B34" s="109">
        <f>+'2.3 Cálculo Gastos Admon &amp; Vtas'!C18</f>
        <v>690578400</v>
      </c>
      <c r="C34" s="120"/>
      <c r="F34" s="116">
        <f>+B34</f>
        <v>690578400</v>
      </c>
      <c r="G34" s="116">
        <f>+F34*1.1</f>
        <v>759636240.00000012</v>
      </c>
      <c r="H34" s="116">
        <f t="shared" ref="H34:J34" si="2">+G34*1.1</f>
        <v>835599864.00000024</v>
      </c>
      <c r="I34" s="116">
        <f t="shared" si="2"/>
        <v>919159850.40000033</v>
      </c>
      <c r="J34" s="116">
        <f t="shared" si="2"/>
        <v>1011075835.4400004</v>
      </c>
    </row>
    <row r="35" spans="1:10" x14ac:dyDescent="0.25">
      <c r="A35" s="110" t="s">
        <v>311</v>
      </c>
      <c r="B35" s="109">
        <v>0</v>
      </c>
      <c r="C35" s="120"/>
      <c r="F35" s="116">
        <f t="shared" ref="F35:F37" si="3">+B35</f>
        <v>0</v>
      </c>
      <c r="G35" s="116">
        <f t="shared" ref="G35:J37" si="4">+F35*1.1</f>
        <v>0</v>
      </c>
      <c r="H35" s="116">
        <f t="shared" si="4"/>
        <v>0</v>
      </c>
      <c r="I35" s="116">
        <f t="shared" si="4"/>
        <v>0</v>
      </c>
      <c r="J35" s="116">
        <f t="shared" si="4"/>
        <v>0</v>
      </c>
    </row>
    <row r="36" spans="1:10" x14ac:dyDescent="0.25">
      <c r="A36" s="110" t="s">
        <v>393</v>
      </c>
      <c r="B36" s="109">
        <f>+'4.0 Balance Base'!F22/5</f>
        <v>34528920</v>
      </c>
      <c r="C36" s="120"/>
      <c r="F36" s="116">
        <f t="shared" si="3"/>
        <v>34528920</v>
      </c>
      <c r="G36" s="116">
        <f>+F36</f>
        <v>34528920</v>
      </c>
      <c r="H36" s="116">
        <f>+G36</f>
        <v>34528920</v>
      </c>
      <c r="I36" s="116">
        <f>+H36</f>
        <v>34528920</v>
      </c>
      <c r="J36" s="116">
        <f>+I36</f>
        <v>34528920</v>
      </c>
    </row>
    <row r="37" spans="1:10" x14ac:dyDescent="0.25">
      <c r="A37" s="110" t="s">
        <v>273</v>
      </c>
      <c r="B37" s="109">
        <f>+'1.1 Base Plan de Mercadeo'!D19-'1.1 Base Plan de Mercadeo'!D16</f>
        <v>310408000</v>
      </c>
      <c r="C37" s="120"/>
      <c r="F37" s="116">
        <f t="shared" si="3"/>
        <v>310408000</v>
      </c>
      <c r="G37" s="116">
        <f t="shared" si="4"/>
        <v>341448800</v>
      </c>
      <c r="H37" s="116">
        <f t="shared" si="4"/>
        <v>375593680.00000006</v>
      </c>
      <c r="I37" s="116">
        <f t="shared" si="4"/>
        <v>413153048.00000012</v>
      </c>
      <c r="J37" s="116">
        <f t="shared" si="4"/>
        <v>454468352.80000019</v>
      </c>
    </row>
    <row r="38" spans="1:10" x14ac:dyDescent="0.25">
      <c r="A38" s="110" t="s">
        <v>274</v>
      </c>
      <c r="B38" s="109">
        <f>+B96</f>
        <v>86296807.958503127</v>
      </c>
      <c r="C38" s="120"/>
      <c r="F38" s="116">
        <f t="shared" ref="F38:F43" si="5">+B38</f>
        <v>86296807.958503127</v>
      </c>
      <c r="G38" s="116">
        <f t="shared" ref="G38:G43" si="6">+F38*1.1</f>
        <v>94926488.754353449</v>
      </c>
      <c r="H38" s="116">
        <f t="shared" ref="H38:H43" si="7">+G38*1.1</f>
        <v>104419137.6297888</v>
      </c>
      <c r="I38" s="116">
        <f t="shared" ref="I38:I43" si="8">+H38*1.1</f>
        <v>114861051.3927677</v>
      </c>
      <c r="J38" s="116">
        <f t="shared" ref="J38:J43" si="9">+I38*1.1</f>
        <v>126347156.53204447</v>
      </c>
    </row>
    <row r="39" spans="1:10" x14ac:dyDescent="0.25">
      <c r="A39" s="110" t="s">
        <v>275</v>
      </c>
      <c r="B39" s="109">
        <f>+(4000000*12)</f>
        <v>48000000</v>
      </c>
      <c r="C39" s="120" t="s">
        <v>304</v>
      </c>
      <c r="F39" s="116">
        <f t="shared" si="5"/>
        <v>48000000</v>
      </c>
      <c r="G39" s="116">
        <f t="shared" si="6"/>
        <v>52800000.000000007</v>
      </c>
      <c r="H39" s="116">
        <f t="shared" si="7"/>
        <v>58080000.000000015</v>
      </c>
      <c r="I39" s="116">
        <f t="shared" si="8"/>
        <v>63888000.000000022</v>
      </c>
      <c r="J39" s="116">
        <f t="shared" si="9"/>
        <v>70276800.00000003</v>
      </c>
    </row>
    <row r="40" spans="1:10" x14ac:dyDescent="0.25">
      <c r="A40" s="110" t="s">
        <v>312</v>
      </c>
      <c r="B40" s="109"/>
      <c r="C40" s="120"/>
      <c r="F40" s="116">
        <f t="shared" si="5"/>
        <v>0</v>
      </c>
      <c r="G40" s="116">
        <f t="shared" si="6"/>
        <v>0</v>
      </c>
      <c r="H40" s="116">
        <f t="shared" si="7"/>
        <v>0</v>
      </c>
      <c r="I40" s="116">
        <f t="shared" si="8"/>
        <v>0</v>
      </c>
      <c r="J40" s="116">
        <f t="shared" si="9"/>
        <v>0</v>
      </c>
    </row>
    <row r="41" spans="1:10" x14ac:dyDescent="0.25">
      <c r="A41" s="110" t="s">
        <v>314</v>
      </c>
      <c r="B41" s="109">
        <v>10000000</v>
      </c>
      <c r="C41" s="120"/>
      <c r="F41" s="116">
        <f>+B41</f>
        <v>10000000</v>
      </c>
      <c r="G41" s="116">
        <f t="shared" si="6"/>
        <v>11000000</v>
      </c>
      <c r="H41" s="116">
        <f t="shared" si="7"/>
        <v>12100000.000000002</v>
      </c>
      <c r="I41" s="116">
        <f t="shared" si="8"/>
        <v>13310000.000000004</v>
      </c>
      <c r="J41" s="116">
        <f t="shared" si="9"/>
        <v>14641000.000000006</v>
      </c>
    </row>
    <row r="42" spans="1:10" x14ac:dyDescent="0.25">
      <c r="A42" s="110" t="s">
        <v>429</v>
      </c>
      <c r="B42" s="109">
        <v>10000000</v>
      </c>
      <c r="C42" s="120"/>
      <c r="F42" s="116">
        <f t="shared" si="5"/>
        <v>10000000</v>
      </c>
      <c r="G42" s="116">
        <f t="shared" si="6"/>
        <v>11000000</v>
      </c>
      <c r="H42" s="116">
        <f t="shared" si="7"/>
        <v>12100000.000000002</v>
      </c>
      <c r="I42" s="116">
        <f t="shared" si="8"/>
        <v>13310000.000000004</v>
      </c>
      <c r="J42" s="116">
        <f t="shared" si="9"/>
        <v>14641000.000000006</v>
      </c>
    </row>
    <row r="43" spans="1:10" x14ac:dyDescent="0.25">
      <c r="A43" s="110" t="s">
        <v>313</v>
      </c>
      <c r="B43" s="109">
        <f>+(B34+B35+B36+B37+B38+B39+B40+B41+B42)*0.4%</f>
        <v>4759248.5118340133</v>
      </c>
      <c r="C43" s="120"/>
      <c r="F43" s="116">
        <f t="shared" si="5"/>
        <v>4759248.5118340133</v>
      </c>
      <c r="G43" s="116">
        <f t="shared" si="6"/>
        <v>5235173.3630174147</v>
      </c>
      <c r="H43" s="116">
        <f t="shared" si="7"/>
        <v>5758690.6993191568</v>
      </c>
      <c r="I43" s="116">
        <f t="shared" si="8"/>
        <v>6334559.7692510728</v>
      </c>
      <c r="J43" s="116">
        <f t="shared" si="9"/>
        <v>6968015.7461761804</v>
      </c>
    </row>
    <row r="44" spans="1:10" x14ac:dyDescent="0.25">
      <c r="C44" s="120"/>
      <c r="F44" s="16"/>
      <c r="G44" s="16"/>
      <c r="H44" s="16"/>
      <c r="I44" s="16"/>
      <c r="J44" s="16"/>
    </row>
    <row r="45" spans="1:10" x14ac:dyDescent="0.25">
      <c r="F45" s="16"/>
      <c r="G45" s="16"/>
      <c r="H45" s="16"/>
      <c r="I45" s="16"/>
      <c r="J45" s="16"/>
    </row>
    <row r="46" spans="1:10" x14ac:dyDescent="0.25">
      <c r="F46" s="4"/>
    </row>
    <row r="47" spans="1:10" x14ac:dyDescent="0.25">
      <c r="A47" s="119" t="s">
        <v>75</v>
      </c>
      <c r="B47" s="119" t="s">
        <v>35</v>
      </c>
      <c r="C47" s="119" t="s">
        <v>36</v>
      </c>
      <c r="D47" s="119" t="s">
        <v>37</v>
      </c>
      <c r="F47" s="16"/>
    </row>
    <row r="48" spans="1:10" x14ac:dyDescent="0.25">
      <c r="A48" s="16" t="s">
        <v>276</v>
      </c>
      <c r="B48" s="16">
        <v>0</v>
      </c>
      <c r="C48" s="2">
        <v>20</v>
      </c>
      <c r="D48" s="28">
        <f>SLN(B48,0,C48)</f>
        <v>0</v>
      </c>
    </row>
    <row r="49" spans="1:14" x14ac:dyDescent="0.25">
      <c r="A49" s="16" t="s">
        <v>277</v>
      </c>
      <c r="B49" s="16">
        <v>0</v>
      </c>
      <c r="C49" s="2">
        <v>10</v>
      </c>
      <c r="D49" s="28">
        <f>SLN(B49,0,C49)</f>
        <v>0</v>
      </c>
    </row>
    <row r="50" spans="1:14" x14ac:dyDescent="0.25">
      <c r="A50" s="16" t="s">
        <v>53</v>
      </c>
      <c r="B50" s="16">
        <v>0</v>
      </c>
      <c r="C50" s="2">
        <v>5</v>
      </c>
      <c r="D50" s="28">
        <f>SLN(B50,0,C50)</f>
        <v>0</v>
      </c>
    </row>
    <row r="51" spans="1:14" x14ac:dyDescent="0.25">
      <c r="D51" s="15">
        <f>SUM(D48:D50)</f>
        <v>0</v>
      </c>
    </row>
    <row r="52" spans="1:14" hidden="1" x14ac:dyDescent="0.25"/>
    <row r="53" spans="1:14" hidden="1" x14ac:dyDescent="0.25"/>
    <row r="54" spans="1:14" hidden="1" x14ac:dyDescent="0.25">
      <c r="A54" s="11" t="s">
        <v>62</v>
      </c>
    </row>
    <row r="55" spans="1:14" ht="15" hidden="1" customHeight="1" x14ac:dyDescent="0.2">
      <c r="A55" s="2" t="s">
        <v>63</v>
      </c>
      <c r="B55" s="14">
        <v>0</v>
      </c>
      <c r="C55" s="373" t="s">
        <v>61</v>
      </c>
      <c r="D55" s="373"/>
      <c r="E55" s="373"/>
      <c r="F55" s="373"/>
    </row>
    <row r="56" spans="1:14" hidden="1" x14ac:dyDescent="0.25"/>
    <row r="57" spans="1:14" hidden="1" x14ac:dyDescent="0.25">
      <c r="A57" s="11" t="s">
        <v>64</v>
      </c>
      <c r="I57" s="11" t="s">
        <v>73</v>
      </c>
    </row>
    <row r="58" spans="1:14" hidden="1" x14ac:dyDescent="0.25">
      <c r="A58" s="11" t="s">
        <v>42</v>
      </c>
      <c r="B58" s="21">
        <v>0.13</v>
      </c>
      <c r="C58" s="2" t="s">
        <v>66</v>
      </c>
      <c r="I58" s="11" t="s">
        <v>42</v>
      </c>
      <c r="J58" s="21">
        <v>0.2</v>
      </c>
      <c r="K58" s="2" t="s">
        <v>72</v>
      </c>
    </row>
    <row r="59" spans="1:14" hidden="1" x14ac:dyDescent="0.25">
      <c r="A59" s="11" t="s">
        <v>39</v>
      </c>
      <c r="B59" s="2">
        <v>5</v>
      </c>
      <c r="C59" s="2" t="s">
        <v>65</v>
      </c>
      <c r="I59" s="11" t="s">
        <v>40</v>
      </c>
      <c r="J59" s="2">
        <v>5</v>
      </c>
      <c r="K59" s="2" t="s">
        <v>71</v>
      </c>
    </row>
    <row r="60" spans="1:14" hidden="1" x14ac:dyDescent="0.25">
      <c r="A60" s="11" t="s">
        <v>38</v>
      </c>
      <c r="B60" s="22">
        <f>+B58/4</f>
        <v>3.2500000000000001E-2</v>
      </c>
      <c r="C60" s="2" t="s">
        <v>43</v>
      </c>
      <c r="D60" s="21">
        <f>(1+B60)^(4)-1</f>
        <v>0.1364759281640624</v>
      </c>
      <c r="I60" s="11" t="s">
        <v>38</v>
      </c>
      <c r="J60" s="22">
        <f>+NOMINAL(J58,4)/4</f>
        <v>4.6635139392105618E-2</v>
      </c>
    </row>
    <row r="61" spans="1:14" hidden="1" x14ac:dyDescent="0.25">
      <c r="A61" s="11" t="s">
        <v>74</v>
      </c>
      <c r="B61" s="14">
        <f>+PMT(B60,B59*4,-B55)</f>
        <v>0</v>
      </c>
      <c r="C61" s="14"/>
      <c r="D61" s="14"/>
      <c r="E61" s="17"/>
      <c r="I61" s="11" t="s">
        <v>74</v>
      </c>
      <c r="J61" s="14">
        <f>+PMT(NOMINAL(J58,4)/4,J59*4,-B55)</f>
        <v>0</v>
      </c>
    </row>
    <row r="62" spans="1:14" hidden="1" x14ac:dyDescent="0.25"/>
    <row r="63" spans="1:14" hidden="1" x14ac:dyDescent="0.25">
      <c r="A63" s="11" t="s">
        <v>67</v>
      </c>
      <c r="B63" s="11" t="s">
        <v>63</v>
      </c>
      <c r="C63" s="11" t="s">
        <v>68</v>
      </c>
      <c r="D63" s="11" t="s">
        <v>41</v>
      </c>
      <c r="E63" s="11" t="s">
        <v>69</v>
      </c>
      <c r="F63" s="11" t="s">
        <v>70</v>
      </c>
      <c r="I63" s="11" t="s">
        <v>67</v>
      </c>
      <c r="J63" s="11" t="s">
        <v>63</v>
      </c>
      <c r="K63" s="11" t="s">
        <v>68</v>
      </c>
      <c r="L63" s="11" t="s">
        <v>41</v>
      </c>
      <c r="M63" s="11" t="s">
        <v>69</v>
      </c>
      <c r="N63" s="11" t="s">
        <v>70</v>
      </c>
    </row>
    <row r="64" spans="1:14" hidden="1" x14ac:dyDescent="0.25">
      <c r="A64" s="14">
        <v>1</v>
      </c>
      <c r="B64" s="14">
        <f>+B55</f>
        <v>0</v>
      </c>
      <c r="C64" s="14">
        <f>+$B$61</f>
        <v>0</v>
      </c>
      <c r="D64" s="14">
        <f>+C64-E64</f>
        <v>0</v>
      </c>
      <c r="E64" s="17">
        <f>+B64*$B$60</f>
        <v>0</v>
      </c>
      <c r="F64" s="14">
        <f>+B64-D64</f>
        <v>0</v>
      </c>
      <c r="G64" s="23"/>
      <c r="H64" s="23"/>
      <c r="I64" s="14">
        <v>1</v>
      </c>
      <c r="J64" s="14">
        <f>+B55</f>
        <v>0</v>
      </c>
      <c r="K64" s="14">
        <f>+$J$61</f>
        <v>0</v>
      </c>
      <c r="L64" s="14">
        <f>+K64-M64</f>
        <v>0</v>
      </c>
      <c r="M64" s="14">
        <f>+J64*$J$60</f>
        <v>0</v>
      </c>
      <c r="N64" s="14">
        <f>+J64-L64</f>
        <v>0</v>
      </c>
    </row>
    <row r="65" spans="1:14" hidden="1" x14ac:dyDescent="0.25">
      <c r="A65" s="14">
        <v>2</v>
      </c>
      <c r="B65" s="14">
        <f>+F64</f>
        <v>0</v>
      </c>
      <c r="C65" s="14">
        <f>+$B$61</f>
        <v>0</v>
      </c>
      <c r="D65" s="14">
        <f>+C65-E65</f>
        <v>0</v>
      </c>
      <c r="E65" s="17">
        <f>+B65*$B$60</f>
        <v>0</v>
      </c>
      <c r="F65" s="14">
        <f>+B65-D65</f>
        <v>0</v>
      </c>
      <c r="G65" s="23"/>
      <c r="H65" s="23"/>
      <c r="I65" s="14">
        <v>2</v>
      </c>
      <c r="J65" s="14">
        <f>+N64</f>
        <v>0</v>
      </c>
      <c r="K65" s="14">
        <f>+$J$61</f>
        <v>0</v>
      </c>
      <c r="L65" s="14">
        <f>+K65-M65</f>
        <v>0</v>
      </c>
      <c r="M65" s="14">
        <f>+J65*$J$60</f>
        <v>0</v>
      </c>
      <c r="N65" s="14">
        <f>+J65-L65</f>
        <v>0</v>
      </c>
    </row>
    <row r="66" spans="1:14" hidden="1" x14ac:dyDescent="0.25">
      <c r="A66" s="14">
        <v>3</v>
      </c>
      <c r="B66" s="14">
        <f t="shared" ref="B66:B83" si="10">+F65</f>
        <v>0</v>
      </c>
      <c r="C66" s="14">
        <f t="shared" ref="C66:C83" si="11">+$B$61</f>
        <v>0</v>
      </c>
      <c r="D66" s="14">
        <f t="shared" ref="D66:D83" si="12">+C66-E66</f>
        <v>0</v>
      </c>
      <c r="E66" s="17">
        <f t="shared" ref="E66:E83" si="13">+B66*$B$60</f>
        <v>0</v>
      </c>
      <c r="F66" s="14">
        <f t="shared" ref="F66:F83" si="14">+B66-D66</f>
        <v>0</v>
      </c>
      <c r="G66" s="23"/>
      <c r="H66" s="23"/>
      <c r="I66" s="14">
        <v>3</v>
      </c>
      <c r="J66" s="14">
        <f t="shared" ref="J66:J83" si="15">+N65</f>
        <v>0</v>
      </c>
      <c r="K66" s="14">
        <f t="shared" ref="K66:K83" si="16">+$J$61</f>
        <v>0</v>
      </c>
      <c r="L66" s="14">
        <f t="shared" ref="L66:L83" si="17">+K66-M66</f>
        <v>0</v>
      </c>
      <c r="M66" s="14">
        <f t="shared" ref="M66:M83" si="18">+J66*$J$60</f>
        <v>0</v>
      </c>
      <c r="N66" s="14">
        <f t="shared" ref="N66:N83" si="19">+J66-L66</f>
        <v>0</v>
      </c>
    </row>
    <row r="67" spans="1:14" hidden="1" x14ac:dyDescent="0.25">
      <c r="A67" s="14">
        <v>4</v>
      </c>
      <c r="B67" s="14">
        <f t="shared" si="10"/>
        <v>0</v>
      </c>
      <c r="C67" s="14">
        <f t="shared" si="11"/>
        <v>0</v>
      </c>
      <c r="D67" s="14">
        <f t="shared" si="12"/>
        <v>0</v>
      </c>
      <c r="E67" s="17">
        <f t="shared" si="13"/>
        <v>0</v>
      </c>
      <c r="F67" s="14">
        <f t="shared" si="14"/>
        <v>0</v>
      </c>
      <c r="G67" s="23"/>
      <c r="H67" s="23"/>
      <c r="I67" s="14">
        <v>4</v>
      </c>
      <c r="J67" s="14">
        <f t="shared" si="15"/>
        <v>0</v>
      </c>
      <c r="K67" s="14">
        <f t="shared" si="16"/>
        <v>0</v>
      </c>
      <c r="L67" s="14">
        <f t="shared" si="17"/>
        <v>0</v>
      </c>
      <c r="M67" s="14">
        <f t="shared" si="18"/>
        <v>0</v>
      </c>
      <c r="N67" s="14">
        <f t="shared" si="19"/>
        <v>0</v>
      </c>
    </row>
    <row r="68" spans="1:14" hidden="1" x14ac:dyDescent="0.25">
      <c r="A68" s="14">
        <v>5</v>
      </c>
      <c r="B68" s="14">
        <f t="shared" si="10"/>
        <v>0</v>
      </c>
      <c r="C68" s="14">
        <f t="shared" si="11"/>
        <v>0</v>
      </c>
      <c r="D68" s="14">
        <f t="shared" si="12"/>
        <v>0</v>
      </c>
      <c r="E68" s="17">
        <f t="shared" si="13"/>
        <v>0</v>
      </c>
      <c r="F68" s="14">
        <f t="shared" si="14"/>
        <v>0</v>
      </c>
      <c r="G68" s="23"/>
      <c r="H68" s="23"/>
      <c r="I68" s="14">
        <v>5</v>
      </c>
      <c r="J68" s="14">
        <f t="shared" si="15"/>
        <v>0</v>
      </c>
      <c r="K68" s="14">
        <f t="shared" si="16"/>
        <v>0</v>
      </c>
      <c r="L68" s="14">
        <f t="shared" si="17"/>
        <v>0</v>
      </c>
      <c r="M68" s="14">
        <f t="shared" si="18"/>
        <v>0</v>
      </c>
      <c r="N68" s="14">
        <f t="shared" si="19"/>
        <v>0</v>
      </c>
    </row>
    <row r="69" spans="1:14" hidden="1" x14ac:dyDescent="0.25">
      <c r="A69" s="14">
        <v>6</v>
      </c>
      <c r="B69" s="14">
        <f t="shared" si="10"/>
        <v>0</v>
      </c>
      <c r="C69" s="14">
        <f t="shared" si="11"/>
        <v>0</v>
      </c>
      <c r="D69" s="14">
        <f t="shared" si="12"/>
        <v>0</v>
      </c>
      <c r="E69" s="17">
        <f t="shared" si="13"/>
        <v>0</v>
      </c>
      <c r="F69" s="14">
        <f t="shared" si="14"/>
        <v>0</v>
      </c>
      <c r="G69" s="23"/>
      <c r="H69" s="23"/>
      <c r="I69" s="14">
        <v>6</v>
      </c>
      <c r="J69" s="14">
        <f t="shared" si="15"/>
        <v>0</v>
      </c>
      <c r="K69" s="14">
        <f t="shared" si="16"/>
        <v>0</v>
      </c>
      <c r="L69" s="14">
        <f t="shared" si="17"/>
        <v>0</v>
      </c>
      <c r="M69" s="14">
        <f t="shared" si="18"/>
        <v>0</v>
      </c>
      <c r="N69" s="14">
        <f t="shared" si="19"/>
        <v>0</v>
      </c>
    </row>
    <row r="70" spans="1:14" hidden="1" x14ac:dyDescent="0.25">
      <c r="A70" s="14">
        <v>7</v>
      </c>
      <c r="B70" s="14">
        <f t="shared" si="10"/>
        <v>0</v>
      </c>
      <c r="C70" s="14">
        <f t="shared" si="11"/>
        <v>0</v>
      </c>
      <c r="D70" s="14">
        <f t="shared" si="12"/>
        <v>0</v>
      </c>
      <c r="E70" s="17">
        <f t="shared" si="13"/>
        <v>0</v>
      </c>
      <c r="F70" s="14">
        <f t="shared" si="14"/>
        <v>0</v>
      </c>
      <c r="G70" s="23"/>
      <c r="H70" s="23"/>
      <c r="I70" s="14">
        <v>7</v>
      </c>
      <c r="J70" s="14">
        <f t="shared" si="15"/>
        <v>0</v>
      </c>
      <c r="K70" s="14">
        <f t="shared" si="16"/>
        <v>0</v>
      </c>
      <c r="L70" s="14">
        <f t="shared" si="17"/>
        <v>0</v>
      </c>
      <c r="M70" s="14">
        <f t="shared" si="18"/>
        <v>0</v>
      </c>
      <c r="N70" s="14">
        <f t="shared" si="19"/>
        <v>0</v>
      </c>
    </row>
    <row r="71" spans="1:14" hidden="1" x14ac:dyDescent="0.25">
      <c r="A71" s="14">
        <v>8</v>
      </c>
      <c r="B71" s="14">
        <f t="shared" si="10"/>
        <v>0</v>
      </c>
      <c r="C71" s="14">
        <f t="shared" si="11"/>
        <v>0</v>
      </c>
      <c r="D71" s="14">
        <f t="shared" si="12"/>
        <v>0</v>
      </c>
      <c r="E71" s="17">
        <f t="shared" si="13"/>
        <v>0</v>
      </c>
      <c r="F71" s="14">
        <f t="shared" si="14"/>
        <v>0</v>
      </c>
      <c r="G71" s="23"/>
      <c r="H71" s="23"/>
      <c r="I71" s="14">
        <v>8</v>
      </c>
      <c r="J71" s="14">
        <f t="shared" si="15"/>
        <v>0</v>
      </c>
      <c r="K71" s="14">
        <f t="shared" si="16"/>
        <v>0</v>
      </c>
      <c r="L71" s="14">
        <f t="shared" si="17"/>
        <v>0</v>
      </c>
      <c r="M71" s="14">
        <f t="shared" si="18"/>
        <v>0</v>
      </c>
      <c r="N71" s="14">
        <f t="shared" si="19"/>
        <v>0</v>
      </c>
    </row>
    <row r="72" spans="1:14" hidden="1" x14ac:dyDescent="0.25">
      <c r="A72" s="14">
        <v>9</v>
      </c>
      <c r="B72" s="14">
        <f t="shared" si="10"/>
        <v>0</v>
      </c>
      <c r="C72" s="14">
        <f t="shared" si="11"/>
        <v>0</v>
      </c>
      <c r="D72" s="14">
        <f t="shared" si="12"/>
        <v>0</v>
      </c>
      <c r="E72" s="17">
        <f t="shared" si="13"/>
        <v>0</v>
      </c>
      <c r="F72" s="14">
        <f t="shared" si="14"/>
        <v>0</v>
      </c>
      <c r="G72" s="23"/>
      <c r="H72" s="23"/>
      <c r="I72" s="14">
        <v>9</v>
      </c>
      <c r="J72" s="14">
        <f t="shared" si="15"/>
        <v>0</v>
      </c>
      <c r="K72" s="14">
        <f t="shared" si="16"/>
        <v>0</v>
      </c>
      <c r="L72" s="14">
        <f t="shared" si="17"/>
        <v>0</v>
      </c>
      <c r="M72" s="14">
        <f t="shared" si="18"/>
        <v>0</v>
      </c>
      <c r="N72" s="14">
        <f t="shared" si="19"/>
        <v>0</v>
      </c>
    </row>
    <row r="73" spans="1:14" hidden="1" x14ac:dyDescent="0.25">
      <c r="A73" s="14">
        <v>10</v>
      </c>
      <c r="B73" s="14">
        <f t="shared" si="10"/>
        <v>0</v>
      </c>
      <c r="C73" s="14">
        <f t="shared" si="11"/>
        <v>0</v>
      </c>
      <c r="D73" s="14">
        <f t="shared" si="12"/>
        <v>0</v>
      </c>
      <c r="E73" s="17">
        <f t="shared" si="13"/>
        <v>0</v>
      </c>
      <c r="F73" s="14">
        <f t="shared" si="14"/>
        <v>0</v>
      </c>
      <c r="G73" s="23"/>
      <c r="H73" s="23"/>
      <c r="I73" s="14">
        <v>10</v>
      </c>
      <c r="J73" s="14">
        <f t="shared" si="15"/>
        <v>0</v>
      </c>
      <c r="K73" s="14">
        <f t="shared" si="16"/>
        <v>0</v>
      </c>
      <c r="L73" s="14">
        <f t="shared" si="17"/>
        <v>0</v>
      </c>
      <c r="M73" s="14">
        <f t="shared" si="18"/>
        <v>0</v>
      </c>
      <c r="N73" s="14">
        <f t="shared" si="19"/>
        <v>0</v>
      </c>
    </row>
    <row r="74" spans="1:14" hidden="1" x14ac:dyDescent="0.25">
      <c r="A74" s="14">
        <v>11</v>
      </c>
      <c r="B74" s="14">
        <f t="shared" si="10"/>
        <v>0</v>
      </c>
      <c r="C74" s="14">
        <f t="shared" si="11"/>
        <v>0</v>
      </c>
      <c r="D74" s="14">
        <f t="shared" si="12"/>
        <v>0</v>
      </c>
      <c r="E74" s="17">
        <f t="shared" si="13"/>
        <v>0</v>
      </c>
      <c r="F74" s="14">
        <f t="shared" si="14"/>
        <v>0</v>
      </c>
      <c r="G74" s="23"/>
      <c r="H74" s="23"/>
      <c r="I74" s="14">
        <v>11</v>
      </c>
      <c r="J74" s="14">
        <f t="shared" si="15"/>
        <v>0</v>
      </c>
      <c r="K74" s="14">
        <f t="shared" si="16"/>
        <v>0</v>
      </c>
      <c r="L74" s="14">
        <f t="shared" si="17"/>
        <v>0</v>
      </c>
      <c r="M74" s="14">
        <f t="shared" si="18"/>
        <v>0</v>
      </c>
      <c r="N74" s="14">
        <f t="shared" si="19"/>
        <v>0</v>
      </c>
    </row>
    <row r="75" spans="1:14" hidden="1" x14ac:dyDescent="0.25">
      <c r="A75" s="14">
        <v>12</v>
      </c>
      <c r="B75" s="14">
        <f t="shared" si="10"/>
        <v>0</v>
      </c>
      <c r="C75" s="14">
        <f t="shared" si="11"/>
        <v>0</v>
      </c>
      <c r="D75" s="14">
        <f t="shared" si="12"/>
        <v>0</v>
      </c>
      <c r="E75" s="17">
        <f t="shared" si="13"/>
        <v>0</v>
      </c>
      <c r="F75" s="14">
        <f t="shared" si="14"/>
        <v>0</v>
      </c>
      <c r="G75" s="23"/>
      <c r="H75" s="23"/>
      <c r="I75" s="14">
        <v>12</v>
      </c>
      <c r="J75" s="14">
        <f t="shared" si="15"/>
        <v>0</v>
      </c>
      <c r="K75" s="14">
        <f t="shared" si="16"/>
        <v>0</v>
      </c>
      <c r="L75" s="14">
        <f t="shared" si="17"/>
        <v>0</v>
      </c>
      <c r="M75" s="14">
        <f t="shared" si="18"/>
        <v>0</v>
      </c>
      <c r="N75" s="14">
        <f t="shared" si="19"/>
        <v>0</v>
      </c>
    </row>
    <row r="76" spans="1:14" hidden="1" x14ac:dyDescent="0.25">
      <c r="A76" s="14">
        <v>13</v>
      </c>
      <c r="B76" s="14">
        <f t="shared" si="10"/>
        <v>0</v>
      </c>
      <c r="C76" s="14">
        <f t="shared" si="11"/>
        <v>0</v>
      </c>
      <c r="D76" s="14">
        <f t="shared" si="12"/>
        <v>0</v>
      </c>
      <c r="E76" s="17">
        <f t="shared" si="13"/>
        <v>0</v>
      </c>
      <c r="F76" s="14">
        <f t="shared" si="14"/>
        <v>0</v>
      </c>
      <c r="G76" s="23"/>
      <c r="H76" s="23"/>
      <c r="I76" s="14">
        <v>13</v>
      </c>
      <c r="J76" s="14">
        <f t="shared" si="15"/>
        <v>0</v>
      </c>
      <c r="K76" s="14">
        <f t="shared" si="16"/>
        <v>0</v>
      </c>
      <c r="L76" s="14">
        <f t="shared" si="17"/>
        <v>0</v>
      </c>
      <c r="M76" s="14">
        <f t="shared" si="18"/>
        <v>0</v>
      </c>
      <c r="N76" s="14">
        <f t="shared" si="19"/>
        <v>0</v>
      </c>
    </row>
    <row r="77" spans="1:14" hidden="1" x14ac:dyDescent="0.25">
      <c r="A77" s="14">
        <v>14</v>
      </c>
      <c r="B77" s="14">
        <f t="shared" si="10"/>
        <v>0</v>
      </c>
      <c r="C77" s="14">
        <f t="shared" si="11"/>
        <v>0</v>
      </c>
      <c r="D77" s="14">
        <f t="shared" si="12"/>
        <v>0</v>
      </c>
      <c r="E77" s="17">
        <f t="shared" si="13"/>
        <v>0</v>
      </c>
      <c r="F77" s="14">
        <f t="shared" si="14"/>
        <v>0</v>
      </c>
      <c r="G77" s="23"/>
      <c r="H77" s="23"/>
      <c r="I77" s="14">
        <v>14</v>
      </c>
      <c r="J77" s="14">
        <f t="shared" si="15"/>
        <v>0</v>
      </c>
      <c r="K77" s="14">
        <f t="shared" si="16"/>
        <v>0</v>
      </c>
      <c r="L77" s="14">
        <f t="shared" si="17"/>
        <v>0</v>
      </c>
      <c r="M77" s="14">
        <f t="shared" si="18"/>
        <v>0</v>
      </c>
      <c r="N77" s="14">
        <f t="shared" si="19"/>
        <v>0</v>
      </c>
    </row>
    <row r="78" spans="1:14" hidden="1" x14ac:dyDescent="0.25">
      <c r="A78" s="14">
        <v>15</v>
      </c>
      <c r="B78" s="14">
        <f t="shared" si="10"/>
        <v>0</v>
      </c>
      <c r="C78" s="14">
        <f t="shared" si="11"/>
        <v>0</v>
      </c>
      <c r="D78" s="14">
        <f t="shared" si="12"/>
        <v>0</v>
      </c>
      <c r="E78" s="17">
        <f t="shared" si="13"/>
        <v>0</v>
      </c>
      <c r="F78" s="14">
        <f t="shared" si="14"/>
        <v>0</v>
      </c>
      <c r="G78" s="23"/>
      <c r="H78" s="23"/>
      <c r="I78" s="14">
        <v>15</v>
      </c>
      <c r="J78" s="14">
        <f t="shared" si="15"/>
        <v>0</v>
      </c>
      <c r="K78" s="14">
        <f t="shared" si="16"/>
        <v>0</v>
      </c>
      <c r="L78" s="14">
        <f t="shared" si="17"/>
        <v>0</v>
      </c>
      <c r="M78" s="14">
        <f t="shared" si="18"/>
        <v>0</v>
      </c>
      <c r="N78" s="14">
        <f t="shared" si="19"/>
        <v>0</v>
      </c>
    </row>
    <row r="79" spans="1:14" hidden="1" x14ac:dyDescent="0.25">
      <c r="A79" s="14">
        <v>16</v>
      </c>
      <c r="B79" s="14">
        <f t="shared" si="10"/>
        <v>0</v>
      </c>
      <c r="C79" s="14">
        <f t="shared" si="11"/>
        <v>0</v>
      </c>
      <c r="D79" s="14">
        <f t="shared" si="12"/>
        <v>0</v>
      </c>
      <c r="E79" s="17">
        <f t="shared" si="13"/>
        <v>0</v>
      </c>
      <c r="F79" s="14">
        <f t="shared" si="14"/>
        <v>0</v>
      </c>
      <c r="G79" s="23"/>
      <c r="H79" s="23"/>
      <c r="I79" s="14">
        <v>16</v>
      </c>
      <c r="J79" s="14">
        <f t="shared" si="15"/>
        <v>0</v>
      </c>
      <c r="K79" s="14">
        <f t="shared" si="16"/>
        <v>0</v>
      </c>
      <c r="L79" s="14">
        <f t="shared" si="17"/>
        <v>0</v>
      </c>
      <c r="M79" s="14">
        <f t="shared" si="18"/>
        <v>0</v>
      </c>
      <c r="N79" s="14">
        <f t="shared" si="19"/>
        <v>0</v>
      </c>
    </row>
    <row r="80" spans="1:14" hidden="1" x14ac:dyDescent="0.25">
      <c r="A80" s="14">
        <v>17</v>
      </c>
      <c r="B80" s="14">
        <f t="shared" si="10"/>
        <v>0</v>
      </c>
      <c r="C80" s="14">
        <f t="shared" si="11"/>
        <v>0</v>
      </c>
      <c r="D80" s="14">
        <f t="shared" si="12"/>
        <v>0</v>
      </c>
      <c r="E80" s="17">
        <f t="shared" si="13"/>
        <v>0</v>
      </c>
      <c r="F80" s="14">
        <f t="shared" si="14"/>
        <v>0</v>
      </c>
      <c r="G80" s="23"/>
      <c r="H80" s="23"/>
      <c r="I80" s="14">
        <v>17</v>
      </c>
      <c r="J80" s="14">
        <f t="shared" si="15"/>
        <v>0</v>
      </c>
      <c r="K80" s="14">
        <f t="shared" si="16"/>
        <v>0</v>
      </c>
      <c r="L80" s="14">
        <f t="shared" si="17"/>
        <v>0</v>
      </c>
      <c r="M80" s="14">
        <f t="shared" si="18"/>
        <v>0</v>
      </c>
      <c r="N80" s="14">
        <f t="shared" si="19"/>
        <v>0</v>
      </c>
    </row>
    <row r="81" spans="1:14" hidden="1" x14ac:dyDescent="0.25">
      <c r="A81" s="14">
        <v>18</v>
      </c>
      <c r="B81" s="14">
        <f t="shared" si="10"/>
        <v>0</v>
      </c>
      <c r="C81" s="14">
        <f t="shared" si="11"/>
        <v>0</v>
      </c>
      <c r="D81" s="14">
        <f t="shared" si="12"/>
        <v>0</v>
      </c>
      <c r="E81" s="17">
        <f t="shared" si="13"/>
        <v>0</v>
      </c>
      <c r="F81" s="14">
        <f t="shared" si="14"/>
        <v>0</v>
      </c>
      <c r="G81" s="23"/>
      <c r="H81" s="23"/>
      <c r="I81" s="14">
        <v>18</v>
      </c>
      <c r="J81" s="14">
        <f t="shared" si="15"/>
        <v>0</v>
      </c>
      <c r="K81" s="14">
        <f t="shared" si="16"/>
        <v>0</v>
      </c>
      <c r="L81" s="14">
        <f t="shared" si="17"/>
        <v>0</v>
      </c>
      <c r="M81" s="14">
        <f t="shared" si="18"/>
        <v>0</v>
      </c>
      <c r="N81" s="14">
        <f t="shared" si="19"/>
        <v>0</v>
      </c>
    </row>
    <row r="82" spans="1:14" hidden="1" x14ac:dyDescent="0.25">
      <c r="A82" s="14">
        <v>19</v>
      </c>
      <c r="B82" s="14">
        <f t="shared" si="10"/>
        <v>0</v>
      </c>
      <c r="C82" s="14">
        <f t="shared" si="11"/>
        <v>0</v>
      </c>
      <c r="D82" s="14">
        <f t="shared" si="12"/>
        <v>0</v>
      </c>
      <c r="E82" s="17">
        <f t="shared" si="13"/>
        <v>0</v>
      </c>
      <c r="F82" s="14">
        <f t="shared" si="14"/>
        <v>0</v>
      </c>
      <c r="I82" s="14">
        <v>19</v>
      </c>
      <c r="J82" s="14">
        <f t="shared" si="15"/>
        <v>0</v>
      </c>
      <c r="K82" s="14">
        <f t="shared" si="16"/>
        <v>0</v>
      </c>
      <c r="L82" s="14">
        <f t="shared" si="17"/>
        <v>0</v>
      </c>
      <c r="M82" s="14">
        <f t="shared" si="18"/>
        <v>0</v>
      </c>
      <c r="N82" s="14">
        <f t="shared" si="19"/>
        <v>0</v>
      </c>
    </row>
    <row r="83" spans="1:14" hidden="1" x14ac:dyDescent="0.25">
      <c r="A83" s="14">
        <v>20</v>
      </c>
      <c r="B83" s="14">
        <f t="shared" si="10"/>
        <v>0</v>
      </c>
      <c r="C83" s="14">
        <f t="shared" si="11"/>
        <v>0</v>
      </c>
      <c r="D83" s="14">
        <f t="shared" si="12"/>
        <v>0</v>
      </c>
      <c r="E83" s="17">
        <f t="shared" si="13"/>
        <v>0</v>
      </c>
      <c r="F83" s="14">
        <f t="shared" si="14"/>
        <v>0</v>
      </c>
      <c r="I83" s="14">
        <v>20</v>
      </c>
      <c r="J83" s="14">
        <f t="shared" si="15"/>
        <v>0</v>
      </c>
      <c r="K83" s="14">
        <f t="shared" si="16"/>
        <v>0</v>
      </c>
      <c r="L83" s="14">
        <f t="shared" si="17"/>
        <v>0</v>
      </c>
      <c r="M83" s="14">
        <f t="shared" si="18"/>
        <v>0</v>
      </c>
      <c r="N83" s="14">
        <f t="shared" si="19"/>
        <v>0</v>
      </c>
    </row>
    <row r="84" spans="1:14" hidden="1" x14ac:dyDescent="0.25"/>
    <row r="85" spans="1:14" hidden="1" x14ac:dyDescent="0.25"/>
    <row r="87" spans="1:14" x14ac:dyDescent="0.25">
      <c r="A87" s="11" t="s">
        <v>476</v>
      </c>
    </row>
    <row r="88" spans="1:14" x14ac:dyDescent="0.25">
      <c r="A88" s="11" t="s">
        <v>156</v>
      </c>
      <c r="B88" s="5">
        <f>+'2.1 Cálculo Ingreso por Fee'!C34</f>
        <v>1650726945</v>
      </c>
    </row>
    <row r="89" spans="1:14" x14ac:dyDescent="0.25">
      <c r="A89" s="11" t="s">
        <v>157</v>
      </c>
      <c r="B89" s="5">
        <f>+'2.2 Cálculo Ingreso PPU'!C25</f>
        <v>1541014427.8304131</v>
      </c>
    </row>
    <row r="91" spans="1:14" x14ac:dyDescent="0.25">
      <c r="A91" s="11" t="s">
        <v>477</v>
      </c>
    </row>
    <row r="93" spans="1:14" ht="30" x14ac:dyDescent="0.25">
      <c r="A93" s="243"/>
      <c r="B93" s="279" t="s">
        <v>430</v>
      </c>
      <c r="C93" s="279" t="s">
        <v>431</v>
      </c>
      <c r="D93" s="279" t="s">
        <v>153</v>
      </c>
    </row>
    <row r="94" spans="1:14" x14ac:dyDescent="0.25">
      <c r="A94" s="280" t="s">
        <v>233</v>
      </c>
      <c r="B94" s="173">
        <f>+'2.2 Cálculo Ingreso PPU'!D14*'2.2 Cálculo Ingreso PPU'!D16</f>
        <v>1207.3472006693382</v>
      </c>
      <c r="C94" s="175">
        <f>+'2.2 Cálculo Ingreso PPU'!E14*'2.2 Cálculo Ingreso PPU'!E16</f>
        <v>1258.2758838593227</v>
      </c>
      <c r="D94" s="113">
        <f>+SUM(B94:C94)</f>
        <v>2465.6230845286609</v>
      </c>
    </row>
    <row r="95" spans="1:14" x14ac:dyDescent="0.25">
      <c r="A95" s="280" t="s">
        <v>289</v>
      </c>
      <c r="B95" s="277">
        <f>10*'1.4 Base Otros Supuestos'!B24</f>
        <v>35000</v>
      </c>
      <c r="C95" s="175">
        <f>+B95</f>
        <v>35000</v>
      </c>
      <c r="D95" s="175">
        <f>+C95</f>
        <v>35000</v>
      </c>
    </row>
    <row r="96" spans="1:14" ht="15.75" x14ac:dyDescent="0.25">
      <c r="A96" s="280" t="s">
        <v>290</v>
      </c>
      <c r="B96" s="113">
        <f>+B95*D94</f>
        <v>86296807.958503127</v>
      </c>
      <c r="C96" s="113">
        <f>+C94*C95</f>
        <v>44039655.935076296</v>
      </c>
      <c r="D96" s="278">
        <f>+D94*D95</f>
        <v>86296807.958503127</v>
      </c>
    </row>
  </sheetData>
  <mergeCells count="2">
    <mergeCell ref="C55:F55"/>
    <mergeCell ref="F16:J16"/>
  </mergeCells>
  <phoneticPr fontId="5" type="noConversion"/>
  <dataValidations count="1">
    <dataValidation type="list" allowBlank="1" showInputMessage="1" showErrorMessage="1" sqref="A9" xr:uid="{05E6C8AA-1000-4A20-8D44-C54BC984AB96}">
      <formula1>$A$88:$A$89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287245d-93c1-48e6-b10e-c855f87bd647" xsi:nil="true"/>
    <MigrationWizId xmlns="4287245d-93c1-48e6-b10e-c855f87bd647" xsi:nil="true"/>
    <MigrationWizIdDocumentLibraryPermissions xmlns="4287245d-93c1-48e6-b10e-c855f87bd647" xsi:nil="true"/>
    <MigrationWizIdPermissionLevels xmlns="4287245d-93c1-48e6-b10e-c855f87bd647" xsi:nil="true"/>
    <MigrationWizIdSecurityGroups xmlns="4287245d-93c1-48e6-b10e-c855f87bd6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3A969CF67A414CBD9CB875D59E9447" ma:contentTypeVersion="17" ma:contentTypeDescription="Crear nuevo documento." ma:contentTypeScope="" ma:versionID="0f5a3072c14114ca58ee2b018da8d2a9">
  <xsd:schema xmlns:xsd="http://www.w3.org/2001/XMLSchema" xmlns:xs="http://www.w3.org/2001/XMLSchema" xmlns:p="http://schemas.microsoft.com/office/2006/metadata/properties" xmlns:ns3="4287245d-93c1-48e6-b10e-c855f87bd647" xmlns:ns4="51721104-47d9-47eb-8cbd-28b25cebae72" targetNamespace="http://schemas.microsoft.com/office/2006/metadata/properties" ma:root="true" ma:fieldsID="e42d95a8fb074bee0198e9a1e462604e" ns3:_="" ns4:_="">
    <xsd:import namespace="4287245d-93c1-48e6-b10e-c855f87bd647"/>
    <xsd:import namespace="51721104-47d9-47eb-8cbd-28b25cebae72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7245d-93c1-48e6-b10e-c855f87bd647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21104-47d9-47eb-8cbd-28b25cebae7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9566C6-D125-4D55-99E7-D5EE290BED61}">
  <ds:schemaRefs>
    <ds:schemaRef ds:uri="http://purl.org/dc/dcmitype/"/>
    <ds:schemaRef ds:uri="http://schemas.microsoft.com/office/infopath/2007/PartnerControls"/>
    <ds:schemaRef ds:uri="51721104-47d9-47eb-8cbd-28b25cebae72"/>
    <ds:schemaRef ds:uri="4287245d-93c1-48e6-b10e-c855f87bd647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8425687-CD0D-4A3D-A464-F3F492EA4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87245d-93c1-48e6-b10e-c855f87bd647"/>
    <ds:schemaRef ds:uri="51721104-47d9-47eb-8cbd-28b25ceba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DC77E8-E04D-4EDA-A217-C131D0AB8A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20</vt:i4>
      </vt:variant>
    </vt:vector>
  </HeadingPairs>
  <TitlesOfParts>
    <vt:vector size="34" baseType="lpstr">
      <vt:lpstr>0. Presentación</vt:lpstr>
      <vt:lpstr>1.1 Base Plan de Mercadeo</vt:lpstr>
      <vt:lpstr>1.2 Base Cálculo de Precio</vt:lpstr>
      <vt:lpstr>1.3 Base Part.Mercado Fee</vt:lpstr>
      <vt:lpstr>1.4 Base Otros Supuestos</vt:lpstr>
      <vt:lpstr>2.1 Cálculo Ingreso por Fee</vt:lpstr>
      <vt:lpstr>2.2 Cálculo Ingreso PPU</vt:lpstr>
      <vt:lpstr>2.3 Cálculo Gastos Admon &amp; Vtas</vt:lpstr>
      <vt:lpstr>3 Proyecciones Otros Periodos</vt:lpstr>
      <vt:lpstr>4.0 Balance Base</vt:lpstr>
      <vt:lpstr>4.1 Resultados Proyectados</vt:lpstr>
      <vt:lpstr>4.2 Balance Proyectado</vt:lpstr>
      <vt:lpstr>5. Indic Finan</vt:lpstr>
      <vt:lpstr>6. Flujo de Caja &amp; VPN</vt:lpstr>
      <vt:lpstr>Anticipated_tax_payment</vt:lpstr>
      <vt:lpstr>Cash_policy</vt:lpstr>
      <vt:lpstr>Deffered_assests_amort</vt:lpstr>
      <vt:lpstr>i__new_credits</vt:lpstr>
      <vt:lpstr>i__Opc_1</vt:lpstr>
      <vt:lpstr>i__Opc_2</vt:lpstr>
      <vt:lpstr>Increase_in_costs</vt:lpstr>
      <vt:lpstr>Increase_in_expenses</vt:lpstr>
      <vt:lpstr>Increase_in_prices</vt:lpstr>
      <vt:lpstr>increase_other_expenses</vt:lpstr>
      <vt:lpstr>Legal_reserve</vt:lpstr>
      <vt:lpstr>N</vt:lpstr>
      <vt:lpstr>Payment__Opc_1</vt:lpstr>
      <vt:lpstr>Payment__Opc_2</vt:lpstr>
      <vt:lpstr>Provision_for_bad_debts</vt:lpstr>
      <vt:lpstr>PV_Debt</vt:lpstr>
      <vt:lpstr>Rotación_de_inventarios</vt:lpstr>
      <vt:lpstr>Rotación_de_proveedores</vt:lpstr>
      <vt:lpstr>Sales_Turnover__Days</vt:lpstr>
      <vt:lpstr>Tax_rate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Vicente E. Cálad R.</dc:creator>
  <cp:keywords/>
  <dc:description/>
  <cp:lastModifiedBy>57313</cp:lastModifiedBy>
  <dcterms:created xsi:type="dcterms:W3CDTF">2016-05-04T15:23:58Z</dcterms:created>
  <dcterms:modified xsi:type="dcterms:W3CDTF">2021-06-21T02:26:48Z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0x010100193A969CF67A414CBD9CB875D59E9447</vt:lpwstr>
  </property>
</Properties>
</file>